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-120" yWindow="-120" windowWidth="29040" windowHeight="15840" tabRatio="691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Спец.счета КП 2020-2022" sheetId="12" r:id="rId5"/>
    <sheet name="Зачет" sheetId="11" r:id="rId6"/>
    <sheet name="Реестр_бонусы" sheetId="8" r:id="rId7"/>
    <sheet name="Перечень_бонусы" sheetId="9" r:id="rId8"/>
    <sheet name="Планируемые показат_бонусы" sheetId="10" r:id="rId9"/>
  </sheets>
  <definedNames>
    <definedName name="_xlnm._FilterDatabase" localSheetId="5" hidden="1">Зачет!$A$12:$AC$14</definedName>
    <definedName name="_xlnm._FilterDatabase" localSheetId="1" hidden="1">Перечень!$A$12:$GI$1274</definedName>
    <definedName name="_xlnm._FilterDatabase" localSheetId="7" hidden="1">Перечень_бонусы!$A$10:$Q$216</definedName>
    <definedName name="_xlnm._FilterDatabase" localSheetId="3" hidden="1">'Плановые показатели'!$A$9:$K$201</definedName>
    <definedName name="_xlnm._FilterDatabase" localSheetId="0" hidden="1">Реестр!$A$18:$CH$1281</definedName>
    <definedName name="_xlnm._FilterDatabase" localSheetId="6" hidden="1">Реестр_бонусы!$A$67:$AN$217</definedName>
    <definedName name="_xlnm._FilterDatabase" localSheetId="4" hidden="1">'Спец.счета КП 2020-2022'!$A$7:$AB$7</definedName>
    <definedName name="_xlnm.Print_Area" localSheetId="5">Зачет!$A$1:$AC$14</definedName>
    <definedName name="_xlnm.Print_Area" localSheetId="1">Перечень!$B$1:$AP$1274</definedName>
    <definedName name="_xlnm.Print_Area" localSheetId="0">Реестр!$B$1:$BW$1281</definedName>
    <definedName name="_xlnm.Print_Area" localSheetId="2">'Рес обесп'!$A$1:$C$42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1" i="7" l="1"/>
  <c r="R1256" i="7" l="1"/>
  <c r="R534" i="7"/>
  <c r="AD974" i="7"/>
  <c r="N1254" i="7"/>
  <c r="B233" i="3"/>
  <c r="B234" i="3"/>
  <c r="B235" i="3"/>
  <c r="B236" i="3"/>
  <c r="AD233" i="3"/>
  <c r="W233" i="3" s="1"/>
  <c r="T233" i="3"/>
  <c r="V233" i="3" s="1"/>
  <c r="S233" i="3"/>
  <c r="AD236" i="3"/>
  <c r="W236" i="3" s="1"/>
  <c r="T236" i="3"/>
  <c r="S236" i="3"/>
  <c r="AD235" i="3"/>
  <c r="W235" i="3" s="1"/>
  <c r="T235" i="3"/>
  <c r="S235" i="3"/>
  <c r="AD234" i="3"/>
  <c r="W234" i="3" s="1"/>
  <c r="T234" i="3"/>
  <c r="S234" i="3"/>
  <c r="B196" i="3"/>
  <c r="AD196" i="3"/>
  <c r="W196" i="3" s="1"/>
  <c r="T196" i="3"/>
  <c r="S196" i="3"/>
  <c r="AD195" i="3"/>
  <c r="W195" i="3" s="1"/>
  <c r="T195" i="3"/>
  <c r="V195" i="3" s="1"/>
  <c r="S195" i="3"/>
  <c r="B195" i="3"/>
  <c r="B122" i="3"/>
  <c r="AD122" i="3"/>
  <c r="W122" i="3" s="1"/>
  <c r="T122" i="3"/>
  <c r="S122" i="3"/>
  <c r="AF121" i="3"/>
  <c r="W121" i="3" s="1"/>
  <c r="T121" i="3"/>
  <c r="V121" i="3" s="1"/>
  <c r="S121" i="3"/>
  <c r="B121" i="3"/>
  <c r="B238" i="7"/>
  <c r="B239" i="7"/>
  <c r="B240" i="7"/>
  <c r="B241" i="7"/>
  <c r="B242" i="7"/>
  <c r="D239" i="7"/>
  <c r="D242" i="7"/>
  <c r="D241" i="7"/>
  <c r="D240" i="7"/>
  <c r="B202" i="7"/>
  <c r="AT201" i="7"/>
  <c r="D201" i="7"/>
  <c r="B201" i="7"/>
  <c r="AC202" i="7"/>
  <c r="D202" i="7" s="1"/>
  <c r="B128" i="7"/>
  <c r="D127" i="7"/>
  <c r="B127" i="7"/>
  <c r="D128" i="7"/>
  <c r="U196" i="3" l="1"/>
  <c r="V196" i="3" s="1"/>
  <c r="U234" i="3"/>
  <c r="V234" i="3" s="1"/>
  <c r="U122" i="3"/>
  <c r="V122" i="3" s="1"/>
  <c r="U235" i="3"/>
  <c r="V235" i="3" s="1"/>
  <c r="U236" i="3"/>
  <c r="V236" i="3" s="1"/>
  <c r="U918" i="3"/>
  <c r="R918" i="3"/>
  <c r="Q918" i="3"/>
  <c r="L918" i="3"/>
  <c r="K918" i="3"/>
  <c r="J918" i="3"/>
  <c r="I918" i="3"/>
  <c r="B920" i="3"/>
  <c r="AE924" i="7"/>
  <c r="AD924" i="7"/>
  <c r="AB924" i="7"/>
  <c r="AA924" i="7"/>
  <c r="Z924" i="7"/>
  <c r="Y924" i="7"/>
  <c r="X924" i="7"/>
  <c r="W924" i="7"/>
  <c r="V924" i="7"/>
  <c r="U924" i="7"/>
  <c r="T924" i="7"/>
  <c r="S924" i="7"/>
  <c r="R924" i="7"/>
  <c r="Q924" i="7"/>
  <c r="P924" i="7"/>
  <c r="O924" i="7"/>
  <c r="M924" i="7"/>
  <c r="L924" i="7"/>
  <c r="K924" i="7"/>
  <c r="J924" i="7"/>
  <c r="I924" i="7"/>
  <c r="H924" i="7"/>
  <c r="G924" i="7"/>
  <c r="F924" i="7"/>
  <c r="E924" i="7"/>
  <c r="B926" i="7"/>
  <c r="C41" i="4" l="1"/>
  <c r="C40" i="4"/>
  <c r="C5" i="4"/>
  <c r="Q215" i="9" l="1"/>
  <c r="Q213" i="9"/>
  <c r="Q211" i="9"/>
  <c r="Q208" i="9"/>
  <c r="Q206" i="9"/>
  <c r="Q204" i="9"/>
  <c r="Q202" i="9"/>
  <c r="Q200" i="9"/>
  <c r="Q198" i="9"/>
  <c r="Q196" i="9"/>
  <c r="Q192" i="9"/>
  <c r="Q190" i="9"/>
  <c r="Q188" i="9"/>
  <c r="Q186" i="9"/>
  <c r="Q182" i="9"/>
  <c r="Q179" i="9"/>
  <c r="Q176" i="9"/>
  <c r="Q174" i="9"/>
  <c r="Q169" i="9"/>
  <c r="Q167" i="9"/>
  <c r="Q164" i="9"/>
  <c r="Q161" i="9"/>
  <c r="Q155" i="9"/>
  <c r="Q139" i="9"/>
  <c r="Q108" i="9"/>
  <c r="Q103" i="9"/>
  <c r="Q95" i="9"/>
  <c r="Q78" i="9"/>
  <c r="Q74" i="9"/>
  <c r="Q67" i="9"/>
  <c r="Q63" i="9"/>
  <c r="Q61" i="9"/>
  <c r="Q59" i="9"/>
  <c r="Q55" i="9"/>
  <c r="Q53" i="9"/>
  <c r="Q51" i="9"/>
  <c r="Q49" i="9"/>
  <c r="Q45" i="9"/>
  <c r="Q43" i="9"/>
  <c r="Q41" i="9"/>
  <c r="Q39" i="9"/>
  <c r="Q35" i="9"/>
  <c r="Q32" i="9"/>
  <c r="Q29" i="9"/>
  <c r="Q27" i="9"/>
  <c r="Q25" i="9"/>
  <c r="Q23" i="9"/>
  <c r="Q13" i="9"/>
  <c r="U197" i="3"/>
  <c r="U1273" i="3"/>
  <c r="U1269" i="3"/>
  <c r="U1265" i="3"/>
  <c r="U1263" i="3"/>
  <c r="U1261" i="3"/>
  <c r="U1257" i="3"/>
  <c r="U1253" i="3"/>
  <c r="U1251" i="3"/>
  <c r="U1249" i="3"/>
  <c r="U1247" i="3"/>
  <c r="U1243" i="3"/>
  <c r="U1240" i="3"/>
  <c r="U1238" i="3"/>
  <c r="U1236" i="3"/>
  <c r="U1233" i="3"/>
  <c r="U1229" i="3"/>
  <c r="U1225" i="3"/>
  <c r="U1222" i="3"/>
  <c r="U1219" i="3"/>
  <c r="U1217" i="3"/>
  <c r="U1215" i="3"/>
  <c r="U1213" i="3"/>
  <c r="U1209" i="3"/>
  <c r="U1207" i="3"/>
  <c r="U1205" i="3"/>
  <c r="U1203" i="3"/>
  <c r="U1199" i="3"/>
  <c r="U1197" i="3"/>
  <c r="U1195" i="3"/>
  <c r="U1193" i="3"/>
  <c r="U1191" i="3"/>
  <c r="U1189" i="3"/>
  <c r="U1187" i="3"/>
  <c r="U1183" i="3"/>
  <c r="U1181" i="3"/>
  <c r="U1178" i="3"/>
  <c r="U1174" i="3"/>
  <c r="U1171" i="3"/>
  <c r="U1164" i="3"/>
  <c r="U1162" i="3"/>
  <c r="U1160" i="3"/>
  <c r="U1158" i="3"/>
  <c r="U1155" i="3"/>
  <c r="U1152" i="3"/>
  <c r="U1150" i="3"/>
  <c r="U1148" i="3"/>
  <c r="U1146" i="3"/>
  <c r="U1143" i="3"/>
  <c r="U1135" i="3"/>
  <c r="U1133" i="3"/>
  <c r="U1131" i="3"/>
  <c r="U1128" i="3"/>
  <c r="U1126" i="3"/>
  <c r="U1124" i="3"/>
  <c r="U1121" i="3"/>
  <c r="U1118" i="3"/>
  <c r="U1115" i="3"/>
  <c r="U1106" i="3"/>
  <c r="U1103" i="3"/>
  <c r="U1091" i="3"/>
  <c r="U1064" i="3"/>
  <c r="U1049" i="3"/>
  <c r="U987" i="3"/>
  <c r="U984" i="3"/>
  <c r="U982" i="3"/>
  <c r="U976" i="3"/>
  <c r="U974" i="3"/>
  <c r="U972" i="3"/>
  <c r="U967" i="3"/>
  <c r="U965" i="3"/>
  <c r="U963" i="3"/>
  <c r="U961" i="3"/>
  <c r="U957" i="3"/>
  <c r="U953" i="3"/>
  <c r="U951" i="3"/>
  <c r="U949" i="3"/>
  <c r="U947" i="3"/>
  <c r="U945" i="3"/>
  <c r="U943" i="3"/>
  <c r="U939" i="3"/>
  <c r="U933" i="3"/>
  <c r="U931" i="3"/>
  <c r="U927" i="3"/>
  <c r="U923" i="3"/>
  <c r="U921" i="3"/>
  <c r="U915" i="3"/>
  <c r="U913" i="3"/>
  <c r="U911" i="3"/>
  <c r="U909" i="3"/>
  <c r="U906" i="3"/>
  <c r="U904" i="3"/>
  <c r="U901" i="3"/>
  <c r="U895" i="3"/>
  <c r="U893" i="3"/>
  <c r="U891" i="3"/>
  <c r="U888" i="3"/>
  <c r="U886" i="3"/>
  <c r="U876" i="3"/>
  <c r="U873" i="3"/>
  <c r="U871" i="3"/>
  <c r="U869" i="3"/>
  <c r="U867" i="3"/>
  <c r="U865" i="3"/>
  <c r="U863" i="3"/>
  <c r="U860" i="3"/>
  <c r="U854" i="3"/>
  <c r="U844" i="3"/>
  <c r="U842" i="3"/>
  <c r="U840" i="3"/>
  <c r="U837" i="3"/>
  <c r="U835" i="3"/>
  <c r="U831" i="3"/>
  <c r="U826" i="3"/>
  <c r="U820" i="3"/>
  <c r="U800" i="3"/>
  <c r="U794" i="3"/>
  <c r="U772" i="3"/>
  <c r="U708" i="3"/>
  <c r="U684" i="3"/>
  <c r="U553" i="3"/>
  <c r="U550" i="3"/>
  <c r="U546" i="3"/>
  <c r="U540" i="3"/>
  <c r="U531" i="3"/>
  <c r="U529" i="3"/>
  <c r="U526" i="3"/>
  <c r="U524" i="3"/>
  <c r="U517" i="3"/>
  <c r="U515" i="3"/>
  <c r="U513" i="3"/>
  <c r="U510" i="3"/>
  <c r="U508" i="3"/>
  <c r="U506" i="3"/>
  <c r="U500" i="3"/>
  <c r="U495" i="3"/>
  <c r="U493" i="3"/>
  <c r="U491" i="3"/>
  <c r="U482" i="3"/>
  <c r="U470" i="3"/>
  <c r="U464" i="3"/>
  <c r="U462" i="3"/>
  <c r="U460" i="3"/>
  <c r="U458" i="3"/>
  <c r="U456" i="3"/>
  <c r="U454" i="3"/>
  <c r="U452" i="3"/>
  <c r="U442" i="3"/>
  <c r="U439" i="3"/>
  <c r="U433" i="3"/>
  <c r="U425" i="3"/>
  <c r="U421" i="3"/>
  <c r="U419" i="3"/>
  <c r="U414" i="3"/>
  <c r="U412" i="3"/>
  <c r="U410" i="3"/>
  <c r="U404" i="3"/>
  <c r="U402" i="3"/>
  <c r="U397" i="3"/>
  <c r="U395" i="3"/>
  <c r="U392" i="3"/>
  <c r="U387" i="3"/>
  <c r="U385" i="3"/>
  <c r="U383" i="3"/>
  <c r="U380" i="3"/>
  <c r="U364" i="3"/>
  <c r="U362" i="3"/>
  <c r="U359" i="3"/>
  <c r="U355" i="3"/>
  <c r="U352" i="3"/>
  <c r="U349" i="3"/>
  <c r="U342" i="3"/>
  <c r="U325" i="3"/>
  <c r="U309" i="3"/>
  <c r="U307" i="3"/>
  <c r="U301" i="3"/>
  <c r="U295" i="3"/>
  <c r="U292" i="3"/>
  <c r="U290" i="3"/>
  <c r="U285" i="3"/>
  <c r="U278" i="3"/>
  <c r="U271" i="3"/>
  <c r="U244" i="3"/>
  <c r="U237" i="3"/>
  <c r="U155" i="3"/>
  <c r="U123" i="3"/>
  <c r="U15" i="3"/>
  <c r="AF1248" i="3"/>
  <c r="AF1232" i="3"/>
  <c r="W1232" i="3" s="1"/>
  <c r="AF1109" i="3"/>
  <c r="AF1062" i="3"/>
  <c r="W1062" i="3" s="1"/>
  <c r="AF1060" i="3"/>
  <c r="AF905" i="3"/>
  <c r="W905" i="3" s="1"/>
  <c r="AF896" i="3"/>
  <c r="AF732" i="3"/>
  <c r="W732" i="3" s="1"/>
  <c r="AF477" i="3"/>
  <c r="AF468" i="3"/>
  <c r="AF459" i="3"/>
  <c r="AF391" i="3"/>
  <c r="AF354" i="3"/>
  <c r="AF283" i="3"/>
  <c r="W283" i="3" s="1"/>
  <c r="AF152" i="3"/>
  <c r="AN71" i="3"/>
  <c r="W71" i="3" s="1"/>
  <c r="AF1274" i="3"/>
  <c r="AF1272" i="3"/>
  <c r="AF1271" i="3"/>
  <c r="AF1270" i="3"/>
  <c r="AF1266" i="3"/>
  <c r="AF1264" i="3"/>
  <c r="AF1262" i="3"/>
  <c r="AF1258" i="3"/>
  <c r="W1258" i="3" s="1"/>
  <c r="AF1256" i="3"/>
  <c r="W1256" i="3" s="1"/>
  <c r="AF1255" i="3"/>
  <c r="W1255" i="3" s="1"/>
  <c r="AF1254" i="3"/>
  <c r="W1254" i="3" s="1"/>
  <c r="AF1252" i="3"/>
  <c r="W1252" i="3" s="1"/>
  <c r="AF1250" i="3"/>
  <c r="AF1244" i="3"/>
  <c r="W1244" i="3" s="1"/>
  <c r="AF1242" i="3"/>
  <c r="W1242" i="3" s="1"/>
  <c r="AF1241" i="3"/>
  <c r="W1241" i="3" s="1"/>
  <c r="AF1239" i="3"/>
  <c r="W1239" i="3" s="1"/>
  <c r="AF1237" i="3"/>
  <c r="W1237" i="3" s="1"/>
  <c r="AF1235" i="3"/>
  <c r="W1235" i="3" s="1"/>
  <c r="AF1234" i="3"/>
  <c r="W1234" i="3" s="1"/>
  <c r="AF1228" i="3"/>
  <c r="W1228" i="3" s="1"/>
  <c r="AF1227" i="3"/>
  <c r="W1227" i="3" s="1"/>
  <c r="AF1226" i="3"/>
  <c r="W1226" i="3" s="1"/>
  <c r="AF1224" i="3"/>
  <c r="W1224" i="3" s="1"/>
  <c r="AF1223" i="3"/>
  <c r="W1223" i="3" s="1"/>
  <c r="AF1221" i="3"/>
  <c r="W1221" i="3" s="1"/>
  <c r="AF1218" i="3"/>
  <c r="W1218" i="3" s="1"/>
  <c r="AF1216" i="3"/>
  <c r="W1216" i="3" s="1"/>
  <c r="AF1214" i="3"/>
  <c r="W1214" i="3" s="1"/>
  <c r="AF1212" i="3"/>
  <c r="W1212" i="3" s="1"/>
  <c r="AF1211" i="3"/>
  <c r="W1211" i="3" s="1"/>
  <c r="AF1210" i="3"/>
  <c r="W1210" i="3" s="1"/>
  <c r="AF1208" i="3"/>
  <c r="W1208" i="3" s="1"/>
  <c r="AF1206" i="3"/>
  <c r="W1206" i="3" s="1"/>
  <c r="AF1201" i="3"/>
  <c r="W1201" i="3" s="1"/>
  <c r="AF1200" i="3"/>
  <c r="W1200" i="3" s="1"/>
  <c r="AF1196" i="3"/>
  <c r="W1196" i="3" s="1"/>
  <c r="AF1194" i="3"/>
  <c r="W1194" i="3" s="1"/>
  <c r="AF1192" i="3"/>
  <c r="W1192" i="3" s="1"/>
  <c r="AF1190" i="3"/>
  <c r="W1190" i="3" s="1"/>
  <c r="AF1188" i="3"/>
  <c r="W1188" i="3" s="1"/>
  <c r="AF1186" i="3"/>
  <c r="W1186" i="3" s="1"/>
  <c r="AF1185" i="3"/>
  <c r="W1185" i="3" s="1"/>
  <c r="AF1184" i="3"/>
  <c r="W1184" i="3" s="1"/>
  <c r="AF1182" i="3"/>
  <c r="W1182" i="3" s="1"/>
  <c r="AF1180" i="3"/>
  <c r="W1180" i="3" s="1"/>
  <c r="AF1179" i="3"/>
  <c r="W1179" i="3" s="1"/>
  <c r="AF1177" i="3"/>
  <c r="W1177" i="3" s="1"/>
  <c r="AF1176" i="3"/>
  <c r="W1176" i="3" s="1"/>
  <c r="AF1172" i="3"/>
  <c r="W1172" i="3" s="1"/>
  <c r="AF1169" i="3"/>
  <c r="W1169" i="3" s="1"/>
  <c r="AF1168" i="3"/>
  <c r="W1168" i="3" s="1"/>
  <c r="AF1167" i="3"/>
  <c r="W1167" i="3" s="1"/>
  <c r="AF1165" i="3"/>
  <c r="W1165" i="3" s="1"/>
  <c r="AF1163" i="3"/>
  <c r="W1163" i="3" s="1"/>
  <c r="AF1161" i="3"/>
  <c r="W1161" i="3" s="1"/>
  <c r="AF1159" i="3"/>
  <c r="W1159" i="3" s="1"/>
  <c r="AF1157" i="3"/>
  <c r="W1157" i="3" s="1"/>
  <c r="AF1156" i="3"/>
  <c r="W1156" i="3" s="1"/>
  <c r="AF1154" i="3"/>
  <c r="W1154" i="3" s="1"/>
  <c r="AF1153" i="3"/>
  <c r="W1153" i="3" s="1"/>
  <c r="AF1151" i="3"/>
  <c r="W1151" i="3" s="1"/>
  <c r="AF1147" i="3"/>
  <c r="W1147" i="3" s="1"/>
  <c r="AF1145" i="3"/>
  <c r="W1145" i="3" s="1"/>
  <c r="AF1144" i="3"/>
  <c r="W1144" i="3" s="1"/>
  <c r="AF1141" i="3"/>
  <c r="W1141" i="3" s="1"/>
  <c r="AF1140" i="3"/>
  <c r="W1140" i="3" s="1"/>
  <c r="AF1138" i="3"/>
  <c r="W1138" i="3" s="1"/>
  <c r="AF1137" i="3"/>
  <c r="W1137" i="3" s="1"/>
  <c r="AF1136" i="3"/>
  <c r="W1136" i="3" s="1"/>
  <c r="AF1134" i="3"/>
  <c r="W1134" i="3" s="1"/>
  <c r="AF1132" i="3"/>
  <c r="W1132" i="3" s="1"/>
  <c r="AF1129" i="3"/>
  <c r="W1129" i="3" s="1"/>
  <c r="AF1125" i="3"/>
  <c r="W1125" i="3" s="1"/>
  <c r="AF1123" i="3"/>
  <c r="W1123" i="3" s="1"/>
  <c r="AF1122" i="3"/>
  <c r="W1122" i="3" s="1"/>
  <c r="AF1117" i="3"/>
  <c r="W1117" i="3" s="1"/>
  <c r="AF1116" i="3"/>
  <c r="W1116" i="3" s="1"/>
  <c r="AF1114" i="3"/>
  <c r="W1114" i="3" s="1"/>
  <c r="AF1113" i="3"/>
  <c r="W1113" i="3" s="1"/>
  <c r="AF1112" i="3"/>
  <c r="W1112" i="3" s="1"/>
  <c r="AF1110" i="3"/>
  <c r="W1110" i="3" s="1"/>
  <c r="AF1108" i="3"/>
  <c r="W1108" i="3" s="1"/>
  <c r="AF1107" i="3"/>
  <c r="W1107" i="3" s="1"/>
  <c r="AF1102" i="3"/>
  <c r="W1102" i="3" s="1"/>
  <c r="AF1100" i="3"/>
  <c r="W1100" i="3" s="1"/>
  <c r="AF1099" i="3"/>
  <c r="W1099" i="3" s="1"/>
  <c r="AF1098" i="3"/>
  <c r="W1098" i="3" s="1"/>
  <c r="AF1097" i="3"/>
  <c r="W1097" i="3" s="1"/>
  <c r="AF1096" i="3"/>
  <c r="W1096" i="3" s="1"/>
  <c r="AF1094" i="3"/>
  <c r="W1094" i="3" s="1"/>
  <c r="AF1093" i="3"/>
  <c r="W1093" i="3" s="1"/>
  <c r="AF1092" i="3"/>
  <c r="W1092" i="3" s="1"/>
  <c r="AF1089" i="3"/>
  <c r="W1089" i="3" s="1"/>
  <c r="AF1088" i="3"/>
  <c r="W1088" i="3" s="1"/>
  <c r="AF1087" i="3"/>
  <c r="W1087" i="3" s="1"/>
  <c r="AF1086" i="3"/>
  <c r="W1086" i="3" s="1"/>
  <c r="AF1085" i="3"/>
  <c r="W1085" i="3" s="1"/>
  <c r="AF1084" i="3"/>
  <c r="W1084" i="3" s="1"/>
  <c r="AF1083" i="3"/>
  <c r="W1083" i="3" s="1"/>
  <c r="AF1082" i="3"/>
  <c r="W1082" i="3" s="1"/>
  <c r="AF1081" i="3"/>
  <c r="W1081" i="3" s="1"/>
  <c r="AF1080" i="3"/>
  <c r="W1080" i="3" s="1"/>
  <c r="AF1079" i="3"/>
  <c r="W1079" i="3" s="1"/>
  <c r="AF1077" i="3"/>
  <c r="W1077" i="3" s="1"/>
  <c r="AF1073" i="3"/>
  <c r="W1073" i="3" s="1"/>
  <c r="AF1072" i="3"/>
  <c r="W1072" i="3" s="1"/>
  <c r="AF1071" i="3"/>
  <c r="W1071" i="3" s="1"/>
  <c r="AF1070" i="3"/>
  <c r="W1070" i="3" s="1"/>
  <c r="AF1069" i="3"/>
  <c r="W1069" i="3" s="1"/>
  <c r="AF1067" i="3"/>
  <c r="W1067" i="3" s="1"/>
  <c r="AF1066" i="3"/>
  <c r="W1066" i="3" s="1"/>
  <c r="AF1065" i="3"/>
  <c r="W1065" i="3" s="1"/>
  <c r="AF1063" i="3"/>
  <c r="W1063" i="3" s="1"/>
  <c r="AF1061" i="3"/>
  <c r="W1061" i="3" s="1"/>
  <c r="AF1059" i="3"/>
  <c r="W1059" i="3" s="1"/>
  <c r="AF1058" i="3"/>
  <c r="W1058" i="3" s="1"/>
  <c r="AF1057" i="3"/>
  <c r="W1057" i="3" s="1"/>
  <c r="AF1056" i="3"/>
  <c r="W1056" i="3" s="1"/>
  <c r="AF1054" i="3"/>
  <c r="W1054" i="3" s="1"/>
  <c r="AF1053" i="3"/>
  <c r="W1053" i="3" s="1"/>
  <c r="AF1052" i="3"/>
  <c r="W1052" i="3" s="1"/>
  <c r="AF1051" i="3"/>
  <c r="W1051" i="3" s="1"/>
  <c r="AF1050" i="3"/>
  <c r="W1050" i="3" s="1"/>
  <c r="AF1048" i="3"/>
  <c r="W1048" i="3" s="1"/>
  <c r="AF1047" i="3"/>
  <c r="W1047" i="3" s="1"/>
  <c r="AF1046" i="3"/>
  <c r="W1046" i="3" s="1"/>
  <c r="AF1045" i="3"/>
  <c r="W1045" i="3" s="1"/>
  <c r="AF1044" i="3"/>
  <c r="W1044" i="3" s="1"/>
  <c r="AF1043" i="3"/>
  <c r="W1043" i="3" s="1"/>
  <c r="AF1042" i="3"/>
  <c r="W1042" i="3" s="1"/>
  <c r="AF1039" i="3"/>
  <c r="W1039" i="3" s="1"/>
  <c r="AF1038" i="3"/>
  <c r="W1038" i="3" s="1"/>
  <c r="AF1037" i="3"/>
  <c r="W1037" i="3" s="1"/>
  <c r="AF1036" i="3"/>
  <c r="W1036" i="3" s="1"/>
  <c r="AF1035" i="3"/>
  <c r="W1035" i="3" s="1"/>
  <c r="AF1034" i="3"/>
  <c r="W1034" i="3" s="1"/>
  <c r="AF1033" i="3"/>
  <c r="W1033" i="3" s="1"/>
  <c r="AF1032" i="3"/>
  <c r="W1032" i="3" s="1"/>
  <c r="AF1031" i="3"/>
  <c r="W1031" i="3" s="1"/>
  <c r="AF1030" i="3"/>
  <c r="W1030" i="3" s="1"/>
  <c r="AF1029" i="3"/>
  <c r="W1029" i="3" s="1"/>
  <c r="AF1028" i="3"/>
  <c r="W1028" i="3" s="1"/>
  <c r="AF1027" i="3"/>
  <c r="W1027" i="3" s="1"/>
  <c r="AF1026" i="3"/>
  <c r="W1026" i="3" s="1"/>
  <c r="AF1025" i="3"/>
  <c r="W1025" i="3" s="1"/>
  <c r="AF1024" i="3"/>
  <c r="W1024" i="3" s="1"/>
  <c r="AF1022" i="3"/>
  <c r="W1022" i="3" s="1"/>
  <c r="AF1020" i="3"/>
  <c r="W1020" i="3" s="1"/>
  <c r="AF1019" i="3"/>
  <c r="W1019" i="3" s="1"/>
  <c r="AF1017" i="3"/>
  <c r="W1017" i="3" s="1"/>
  <c r="AF1016" i="3"/>
  <c r="W1016" i="3" s="1"/>
  <c r="AF1015" i="3"/>
  <c r="W1015" i="3" s="1"/>
  <c r="AF1014" i="3"/>
  <c r="W1014" i="3" s="1"/>
  <c r="AF1013" i="3"/>
  <c r="W1013" i="3" s="1"/>
  <c r="AF1012" i="3"/>
  <c r="W1012" i="3" s="1"/>
  <c r="AF1010" i="3"/>
  <c r="W1010" i="3" s="1"/>
  <c r="AF1009" i="3"/>
  <c r="W1009" i="3" s="1"/>
  <c r="AF1008" i="3"/>
  <c r="W1008" i="3" s="1"/>
  <c r="AF1007" i="3"/>
  <c r="W1007" i="3" s="1"/>
  <c r="AF1006" i="3"/>
  <c r="W1006" i="3" s="1"/>
  <c r="AF1005" i="3"/>
  <c r="W1005" i="3" s="1"/>
  <c r="AF1004" i="3"/>
  <c r="W1004" i="3" s="1"/>
  <c r="AF1003" i="3"/>
  <c r="W1003" i="3" s="1"/>
  <c r="AF1002" i="3"/>
  <c r="W1002" i="3" s="1"/>
  <c r="AF1001" i="3"/>
  <c r="W1001" i="3" s="1"/>
  <c r="AF1000" i="3"/>
  <c r="W1000" i="3" s="1"/>
  <c r="AF999" i="3"/>
  <c r="W999" i="3" s="1"/>
  <c r="AF998" i="3"/>
  <c r="W998" i="3" s="1"/>
  <c r="AF997" i="3"/>
  <c r="W997" i="3" s="1"/>
  <c r="AF996" i="3"/>
  <c r="W996" i="3" s="1"/>
  <c r="AF995" i="3"/>
  <c r="W995" i="3" s="1"/>
  <c r="AF994" i="3"/>
  <c r="W994" i="3" s="1"/>
  <c r="AF993" i="3"/>
  <c r="W993" i="3" s="1"/>
  <c r="AF992" i="3"/>
  <c r="W992" i="3" s="1"/>
  <c r="AF991" i="3"/>
  <c r="W991" i="3" s="1"/>
  <c r="AF990" i="3"/>
  <c r="W990" i="3" s="1"/>
  <c r="AF989" i="3"/>
  <c r="W989" i="3" s="1"/>
  <c r="AF988" i="3"/>
  <c r="W988" i="3" s="1"/>
  <c r="AF985" i="3"/>
  <c r="W985" i="3" s="1"/>
  <c r="AF983" i="3"/>
  <c r="W983" i="3" s="1"/>
  <c r="AF978" i="3"/>
  <c r="W978" i="3" s="1"/>
  <c r="AF977" i="3"/>
  <c r="W977" i="3" s="1"/>
  <c r="AF975" i="3"/>
  <c r="W975" i="3" s="1"/>
  <c r="AF973" i="3"/>
  <c r="W973" i="3" s="1"/>
  <c r="AF971" i="3"/>
  <c r="W971" i="3" s="1"/>
  <c r="AF969" i="3"/>
  <c r="W969" i="3" s="1"/>
  <c r="AF968" i="3"/>
  <c r="W968" i="3" s="1"/>
  <c r="AF966" i="3"/>
  <c r="W966" i="3" s="1"/>
  <c r="AF964" i="3"/>
  <c r="W964" i="3" s="1"/>
  <c r="AF962" i="3"/>
  <c r="W962" i="3" s="1"/>
  <c r="AF960" i="3"/>
  <c r="W960" i="3" s="1"/>
  <c r="AF959" i="3"/>
  <c r="W959" i="3" s="1"/>
  <c r="AF958" i="3"/>
  <c r="W958" i="3" s="1"/>
  <c r="AF956" i="3"/>
  <c r="W956" i="3" s="1"/>
  <c r="AF955" i="3"/>
  <c r="W955" i="3" s="1"/>
  <c r="AF954" i="3"/>
  <c r="W954" i="3" s="1"/>
  <c r="AF952" i="3"/>
  <c r="W952" i="3" s="1"/>
  <c r="AF950" i="3"/>
  <c r="W950" i="3" s="1"/>
  <c r="AF948" i="3"/>
  <c r="W948" i="3" s="1"/>
  <c r="AF946" i="3"/>
  <c r="W946" i="3" s="1"/>
  <c r="AF944" i="3"/>
  <c r="W944" i="3" s="1"/>
  <c r="AF942" i="3"/>
  <c r="W942" i="3" s="1"/>
  <c r="AF941" i="3"/>
  <c r="W941" i="3" s="1"/>
  <c r="AF940" i="3"/>
  <c r="W940" i="3" s="1"/>
  <c r="AF920" i="3"/>
  <c r="W920" i="3" s="1"/>
  <c r="AF938" i="3"/>
  <c r="W938" i="3" s="1"/>
  <c r="AF937" i="3"/>
  <c r="W937" i="3" s="1"/>
  <c r="AF936" i="3"/>
  <c r="W936" i="3" s="1"/>
  <c r="AF935" i="3"/>
  <c r="W935" i="3" s="1"/>
  <c r="AF934" i="3"/>
  <c r="W934" i="3" s="1"/>
  <c r="AF932" i="3"/>
  <c r="W932" i="3" s="1"/>
  <c r="AF929" i="3"/>
  <c r="W929" i="3" s="1"/>
  <c r="AF928" i="3"/>
  <c r="W928" i="3" s="1"/>
  <c r="AF926" i="3"/>
  <c r="W926" i="3" s="1"/>
  <c r="AF925" i="3"/>
  <c r="W925" i="3" s="1"/>
  <c r="AF919" i="3"/>
  <c r="W919" i="3" s="1"/>
  <c r="AF917" i="3"/>
  <c r="W917" i="3" s="1"/>
  <c r="AF916" i="3"/>
  <c r="W916" i="3" s="1"/>
  <c r="AF914" i="3"/>
  <c r="W914" i="3" s="1"/>
  <c r="AF912" i="3"/>
  <c r="W912" i="3" s="1"/>
  <c r="AF910" i="3"/>
  <c r="W910" i="3" s="1"/>
  <c r="AF908" i="3"/>
  <c r="W908" i="3" s="1"/>
  <c r="AF907" i="3"/>
  <c r="W907" i="3" s="1"/>
  <c r="AF903" i="3"/>
  <c r="W903" i="3" s="1"/>
  <c r="AF902" i="3"/>
  <c r="W902" i="3" s="1"/>
  <c r="AF900" i="3"/>
  <c r="W900" i="3" s="1"/>
  <c r="AF899" i="3"/>
  <c r="W899" i="3" s="1"/>
  <c r="AF898" i="3"/>
  <c r="W898" i="3" s="1"/>
  <c r="AF897" i="3"/>
  <c r="W897" i="3" s="1"/>
  <c r="AF894" i="3"/>
  <c r="W894" i="3" s="1"/>
  <c r="AF892" i="3"/>
  <c r="W892" i="3" s="1"/>
  <c r="AF887" i="3"/>
  <c r="W887" i="3" s="1"/>
  <c r="AF885" i="3"/>
  <c r="W885" i="3" s="1"/>
  <c r="AF884" i="3"/>
  <c r="W884" i="3" s="1"/>
  <c r="AF883" i="3"/>
  <c r="W883" i="3" s="1"/>
  <c r="AF882" i="3"/>
  <c r="W882" i="3" s="1"/>
  <c r="AF881" i="3"/>
  <c r="W881" i="3" s="1"/>
  <c r="AF880" i="3"/>
  <c r="W880" i="3" s="1"/>
  <c r="AF879" i="3"/>
  <c r="W879" i="3" s="1"/>
  <c r="AF877" i="3"/>
  <c r="W877" i="3" s="1"/>
  <c r="AF875" i="3"/>
  <c r="W875" i="3" s="1"/>
  <c r="AF874" i="3"/>
  <c r="W874" i="3" s="1"/>
  <c r="AF872" i="3"/>
  <c r="W872" i="3" s="1"/>
  <c r="AF870" i="3"/>
  <c r="W870" i="3" s="1"/>
  <c r="AF868" i="3"/>
  <c r="W868" i="3" s="1"/>
  <c r="AF866" i="3"/>
  <c r="W866" i="3" s="1"/>
  <c r="AF864" i="3"/>
  <c r="W864" i="3" s="1"/>
  <c r="AF859" i="3"/>
  <c r="W859" i="3" s="1"/>
  <c r="AF857" i="3"/>
  <c r="W857" i="3" s="1"/>
  <c r="AF855" i="3"/>
  <c r="W855" i="3" s="1"/>
  <c r="AF853" i="3"/>
  <c r="W853" i="3" s="1"/>
  <c r="AF852" i="3"/>
  <c r="W852" i="3" s="1"/>
  <c r="AF850" i="3"/>
  <c r="W850" i="3" s="1"/>
  <c r="AF849" i="3"/>
  <c r="W849" i="3" s="1"/>
  <c r="AF848" i="3"/>
  <c r="W848" i="3" s="1"/>
  <c r="AF847" i="3"/>
  <c r="W847" i="3" s="1"/>
  <c r="AF846" i="3"/>
  <c r="W846" i="3" s="1"/>
  <c r="AF843" i="3"/>
  <c r="W843" i="3" s="1"/>
  <c r="AF841" i="3"/>
  <c r="W841" i="3" s="1"/>
  <c r="AF838" i="3"/>
  <c r="W838" i="3" s="1"/>
  <c r="AF836" i="3"/>
  <c r="W836" i="3" s="1"/>
  <c r="AF833" i="3"/>
  <c r="W833" i="3" s="1"/>
  <c r="AF832" i="3"/>
  <c r="W832" i="3" s="1"/>
  <c r="AF830" i="3"/>
  <c r="W830" i="3" s="1"/>
  <c r="AF829" i="3"/>
  <c r="W829" i="3" s="1"/>
  <c r="AF828" i="3"/>
  <c r="W828" i="3" s="1"/>
  <c r="AF827" i="3"/>
  <c r="W827" i="3" s="1"/>
  <c r="AF825" i="3"/>
  <c r="W825" i="3" s="1"/>
  <c r="AF824" i="3"/>
  <c r="W824" i="3" s="1"/>
  <c r="AF822" i="3"/>
  <c r="W822" i="3" s="1"/>
  <c r="AF821" i="3"/>
  <c r="W821" i="3" s="1"/>
  <c r="AF817" i="3"/>
  <c r="W817" i="3" s="1"/>
  <c r="AF816" i="3"/>
  <c r="W816" i="3" s="1"/>
  <c r="AF815" i="3"/>
  <c r="W815" i="3" s="1"/>
  <c r="AF814" i="3"/>
  <c r="W814" i="3" s="1"/>
  <c r="AF813" i="3"/>
  <c r="W813" i="3" s="1"/>
  <c r="AF812" i="3"/>
  <c r="W812" i="3" s="1"/>
  <c r="AF811" i="3"/>
  <c r="W811" i="3" s="1"/>
  <c r="AF809" i="3"/>
  <c r="W809" i="3" s="1"/>
  <c r="AF808" i="3"/>
  <c r="W808" i="3" s="1"/>
  <c r="AF807" i="3"/>
  <c r="W807" i="3" s="1"/>
  <c r="AF806" i="3"/>
  <c r="W806" i="3" s="1"/>
  <c r="AF805" i="3"/>
  <c r="W805" i="3" s="1"/>
  <c r="AF804" i="3"/>
  <c r="W804" i="3" s="1"/>
  <c r="AF803" i="3"/>
  <c r="W803" i="3" s="1"/>
  <c r="AF802" i="3"/>
  <c r="W802" i="3" s="1"/>
  <c r="AF801" i="3"/>
  <c r="W801" i="3" s="1"/>
  <c r="AF781" i="3"/>
  <c r="W781" i="3" s="1"/>
  <c r="AF779" i="3"/>
  <c r="AF778" i="3"/>
  <c r="W778" i="3" s="1"/>
  <c r="AF776" i="3"/>
  <c r="W776" i="3" s="1"/>
  <c r="AF775" i="3"/>
  <c r="W775" i="3" s="1"/>
  <c r="AF773" i="3"/>
  <c r="W773" i="3" s="1"/>
  <c r="AF741" i="3"/>
  <c r="W741" i="3" s="1"/>
  <c r="AF740" i="3"/>
  <c r="W740" i="3" s="1"/>
  <c r="AF738" i="3"/>
  <c r="W738" i="3" s="1"/>
  <c r="AF737" i="3"/>
  <c r="W737" i="3" s="1"/>
  <c r="AF736" i="3"/>
  <c r="W736" i="3" s="1"/>
  <c r="AF735" i="3"/>
  <c r="W735" i="3" s="1"/>
  <c r="AF734" i="3"/>
  <c r="W734" i="3" s="1"/>
  <c r="AF731" i="3"/>
  <c r="W731" i="3" s="1"/>
  <c r="AF727" i="3"/>
  <c r="W727" i="3" s="1"/>
  <c r="AF726" i="3"/>
  <c r="W726" i="3" s="1"/>
  <c r="AF725" i="3"/>
  <c r="W725" i="3" s="1"/>
  <c r="AF724" i="3"/>
  <c r="W724" i="3" s="1"/>
  <c r="AF723" i="3"/>
  <c r="W723" i="3" s="1"/>
  <c r="AF722" i="3"/>
  <c r="W722" i="3" s="1"/>
  <c r="AF721" i="3"/>
  <c r="W721" i="3" s="1"/>
  <c r="AF720" i="3"/>
  <c r="W720" i="3" s="1"/>
  <c r="AF719" i="3"/>
  <c r="W719" i="3" s="1"/>
  <c r="AF718" i="3"/>
  <c r="W718" i="3" s="1"/>
  <c r="AF717" i="3"/>
  <c r="W717" i="3" s="1"/>
  <c r="AF713" i="3"/>
  <c r="W713" i="3" s="1"/>
  <c r="AF712" i="3"/>
  <c r="W712" i="3" s="1"/>
  <c r="AF711" i="3"/>
  <c r="W711" i="3" s="1"/>
  <c r="AF710" i="3"/>
  <c r="W710" i="3" s="1"/>
  <c r="AF709" i="3"/>
  <c r="W709" i="3" s="1"/>
  <c r="AF701" i="3"/>
  <c r="W701" i="3" s="1"/>
  <c r="AF700" i="3"/>
  <c r="W700" i="3" s="1"/>
  <c r="AF699" i="3"/>
  <c r="W699" i="3" s="1"/>
  <c r="AF698" i="3"/>
  <c r="W698" i="3" s="1"/>
  <c r="AF697" i="3"/>
  <c r="W697" i="3" s="1"/>
  <c r="AF696" i="3"/>
  <c r="W696" i="3" s="1"/>
  <c r="AF695" i="3"/>
  <c r="W695" i="3" s="1"/>
  <c r="AF694" i="3"/>
  <c r="W694" i="3" s="1"/>
  <c r="AF693" i="3"/>
  <c r="W693" i="3" s="1"/>
  <c r="AF690" i="3"/>
  <c r="W690" i="3" s="1"/>
  <c r="AF689" i="3"/>
  <c r="W689" i="3" s="1"/>
  <c r="AF688" i="3"/>
  <c r="W688" i="3" s="1"/>
  <c r="AF687" i="3"/>
  <c r="W687" i="3" s="1"/>
  <c r="AF685" i="3"/>
  <c r="W685" i="3" s="1"/>
  <c r="AF622" i="3"/>
  <c r="W622" i="3" s="1"/>
  <c r="AF621" i="3"/>
  <c r="W621" i="3" s="1"/>
  <c r="AF619" i="3"/>
  <c r="W619" i="3" s="1"/>
  <c r="AF618" i="3"/>
  <c r="W618" i="3" s="1"/>
  <c r="AF617" i="3"/>
  <c r="W617" i="3" s="1"/>
  <c r="AF616" i="3"/>
  <c r="W616" i="3" s="1"/>
  <c r="AF614" i="3"/>
  <c r="W614" i="3" s="1"/>
  <c r="AF611" i="3"/>
  <c r="W611" i="3" s="1"/>
  <c r="AF609" i="3"/>
  <c r="W609" i="3" s="1"/>
  <c r="AF608" i="3"/>
  <c r="W608" i="3" s="1"/>
  <c r="AF607" i="3"/>
  <c r="W607" i="3" s="1"/>
  <c r="AF605" i="3"/>
  <c r="W605" i="3" s="1"/>
  <c r="AF600" i="3"/>
  <c r="W600" i="3" s="1"/>
  <c r="AF597" i="3"/>
  <c r="W597" i="3" s="1"/>
  <c r="AF596" i="3"/>
  <c r="W596" i="3" s="1"/>
  <c r="AF595" i="3"/>
  <c r="W595" i="3" s="1"/>
  <c r="AF594" i="3"/>
  <c r="W594" i="3" s="1"/>
  <c r="AF593" i="3"/>
  <c r="W593" i="3" s="1"/>
  <c r="AF592" i="3"/>
  <c r="W592" i="3" s="1"/>
  <c r="AF591" i="3"/>
  <c r="W591" i="3" s="1"/>
  <c r="AF590" i="3"/>
  <c r="W590" i="3" s="1"/>
  <c r="AF589" i="3"/>
  <c r="W589" i="3" s="1"/>
  <c r="AF588" i="3"/>
  <c r="W588" i="3" s="1"/>
  <c r="AF587" i="3"/>
  <c r="W587" i="3" s="1"/>
  <c r="AF586" i="3"/>
  <c r="W586" i="3" s="1"/>
  <c r="AF585" i="3"/>
  <c r="W585" i="3" s="1"/>
  <c r="AF584" i="3"/>
  <c r="W584" i="3" s="1"/>
  <c r="AF583" i="3"/>
  <c r="W583" i="3" s="1"/>
  <c r="AF582" i="3"/>
  <c r="W582" i="3" s="1"/>
  <c r="AF581" i="3"/>
  <c r="W581" i="3" s="1"/>
  <c r="AF580" i="3"/>
  <c r="W580" i="3" s="1"/>
  <c r="AF579" i="3"/>
  <c r="W579" i="3" s="1"/>
  <c r="AF577" i="3"/>
  <c r="W577" i="3" s="1"/>
  <c r="AF576" i="3"/>
  <c r="W576" i="3" s="1"/>
  <c r="AF574" i="3"/>
  <c r="W574" i="3" s="1"/>
  <c r="AF573" i="3"/>
  <c r="W573" i="3" s="1"/>
  <c r="AF572" i="3"/>
  <c r="W572" i="3" s="1"/>
  <c r="AF570" i="3"/>
  <c r="W570" i="3" s="1"/>
  <c r="AF569" i="3"/>
  <c r="W569" i="3" s="1"/>
  <c r="AF568" i="3"/>
  <c r="W568" i="3" s="1"/>
  <c r="AF567" i="3"/>
  <c r="W567" i="3" s="1"/>
  <c r="AF566" i="3"/>
  <c r="W566" i="3" s="1"/>
  <c r="AF565" i="3"/>
  <c r="W565" i="3" s="1"/>
  <c r="AF564" i="3"/>
  <c r="W564" i="3" s="1"/>
  <c r="AF563" i="3"/>
  <c r="W563" i="3" s="1"/>
  <c r="AF562" i="3"/>
  <c r="W562" i="3" s="1"/>
  <c r="AF561" i="3"/>
  <c r="W561" i="3" s="1"/>
  <c r="AF560" i="3"/>
  <c r="W560" i="3" s="1"/>
  <c r="AF559" i="3"/>
  <c r="W559" i="3" s="1"/>
  <c r="AF558" i="3"/>
  <c r="W558" i="3" s="1"/>
  <c r="AF557" i="3"/>
  <c r="W557" i="3" s="1"/>
  <c r="AF556" i="3"/>
  <c r="W556" i="3" s="1"/>
  <c r="AF555" i="3"/>
  <c r="W555" i="3" s="1"/>
  <c r="AF554" i="3"/>
  <c r="W554" i="3" s="1"/>
  <c r="AF551" i="3"/>
  <c r="W551" i="3" s="1"/>
  <c r="AF544" i="3"/>
  <c r="W544" i="3" s="1"/>
  <c r="AF542" i="3"/>
  <c r="W542" i="3" s="1"/>
  <c r="AF532" i="3"/>
  <c r="W532" i="3" s="1"/>
  <c r="AF530" i="3"/>
  <c r="W530" i="3" s="1"/>
  <c r="AF527" i="3"/>
  <c r="W527" i="3" s="1"/>
  <c r="AF525" i="3"/>
  <c r="W525" i="3" s="1"/>
  <c r="AF521" i="3"/>
  <c r="W521" i="3" s="1"/>
  <c r="AF520" i="3"/>
  <c r="W520" i="3" s="1"/>
  <c r="AF518" i="3"/>
  <c r="W518" i="3" s="1"/>
  <c r="AF514" i="3"/>
  <c r="W514" i="3" s="1"/>
  <c r="AF511" i="3"/>
  <c r="W511" i="3" s="1"/>
  <c r="AF509" i="3"/>
  <c r="W509" i="3" s="1"/>
  <c r="AF507" i="3"/>
  <c r="W507" i="3" s="1"/>
  <c r="AF505" i="3"/>
  <c r="W505" i="3" s="1"/>
  <c r="AF501" i="3"/>
  <c r="W501" i="3" s="1"/>
  <c r="AF499" i="3"/>
  <c r="W499" i="3" s="1"/>
  <c r="AF498" i="3"/>
  <c r="W498" i="3" s="1"/>
  <c r="AF497" i="3"/>
  <c r="W497" i="3" s="1"/>
  <c r="AF496" i="3"/>
  <c r="W496" i="3" s="1"/>
  <c r="AF492" i="3"/>
  <c r="W492" i="3" s="1"/>
  <c r="AF488" i="3"/>
  <c r="W488" i="3" s="1"/>
  <c r="AF487" i="3"/>
  <c r="W487" i="3" s="1"/>
  <c r="AF486" i="3"/>
  <c r="W486" i="3" s="1"/>
  <c r="AF485" i="3"/>
  <c r="W485" i="3" s="1"/>
  <c r="AF484" i="3"/>
  <c r="W484" i="3" s="1"/>
  <c r="AF483" i="3"/>
  <c r="W483" i="3" s="1"/>
  <c r="AF481" i="3"/>
  <c r="W481" i="3" s="1"/>
  <c r="AF480" i="3"/>
  <c r="W480" i="3" s="1"/>
  <c r="AF479" i="3"/>
  <c r="W479" i="3" s="1"/>
  <c r="AF478" i="3"/>
  <c r="W478" i="3" s="1"/>
  <c r="AF473" i="3"/>
  <c r="W473" i="3" s="1"/>
  <c r="AF472" i="3"/>
  <c r="W472" i="3" s="1"/>
  <c r="AF471" i="3"/>
  <c r="W471" i="3" s="1"/>
  <c r="AF469" i="3"/>
  <c r="W469" i="3" s="1"/>
  <c r="AF466" i="3"/>
  <c r="W466" i="3" s="1"/>
  <c r="AF463" i="3"/>
  <c r="W463" i="3" s="1"/>
  <c r="AF461" i="3"/>
  <c r="W461" i="3" s="1"/>
  <c r="AF457" i="3"/>
  <c r="W457" i="3" s="1"/>
  <c r="AF455" i="3"/>
  <c r="W455" i="3" s="1"/>
  <c r="AF453" i="3"/>
  <c r="W453" i="3" s="1"/>
  <c r="AF451" i="3"/>
  <c r="W451" i="3" s="1"/>
  <c r="AF450" i="3"/>
  <c r="W450" i="3" s="1"/>
  <c r="AF448" i="3"/>
  <c r="W448" i="3" s="1"/>
  <c r="AF447" i="3"/>
  <c r="W447" i="3" s="1"/>
  <c r="AF446" i="3"/>
  <c r="W446" i="3" s="1"/>
  <c r="AF445" i="3"/>
  <c r="W445" i="3" s="1"/>
  <c r="AF444" i="3"/>
  <c r="W444" i="3" s="1"/>
  <c r="AF443" i="3"/>
  <c r="W443" i="3" s="1"/>
  <c r="AF441" i="3"/>
  <c r="W441" i="3" s="1"/>
  <c r="AF440" i="3"/>
  <c r="W440" i="3" s="1"/>
  <c r="AF438" i="3"/>
  <c r="W438" i="3" s="1"/>
  <c r="AF436" i="3"/>
  <c r="W436" i="3" s="1"/>
  <c r="AF435" i="3"/>
  <c r="W435" i="3" s="1"/>
  <c r="AF434" i="3"/>
  <c r="W434" i="3" s="1"/>
  <c r="AF427" i="3"/>
  <c r="W427" i="3" s="1"/>
  <c r="AF426" i="3"/>
  <c r="W426" i="3" s="1"/>
  <c r="AF424" i="3"/>
  <c r="W424" i="3" s="1"/>
  <c r="AF422" i="3"/>
  <c r="W422" i="3" s="1"/>
  <c r="AF420" i="3"/>
  <c r="W420" i="3" s="1"/>
  <c r="AF417" i="3"/>
  <c r="W417" i="3" s="1"/>
  <c r="AF416" i="3"/>
  <c r="W416" i="3" s="1"/>
  <c r="AF415" i="3"/>
  <c r="W415" i="3" s="1"/>
  <c r="AF411" i="3"/>
  <c r="W411" i="3" s="1"/>
  <c r="AF409" i="3"/>
  <c r="W409" i="3" s="1"/>
  <c r="AF408" i="3"/>
  <c r="W408" i="3" s="1"/>
  <c r="AF407" i="3"/>
  <c r="W407" i="3" s="1"/>
  <c r="AF406" i="3"/>
  <c r="W406" i="3" s="1"/>
  <c r="AF405" i="3"/>
  <c r="W405" i="3" s="1"/>
  <c r="AF400" i="3"/>
  <c r="W400" i="3" s="1"/>
  <c r="AF396" i="3"/>
  <c r="W396" i="3" s="1"/>
  <c r="AF393" i="3"/>
  <c r="W393" i="3" s="1"/>
  <c r="AF388" i="3"/>
  <c r="W388" i="3" s="1"/>
  <c r="AF386" i="3"/>
  <c r="W386" i="3" s="1"/>
  <c r="AF384" i="3"/>
  <c r="AF381" i="3"/>
  <c r="W381" i="3" s="1"/>
  <c r="AF379" i="3"/>
  <c r="W379" i="3" s="1"/>
  <c r="AF378" i="3"/>
  <c r="W378" i="3" s="1"/>
  <c r="AF377" i="3"/>
  <c r="W377" i="3" s="1"/>
  <c r="AF375" i="3"/>
  <c r="W375" i="3" s="1"/>
  <c r="AF374" i="3"/>
  <c r="W374" i="3" s="1"/>
  <c r="AF373" i="3"/>
  <c r="W373" i="3" s="1"/>
  <c r="AF370" i="3"/>
  <c r="W370" i="3" s="1"/>
  <c r="AF369" i="3"/>
  <c r="W369" i="3" s="1"/>
  <c r="AF368" i="3"/>
  <c r="W368" i="3" s="1"/>
  <c r="AF367" i="3"/>
  <c r="W367" i="3" s="1"/>
  <c r="AF366" i="3"/>
  <c r="W366" i="3" s="1"/>
  <c r="AF363" i="3"/>
  <c r="AF360" i="3"/>
  <c r="W360" i="3" s="1"/>
  <c r="AF358" i="3"/>
  <c r="W358" i="3" s="1"/>
  <c r="AF353" i="3"/>
  <c r="W353" i="3" s="1"/>
  <c r="AF348" i="3"/>
  <c r="W348" i="3" s="1"/>
  <c r="AF347" i="3"/>
  <c r="W347" i="3" s="1"/>
  <c r="AF340" i="3"/>
  <c r="W340" i="3" s="1"/>
  <c r="AF339" i="3"/>
  <c r="W339" i="3" s="1"/>
  <c r="AF338" i="3"/>
  <c r="W338" i="3" s="1"/>
  <c r="AF337" i="3"/>
  <c r="W337" i="3" s="1"/>
  <c r="AF336" i="3"/>
  <c r="W336" i="3" s="1"/>
  <c r="AF331" i="3"/>
  <c r="W331" i="3" s="1"/>
  <c r="AF330" i="3"/>
  <c r="W330" i="3" s="1"/>
  <c r="AF329" i="3"/>
  <c r="W329" i="3" s="1"/>
  <c r="AF328" i="3"/>
  <c r="W328" i="3" s="1"/>
  <c r="AF326" i="3"/>
  <c r="W326" i="3" s="1"/>
  <c r="AF324" i="3"/>
  <c r="W324" i="3" s="1"/>
  <c r="AF323" i="3"/>
  <c r="W323" i="3" s="1"/>
  <c r="AF322" i="3"/>
  <c r="W322" i="3" s="1"/>
  <c r="AF318" i="3"/>
  <c r="W318" i="3" s="1"/>
  <c r="AF317" i="3"/>
  <c r="W317" i="3" s="1"/>
  <c r="AF314" i="3"/>
  <c r="W314" i="3" s="1"/>
  <c r="AF313" i="3"/>
  <c r="W313" i="3" s="1"/>
  <c r="AF312" i="3"/>
  <c r="W312" i="3" s="1"/>
  <c r="AF311" i="3"/>
  <c r="W311" i="3" s="1"/>
  <c r="AF310" i="3"/>
  <c r="W310" i="3" s="1"/>
  <c r="AF308" i="3"/>
  <c r="W308" i="3" s="1"/>
  <c r="AF302" i="3"/>
  <c r="W302" i="3" s="1"/>
  <c r="AF294" i="3"/>
  <c r="W294" i="3" s="1"/>
  <c r="AF293" i="3"/>
  <c r="W293" i="3" s="1"/>
  <c r="AF289" i="3"/>
  <c r="W289" i="3" s="1"/>
  <c r="AF288" i="3"/>
  <c r="W288" i="3" s="1"/>
  <c r="AF286" i="3"/>
  <c r="W286" i="3" s="1"/>
  <c r="AF284" i="3"/>
  <c r="W284" i="3" s="1"/>
  <c r="AF281" i="3"/>
  <c r="W281" i="3" s="1"/>
  <c r="AF280" i="3"/>
  <c r="W280" i="3" s="1"/>
  <c r="AF279" i="3"/>
  <c r="AF277" i="3"/>
  <c r="W277" i="3" s="1"/>
  <c r="AF276" i="3"/>
  <c r="W276" i="3" s="1"/>
  <c r="AF275" i="3"/>
  <c r="W275" i="3" s="1"/>
  <c r="AF274" i="3"/>
  <c r="W274" i="3" s="1"/>
  <c r="AF273" i="3"/>
  <c r="W273" i="3" s="1"/>
  <c r="AF272" i="3"/>
  <c r="W272" i="3" s="1"/>
  <c r="AF270" i="3"/>
  <c r="W270" i="3" s="1"/>
  <c r="AF269" i="3"/>
  <c r="W269" i="3" s="1"/>
  <c r="AF268" i="3"/>
  <c r="W268" i="3" s="1"/>
  <c r="AF267" i="3"/>
  <c r="W267" i="3" s="1"/>
  <c r="AF266" i="3"/>
  <c r="W266" i="3" s="1"/>
  <c r="AF264" i="3"/>
  <c r="W264" i="3" s="1"/>
  <c r="AF263" i="3"/>
  <c r="W263" i="3" s="1"/>
  <c r="AF262" i="3"/>
  <c r="W262" i="3" s="1"/>
  <c r="AF260" i="3"/>
  <c r="W260" i="3" s="1"/>
  <c r="AF258" i="3"/>
  <c r="W258" i="3" s="1"/>
  <c r="AF257" i="3"/>
  <c r="W257" i="3" s="1"/>
  <c r="AF256" i="3"/>
  <c r="W256" i="3" s="1"/>
  <c r="AF255" i="3"/>
  <c r="W255" i="3" s="1"/>
  <c r="AF254" i="3"/>
  <c r="W254" i="3" s="1"/>
  <c r="AF253" i="3"/>
  <c r="W253" i="3" s="1"/>
  <c r="AF251" i="3"/>
  <c r="W251" i="3" s="1"/>
  <c r="AF250" i="3"/>
  <c r="W250" i="3" s="1"/>
  <c r="AF249" i="3"/>
  <c r="W249" i="3" s="1"/>
  <c r="AF238" i="3"/>
  <c r="W238" i="3" s="1"/>
  <c r="AF220" i="3"/>
  <c r="W220" i="3" s="1"/>
  <c r="AF214" i="3"/>
  <c r="W214" i="3" s="1"/>
  <c r="AF212" i="3"/>
  <c r="W212" i="3" s="1"/>
  <c r="AF209" i="3"/>
  <c r="W209" i="3" s="1"/>
  <c r="AF208" i="3"/>
  <c r="W208" i="3" s="1"/>
  <c r="AF206" i="3"/>
  <c r="W206" i="3" s="1"/>
  <c r="AF200" i="3"/>
  <c r="W200" i="3" s="1"/>
  <c r="AF199" i="3"/>
  <c r="W199" i="3" s="1"/>
  <c r="AF194" i="3"/>
  <c r="W194" i="3" s="1"/>
  <c r="AF193" i="3"/>
  <c r="W193" i="3" s="1"/>
  <c r="AF192" i="3"/>
  <c r="W192" i="3" s="1"/>
  <c r="AF191" i="3"/>
  <c r="W191" i="3" s="1"/>
  <c r="AF190" i="3"/>
  <c r="W190" i="3" s="1"/>
  <c r="AF189" i="3"/>
  <c r="W189" i="3" s="1"/>
  <c r="AF188" i="3"/>
  <c r="W188" i="3" s="1"/>
  <c r="AF187" i="3"/>
  <c r="W187" i="3" s="1"/>
  <c r="AF179" i="3"/>
  <c r="W179" i="3" s="1"/>
  <c r="AF173" i="3"/>
  <c r="W173" i="3" s="1"/>
  <c r="AF171" i="3"/>
  <c r="W171" i="3" s="1"/>
  <c r="AF170" i="3"/>
  <c r="W170" i="3" s="1"/>
  <c r="AF169" i="3"/>
  <c r="W169" i="3" s="1"/>
  <c r="AF167" i="3"/>
  <c r="W167" i="3" s="1"/>
  <c r="AF166" i="3"/>
  <c r="W166" i="3" s="1"/>
  <c r="AF165" i="3"/>
  <c r="W165" i="3" s="1"/>
  <c r="AF164" i="3"/>
  <c r="W164" i="3" s="1"/>
  <c r="AF162" i="3"/>
  <c r="W162" i="3" s="1"/>
  <c r="AF160" i="3"/>
  <c r="W160" i="3" s="1"/>
  <c r="AF159" i="3"/>
  <c r="W159" i="3" s="1"/>
  <c r="AF158" i="3"/>
  <c r="W158" i="3" s="1"/>
  <c r="AF156" i="3"/>
  <c r="W156" i="3" s="1"/>
  <c r="AF151" i="3"/>
  <c r="W151" i="3" s="1"/>
  <c r="AF150" i="3"/>
  <c r="W150" i="3" s="1"/>
  <c r="AF135" i="3"/>
  <c r="W135" i="3" s="1"/>
  <c r="AF134" i="3"/>
  <c r="W134" i="3" s="1"/>
  <c r="AF133" i="3"/>
  <c r="W133" i="3" s="1"/>
  <c r="AF132" i="3"/>
  <c r="W132" i="3" s="1"/>
  <c r="AF131" i="3"/>
  <c r="W131" i="3" s="1"/>
  <c r="AF130" i="3"/>
  <c r="W130" i="3" s="1"/>
  <c r="AF129" i="3"/>
  <c r="W129" i="3" s="1"/>
  <c r="AF128" i="3"/>
  <c r="W128" i="3" s="1"/>
  <c r="AF126" i="3"/>
  <c r="W126" i="3" s="1"/>
  <c r="AF125" i="3"/>
  <c r="W125" i="3" s="1"/>
  <c r="AF124" i="3"/>
  <c r="W124" i="3" s="1"/>
  <c r="AF120" i="3"/>
  <c r="W120" i="3" s="1"/>
  <c r="AF119" i="3"/>
  <c r="W119" i="3" s="1"/>
  <c r="AF112" i="3"/>
  <c r="W112" i="3" s="1"/>
  <c r="AF109" i="3"/>
  <c r="W109" i="3" s="1"/>
  <c r="AF107" i="3"/>
  <c r="W107" i="3" s="1"/>
  <c r="AF105" i="3"/>
  <c r="W105" i="3" s="1"/>
  <c r="AF104" i="3"/>
  <c r="W104" i="3" s="1"/>
  <c r="AF103" i="3"/>
  <c r="W103" i="3" s="1"/>
  <c r="AF102" i="3"/>
  <c r="W102" i="3" s="1"/>
  <c r="AF101" i="3"/>
  <c r="W101" i="3" s="1"/>
  <c r="AF100" i="3"/>
  <c r="W100" i="3" s="1"/>
  <c r="AF99" i="3"/>
  <c r="W99" i="3" s="1"/>
  <c r="AF98" i="3"/>
  <c r="W98" i="3" s="1"/>
  <c r="AF97" i="3"/>
  <c r="W97" i="3" s="1"/>
  <c r="AF96" i="3"/>
  <c r="W96" i="3" s="1"/>
  <c r="AF93" i="3"/>
  <c r="W93" i="3" s="1"/>
  <c r="AF90" i="3"/>
  <c r="W90" i="3" s="1"/>
  <c r="AF85" i="3"/>
  <c r="W85" i="3" s="1"/>
  <c r="AF81" i="3"/>
  <c r="W81" i="3" s="1"/>
  <c r="AF80" i="3"/>
  <c r="W80" i="3" s="1"/>
  <c r="AF79" i="3"/>
  <c r="W79" i="3" s="1"/>
  <c r="AF78" i="3"/>
  <c r="W78" i="3" s="1"/>
  <c r="AF76" i="3"/>
  <c r="W76" i="3" s="1"/>
  <c r="AF74" i="3"/>
  <c r="W74" i="3" s="1"/>
  <c r="AF73" i="3"/>
  <c r="W73" i="3" s="1"/>
  <c r="AF72" i="3"/>
  <c r="W72" i="3" s="1"/>
  <c r="AF69" i="3"/>
  <c r="W69" i="3" s="1"/>
  <c r="AF68" i="3"/>
  <c r="W68" i="3" s="1"/>
  <c r="AF67" i="3"/>
  <c r="W67" i="3" s="1"/>
  <c r="AF62" i="3"/>
  <c r="W62" i="3" s="1"/>
  <c r="AF61" i="3"/>
  <c r="W61" i="3" s="1"/>
  <c r="AF60" i="3"/>
  <c r="W60" i="3" s="1"/>
  <c r="AF59" i="3"/>
  <c r="W59" i="3" s="1"/>
  <c r="AF58" i="3"/>
  <c r="W58" i="3" s="1"/>
  <c r="AF57" i="3"/>
  <c r="W57" i="3" s="1"/>
  <c r="AF56" i="3"/>
  <c r="W56" i="3" s="1"/>
  <c r="AF55" i="3"/>
  <c r="W55" i="3" s="1"/>
  <c r="AF54" i="3"/>
  <c r="W54" i="3" s="1"/>
  <c r="AF53" i="3"/>
  <c r="W53" i="3" s="1"/>
  <c r="AF52" i="3"/>
  <c r="W52" i="3" s="1"/>
  <c r="AF51" i="3"/>
  <c r="W51" i="3" s="1"/>
  <c r="AF50" i="3"/>
  <c r="W50" i="3" s="1"/>
  <c r="AF49" i="3"/>
  <c r="W49" i="3" s="1"/>
  <c r="AF48" i="3"/>
  <c r="W48" i="3" s="1"/>
  <c r="AF47" i="3"/>
  <c r="W47" i="3" s="1"/>
  <c r="AF44" i="3"/>
  <c r="W44" i="3" s="1"/>
  <c r="AF43" i="3"/>
  <c r="W43" i="3" s="1"/>
  <c r="AF38" i="3"/>
  <c r="W38" i="3" s="1"/>
  <c r="AF37" i="3"/>
  <c r="W37" i="3" s="1"/>
  <c r="AF34" i="3"/>
  <c r="W34" i="3" s="1"/>
  <c r="AF33" i="3"/>
  <c r="W33" i="3" s="1"/>
  <c r="AF32" i="3"/>
  <c r="W32" i="3" s="1"/>
  <c r="AF31" i="3"/>
  <c r="W31" i="3" s="1"/>
  <c r="AF30" i="3"/>
  <c r="W30" i="3" s="1"/>
  <c r="AF28" i="3"/>
  <c r="W28" i="3" s="1"/>
  <c r="AF27" i="3"/>
  <c r="W27" i="3" s="1"/>
  <c r="AF26" i="3"/>
  <c r="W26" i="3" s="1"/>
  <c r="AF25" i="3"/>
  <c r="W25" i="3" s="1"/>
  <c r="AF24" i="3"/>
  <c r="W24" i="3" s="1"/>
  <c r="AF23" i="3"/>
  <c r="W23" i="3" s="1"/>
  <c r="AF22" i="3"/>
  <c r="W22" i="3" s="1"/>
  <c r="AF21" i="3"/>
  <c r="W21" i="3" s="1"/>
  <c r="AF19" i="3"/>
  <c r="W19" i="3" s="1"/>
  <c r="AF17" i="3"/>
  <c r="W17" i="3" s="1"/>
  <c r="AF16" i="3"/>
  <c r="W16" i="3" s="1"/>
  <c r="W1202" i="3"/>
  <c r="W1130" i="3"/>
  <c r="W1119" i="3"/>
  <c r="W1104" i="3"/>
  <c r="W981" i="3"/>
  <c r="W980" i="3"/>
  <c r="W979" i="3"/>
  <c r="W924" i="3"/>
  <c r="W834" i="3"/>
  <c r="W823" i="3"/>
  <c r="W798" i="3"/>
  <c r="W796" i="3"/>
  <c r="W782" i="3"/>
  <c r="W745" i="3"/>
  <c r="W705" i="3"/>
  <c r="W704" i="3"/>
  <c r="W703" i="3"/>
  <c r="W702" i="3"/>
  <c r="W692" i="3"/>
  <c r="W536" i="3"/>
  <c r="W534" i="3"/>
  <c r="W533" i="3"/>
  <c r="W523" i="3"/>
  <c r="W522" i="3"/>
  <c r="W516" i="3"/>
  <c r="W490" i="3"/>
  <c r="W476" i="3"/>
  <c r="W475" i="3"/>
  <c r="W474" i="3"/>
  <c r="W437" i="3"/>
  <c r="W431" i="3"/>
  <c r="W430" i="3"/>
  <c r="W429" i="3"/>
  <c r="W428" i="3"/>
  <c r="W423" i="3"/>
  <c r="W394" i="3"/>
  <c r="W376" i="3"/>
  <c r="W371" i="3"/>
  <c r="W361" i="3"/>
  <c r="W357" i="3"/>
  <c r="W333" i="3"/>
  <c r="W306" i="3"/>
  <c r="W304" i="3"/>
  <c r="W303" i="3"/>
  <c r="W299" i="3"/>
  <c r="W291" i="3"/>
  <c r="W287" i="3"/>
  <c r="W265" i="3"/>
  <c r="W261" i="3"/>
  <c r="W241" i="3"/>
  <c r="W230" i="3"/>
  <c r="W213" i="3"/>
  <c r="W211" i="3"/>
  <c r="W205" i="3"/>
  <c r="W185" i="3"/>
  <c r="W181" i="3"/>
  <c r="W180" i="3"/>
  <c r="W178" i="3"/>
  <c r="W172" i="3"/>
  <c r="W168" i="3"/>
  <c r="W157" i="3"/>
  <c r="W149" i="3"/>
  <c r="W148" i="3"/>
  <c r="W147" i="3"/>
  <c r="W143" i="3"/>
  <c r="W141" i="3"/>
  <c r="W138" i="3"/>
  <c r="W137" i="3"/>
  <c r="W84" i="3"/>
  <c r="W35" i="3"/>
  <c r="AN1170" i="3"/>
  <c r="W1170" i="3" s="1"/>
  <c r="AN1166" i="3"/>
  <c r="W1166" i="3" s="1"/>
  <c r="AN878" i="3"/>
  <c r="AN856" i="3"/>
  <c r="W856" i="3" s="1"/>
  <c r="AN730" i="3"/>
  <c r="W730" i="3" s="1"/>
  <c r="AN729" i="3"/>
  <c r="W729" i="3" s="1"/>
  <c r="AN728" i="3"/>
  <c r="W728" i="3" s="1"/>
  <c r="AN543" i="3"/>
  <c r="AN465" i="3"/>
  <c r="AN418" i="3"/>
  <c r="AN401" i="3"/>
  <c r="AN390" i="3"/>
  <c r="AN246" i="3"/>
  <c r="W246" i="3" s="1"/>
  <c r="AL1274" i="3"/>
  <c r="AL1272" i="3"/>
  <c r="AL1271" i="3"/>
  <c r="AL1270" i="3"/>
  <c r="AL1266" i="3"/>
  <c r="AL1264" i="3"/>
  <c r="AL1262" i="3"/>
  <c r="AL1204" i="3"/>
  <c r="W1204" i="3" s="1"/>
  <c r="AL1120" i="3"/>
  <c r="AL1111" i="3"/>
  <c r="W1111" i="3" s="1"/>
  <c r="AL858" i="3"/>
  <c r="W858" i="3" s="1"/>
  <c r="AL819" i="3"/>
  <c r="W819" i="3" s="1"/>
  <c r="AL818" i="3"/>
  <c r="AL744" i="3"/>
  <c r="W744" i="3" s="1"/>
  <c r="AL345" i="3"/>
  <c r="W345" i="3" s="1"/>
  <c r="AL335" i="3"/>
  <c r="W335" i="3" s="1"/>
  <c r="AL175" i="3"/>
  <c r="W175" i="3" s="1"/>
  <c r="AJ707" i="3"/>
  <c r="AJ503" i="3"/>
  <c r="W503" i="3" s="1"/>
  <c r="AJ341" i="3"/>
  <c r="W341" i="3" s="1"/>
  <c r="AJ153" i="3"/>
  <c r="AJ1246" i="3"/>
  <c r="W1246" i="3" s="1"/>
  <c r="AJ1245" i="3"/>
  <c r="W1245" i="3" s="1"/>
  <c r="AJ1149" i="3"/>
  <c r="W1149" i="3" s="1"/>
  <c r="AJ1105" i="3"/>
  <c r="W1105" i="3" s="1"/>
  <c r="AJ970" i="3"/>
  <c r="W970" i="3" s="1"/>
  <c r="AJ922" i="3"/>
  <c r="AJ861" i="3"/>
  <c r="W861" i="3" s="1"/>
  <c r="AJ845" i="3"/>
  <c r="W845" i="3" s="1"/>
  <c r="AJ799" i="3"/>
  <c r="W799" i="3" s="1"/>
  <c r="AJ797" i="3"/>
  <c r="W797" i="3" s="1"/>
  <c r="AJ691" i="3"/>
  <c r="W691" i="3" s="1"/>
  <c r="AJ606" i="3"/>
  <c r="W606" i="3" s="1"/>
  <c r="AJ449" i="3"/>
  <c r="W449" i="3" s="1"/>
  <c r="AJ351" i="3"/>
  <c r="W351" i="3" s="1"/>
  <c r="AJ350" i="3"/>
  <c r="W350" i="3" s="1"/>
  <c r="AJ334" i="3"/>
  <c r="W334" i="3" s="1"/>
  <c r="AJ332" i="3"/>
  <c r="W332" i="3" s="1"/>
  <c r="AJ239" i="3"/>
  <c r="W239" i="3" s="1"/>
  <c r="AJ144" i="3"/>
  <c r="W144" i="3" s="1"/>
  <c r="AJ1274" i="3"/>
  <c r="AJ1272" i="3"/>
  <c r="AJ1266" i="3"/>
  <c r="AJ1264" i="3"/>
  <c r="AJ1262" i="3"/>
  <c r="AJ1250" i="3"/>
  <c r="AJ1231" i="3"/>
  <c r="W1231" i="3" s="1"/>
  <c r="AJ1220" i="3"/>
  <c r="W1220" i="3" s="1"/>
  <c r="AJ1198" i="3"/>
  <c r="W1198" i="3" s="1"/>
  <c r="AJ1175" i="3"/>
  <c r="W1175" i="3" s="1"/>
  <c r="AJ1173" i="3"/>
  <c r="W1173" i="3" s="1"/>
  <c r="AJ1139" i="3"/>
  <c r="W1139" i="3" s="1"/>
  <c r="AJ1127" i="3"/>
  <c r="W1127" i="3" s="1"/>
  <c r="AJ1120" i="3"/>
  <c r="AJ1101" i="3"/>
  <c r="W1101" i="3" s="1"/>
  <c r="AJ1068" i="3"/>
  <c r="W1068" i="3" s="1"/>
  <c r="AJ1023" i="3"/>
  <c r="W1023" i="3" s="1"/>
  <c r="AJ1021" i="3"/>
  <c r="W1021" i="3" s="1"/>
  <c r="AJ1018" i="3"/>
  <c r="W1018" i="3" s="1"/>
  <c r="AJ890" i="3"/>
  <c r="W890" i="3" s="1"/>
  <c r="AJ889" i="3"/>
  <c r="W889" i="3" s="1"/>
  <c r="AJ862" i="3"/>
  <c r="W862" i="3" s="1"/>
  <c r="AJ851" i="3"/>
  <c r="W851" i="3" s="1"/>
  <c r="AJ818" i="3"/>
  <c r="AJ779" i="3"/>
  <c r="AJ743" i="3"/>
  <c r="W743" i="3" s="1"/>
  <c r="AJ742" i="3"/>
  <c r="W742" i="3" s="1"/>
  <c r="AJ733" i="3"/>
  <c r="W733" i="3" s="1"/>
  <c r="AJ706" i="3"/>
  <c r="W706" i="3" s="1"/>
  <c r="AJ686" i="3"/>
  <c r="W686" i="3" s="1"/>
  <c r="AJ615" i="3"/>
  <c r="W615" i="3" s="1"/>
  <c r="AJ612" i="3"/>
  <c r="W612" i="3" s="1"/>
  <c r="AJ610" i="3"/>
  <c r="W610" i="3" s="1"/>
  <c r="AJ602" i="3"/>
  <c r="W602" i="3" s="1"/>
  <c r="AJ601" i="3"/>
  <c r="W601" i="3" s="1"/>
  <c r="AJ599" i="3"/>
  <c r="W599" i="3" s="1"/>
  <c r="AJ598" i="3"/>
  <c r="W598" i="3" s="1"/>
  <c r="AJ578" i="3"/>
  <c r="W578" i="3" s="1"/>
  <c r="AJ575" i="3"/>
  <c r="W575" i="3" s="1"/>
  <c r="AJ571" i="3"/>
  <c r="W571" i="3" s="1"/>
  <c r="AJ548" i="3"/>
  <c r="W548" i="3" s="1"/>
  <c r="AJ528" i="3"/>
  <c r="W528" i="3" s="1"/>
  <c r="AJ504" i="3"/>
  <c r="W504" i="3" s="1"/>
  <c r="AJ502" i="3"/>
  <c r="W502" i="3" s="1"/>
  <c r="AJ494" i="3"/>
  <c r="W494" i="3" s="1"/>
  <c r="AJ467" i="3"/>
  <c r="W467" i="3" s="1"/>
  <c r="AJ432" i="3"/>
  <c r="W432" i="3" s="1"/>
  <c r="AJ403" i="3"/>
  <c r="W403" i="3" s="1"/>
  <c r="AJ399" i="3"/>
  <c r="W399" i="3" s="1"/>
  <c r="AJ398" i="3"/>
  <c r="W398" i="3" s="1"/>
  <c r="AJ389" i="3"/>
  <c r="W389" i="3" s="1"/>
  <c r="AJ384" i="3"/>
  <c r="AJ372" i="3"/>
  <c r="W372" i="3" s="1"/>
  <c r="AJ363" i="3"/>
  <c r="AJ346" i="3"/>
  <c r="W346" i="3" s="1"/>
  <c r="AJ327" i="3"/>
  <c r="W327" i="3" s="1"/>
  <c r="AJ321" i="3"/>
  <c r="W321" i="3" s="1"/>
  <c r="AJ320" i="3"/>
  <c r="W320" i="3" s="1"/>
  <c r="AJ298" i="3"/>
  <c r="W298" i="3" s="1"/>
  <c r="AJ297" i="3"/>
  <c r="W297" i="3" s="1"/>
  <c r="AJ296" i="3"/>
  <c r="W296" i="3" s="1"/>
  <c r="AJ282" i="3"/>
  <c r="W282" i="3" s="1"/>
  <c r="AJ279" i="3"/>
  <c r="AJ259" i="3"/>
  <c r="W259" i="3" s="1"/>
  <c r="AJ218" i="3"/>
  <c r="W218" i="3" s="1"/>
  <c r="AJ217" i="3"/>
  <c r="W217" i="3" s="1"/>
  <c r="AJ215" i="3"/>
  <c r="W215" i="3" s="1"/>
  <c r="AJ210" i="3"/>
  <c r="W210" i="3" s="1"/>
  <c r="AJ198" i="3"/>
  <c r="W198" i="3" s="1"/>
  <c r="AJ154" i="3"/>
  <c r="W154" i="3" s="1"/>
  <c r="AJ145" i="3"/>
  <c r="W145" i="3" s="1"/>
  <c r="AJ142" i="3"/>
  <c r="W142" i="3" s="1"/>
  <c r="AJ140" i="3"/>
  <c r="W140" i="3" s="1"/>
  <c r="AJ139" i="3"/>
  <c r="W139" i="3" s="1"/>
  <c r="AJ111" i="3"/>
  <c r="W111" i="3" s="1"/>
  <c r="AJ108" i="3"/>
  <c r="W108" i="3" s="1"/>
  <c r="AJ106" i="3"/>
  <c r="W106" i="3" s="1"/>
  <c r="AJ95" i="3"/>
  <c r="W95" i="3" s="1"/>
  <c r="AJ94" i="3"/>
  <c r="W94" i="3" s="1"/>
  <c r="AJ91" i="3"/>
  <c r="W91" i="3" s="1"/>
  <c r="AJ89" i="3"/>
  <c r="W89" i="3" s="1"/>
  <c r="AJ88" i="3"/>
  <c r="W88" i="3" s="1"/>
  <c r="AJ87" i="3"/>
  <c r="W87" i="3" s="1"/>
  <c r="AJ86" i="3"/>
  <c r="W86" i="3" s="1"/>
  <c r="AJ77" i="3"/>
  <c r="W77" i="3" s="1"/>
  <c r="AJ75" i="3"/>
  <c r="W75" i="3" s="1"/>
  <c r="AJ70" i="3"/>
  <c r="W70" i="3" s="1"/>
  <c r="AJ66" i="3"/>
  <c r="W66" i="3" s="1"/>
  <c r="AJ65" i="3"/>
  <c r="W65" i="3" s="1"/>
  <c r="AJ63" i="3"/>
  <c r="W63" i="3" s="1"/>
  <c r="AJ45" i="3"/>
  <c r="W45" i="3" s="1"/>
  <c r="AJ20" i="3"/>
  <c r="W20" i="3" s="1"/>
  <c r="AH1230" i="3"/>
  <c r="W1230" i="3" s="1"/>
  <c r="AH603" i="3"/>
  <c r="W603" i="3" s="1"/>
  <c r="AH549" i="3"/>
  <c r="W549" i="3" s="1"/>
  <c r="AH489" i="3"/>
  <c r="W489" i="3" s="1"/>
  <c r="AH300" i="3"/>
  <c r="W300" i="3" s="1"/>
  <c r="AH176" i="3"/>
  <c r="W176" i="3" s="1"/>
  <c r="AH92" i="3"/>
  <c r="W92" i="3" s="1"/>
  <c r="AD83" i="3"/>
  <c r="W83" i="3" s="1"/>
  <c r="AD110" i="3"/>
  <c r="W110" i="3" s="1"/>
  <c r="AD245" i="3"/>
  <c r="W245" i="3" s="1"/>
  <c r="AD82" i="3"/>
  <c r="W82" i="3" s="1"/>
  <c r="AD1142" i="3"/>
  <c r="W1142" i="3" s="1"/>
  <c r="AD1095" i="3"/>
  <c r="W1095" i="3" s="1"/>
  <c r="AD1090" i="3"/>
  <c r="W1090" i="3" s="1"/>
  <c r="AD1078" i="3"/>
  <c r="W1078" i="3" s="1"/>
  <c r="AD1041" i="3"/>
  <c r="W1041" i="3" s="1"/>
  <c r="AD1040" i="3"/>
  <c r="W1040" i="3" s="1"/>
  <c r="AD1011" i="3"/>
  <c r="W1011" i="3" s="1"/>
  <c r="AD810" i="3"/>
  <c r="W810" i="3" s="1"/>
  <c r="AD795" i="3"/>
  <c r="W795" i="3" s="1"/>
  <c r="AD780" i="3"/>
  <c r="W780" i="3" s="1"/>
  <c r="AD777" i="3"/>
  <c r="W777" i="3" s="1"/>
  <c r="AD774" i="3"/>
  <c r="W774" i="3" s="1"/>
  <c r="AD739" i="3"/>
  <c r="W739" i="3" s="1"/>
  <c r="AD620" i="3"/>
  <c r="W620" i="3" s="1"/>
  <c r="AD319" i="3"/>
  <c r="W319" i="3" s="1"/>
  <c r="AD315" i="3"/>
  <c r="W315" i="3" s="1"/>
  <c r="AD252" i="3"/>
  <c r="W252" i="3" s="1"/>
  <c r="AD248" i="3"/>
  <c r="W248" i="3" s="1"/>
  <c r="AD243" i="3"/>
  <c r="W243" i="3" s="1"/>
  <c r="AD242" i="3"/>
  <c r="W242" i="3" s="1"/>
  <c r="AD232" i="3"/>
  <c r="W232" i="3" s="1"/>
  <c r="AD231" i="3"/>
  <c r="W231" i="3" s="1"/>
  <c r="AD229" i="3"/>
  <c r="W229" i="3" s="1"/>
  <c r="AD228" i="3"/>
  <c r="W228" i="3" s="1"/>
  <c r="AD227" i="3"/>
  <c r="W227" i="3" s="1"/>
  <c r="AD226" i="3"/>
  <c r="W226" i="3" s="1"/>
  <c r="AD225" i="3"/>
  <c r="W225" i="3" s="1"/>
  <c r="AD224" i="3"/>
  <c r="W224" i="3" s="1"/>
  <c r="AD223" i="3"/>
  <c r="W223" i="3" s="1"/>
  <c r="AD222" i="3"/>
  <c r="W222" i="3" s="1"/>
  <c r="AD221" i="3"/>
  <c r="W221" i="3" s="1"/>
  <c r="AD219" i="3"/>
  <c r="W219" i="3" s="1"/>
  <c r="AD216" i="3"/>
  <c r="W216" i="3" s="1"/>
  <c r="AD204" i="3"/>
  <c r="W204" i="3" s="1"/>
  <c r="AD203" i="3"/>
  <c r="W203" i="3" s="1"/>
  <c r="AD202" i="3"/>
  <c r="W202" i="3" s="1"/>
  <c r="AD201" i="3"/>
  <c r="W201" i="3" s="1"/>
  <c r="AD184" i="3"/>
  <c r="W184" i="3" s="1"/>
  <c r="AD183" i="3"/>
  <c r="W183" i="3" s="1"/>
  <c r="AD182" i="3"/>
  <c r="W182" i="3" s="1"/>
  <c r="AD177" i="3"/>
  <c r="W177" i="3" s="1"/>
  <c r="AD174" i="3"/>
  <c r="W174" i="3" s="1"/>
  <c r="AD163" i="3"/>
  <c r="W163" i="3" s="1"/>
  <c r="AD161" i="3"/>
  <c r="W161" i="3" s="1"/>
  <c r="AD146" i="3"/>
  <c r="W146" i="3" s="1"/>
  <c r="AD118" i="3"/>
  <c r="W118" i="3" s="1"/>
  <c r="AD117" i="3"/>
  <c r="W117" i="3" s="1"/>
  <c r="AD116" i="3"/>
  <c r="W116" i="3" s="1"/>
  <c r="AD115" i="3"/>
  <c r="W115" i="3" s="1"/>
  <c r="AD114" i="3"/>
  <c r="W114" i="3" s="1"/>
  <c r="AD113" i="3"/>
  <c r="W113" i="3" s="1"/>
  <c r="AD64" i="3"/>
  <c r="W64" i="3" s="1"/>
  <c r="AD46" i="3"/>
  <c r="W46" i="3" s="1"/>
  <c r="AD42" i="3"/>
  <c r="W42" i="3" s="1"/>
  <c r="AD41" i="3"/>
  <c r="W41" i="3" s="1"/>
  <c r="AD40" i="3"/>
  <c r="W40" i="3" s="1"/>
  <c r="AD39" i="3"/>
  <c r="W39" i="3" s="1"/>
  <c r="AD29" i="3"/>
  <c r="W29" i="3" s="1"/>
  <c r="AD18" i="3"/>
  <c r="W18" i="3" s="1"/>
  <c r="AD613" i="3"/>
  <c r="W613" i="3" s="1"/>
  <c r="Q11" i="9" l="1"/>
  <c r="Q10" i="9" s="1"/>
  <c r="W1271" i="3"/>
  <c r="W1262" i="3"/>
  <c r="W363" i="3"/>
  <c r="W1264" i="3"/>
  <c r="W1272" i="3"/>
  <c r="W1250" i="3"/>
  <c r="Q66" i="9"/>
  <c r="W384" i="3"/>
  <c r="W1274" i="3"/>
  <c r="W779" i="3"/>
  <c r="W279" i="3"/>
  <c r="W1266" i="3"/>
  <c r="W1270" i="3"/>
  <c r="U1260" i="3"/>
  <c r="U552" i="3"/>
  <c r="W818" i="3"/>
  <c r="W1120" i="3"/>
  <c r="S1274" i="3" l="1"/>
  <c r="S1273" i="3" s="1"/>
  <c r="R1273" i="3"/>
  <c r="Q1273" i="3"/>
  <c r="P1273" i="3"/>
  <c r="L1273" i="3"/>
  <c r="K1273" i="3"/>
  <c r="J1273" i="3"/>
  <c r="I1273" i="3"/>
  <c r="S1272" i="3"/>
  <c r="S1271" i="3"/>
  <c r="S1270" i="3"/>
  <c r="R1269" i="3"/>
  <c r="Q1269" i="3"/>
  <c r="P1269" i="3"/>
  <c r="L1269" i="3"/>
  <c r="K1269" i="3"/>
  <c r="J1269" i="3"/>
  <c r="I1269" i="3"/>
  <c r="P1266" i="3"/>
  <c r="P1265" i="3" s="1"/>
  <c r="S1265" i="3"/>
  <c r="R1265" i="3"/>
  <c r="Q1265" i="3"/>
  <c r="L1265" i="3"/>
  <c r="K1265" i="3"/>
  <c r="J1265" i="3"/>
  <c r="I1265" i="3"/>
  <c r="S1263" i="3"/>
  <c r="R1263" i="3"/>
  <c r="Q1263" i="3"/>
  <c r="P1263" i="3"/>
  <c r="L1263" i="3"/>
  <c r="K1263" i="3"/>
  <c r="J1263" i="3"/>
  <c r="I1263" i="3"/>
  <c r="S1261" i="3"/>
  <c r="R1261" i="3"/>
  <c r="Q1261" i="3"/>
  <c r="P1261" i="3"/>
  <c r="L1261" i="3"/>
  <c r="L1260" i="3" s="1"/>
  <c r="K1261" i="3"/>
  <c r="J1261" i="3"/>
  <c r="J1260" i="3" s="1"/>
  <c r="I1261" i="3"/>
  <c r="I1260" i="3" s="1"/>
  <c r="S1258" i="3"/>
  <c r="S1257" i="3" s="1"/>
  <c r="B1258" i="3"/>
  <c r="R1257" i="3"/>
  <c r="Q1257" i="3"/>
  <c r="L1257" i="3"/>
  <c r="K1257" i="3"/>
  <c r="J1257" i="3"/>
  <c r="I1257" i="3"/>
  <c r="S1256" i="3"/>
  <c r="B1256" i="3"/>
  <c r="S1255" i="3"/>
  <c r="B1255" i="3"/>
  <c r="S1254" i="3"/>
  <c r="B1254" i="3"/>
  <c r="R1253" i="3"/>
  <c r="Q1253" i="3"/>
  <c r="L1253" i="3"/>
  <c r="K1253" i="3"/>
  <c r="J1253" i="3"/>
  <c r="I1253" i="3"/>
  <c r="S1252" i="3"/>
  <c r="S1251" i="3" s="1"/>
  <c r="B1252" i="3"/>
  <c r="R1251" i="3"/>
  <c r="Q1251" i="3"/>
  <c r="L1251" i="3"/>
  <c r="K1251" i="3"/>
  <c r="J1251" i="3"/>
  <c r="I1251" i="3"/>
  <c r="S1250" i="3"/>
  <c r="S1249" i="3" s="1"/>
  <c r="B1250" i="3"/>
  <c r="R1249" i="3"/>
  <c r="Q1249" i="3"/>
  <c r="L1249" i="3"/>
  <c r="K1249" i="3"/>
  <c r="J1249" i="3"/>
  <c r="I1249" i="3"/>
  <c r="S1248" i="3"/>
  <c r="S1247" i="3" s="1"/>
  <c r="B1248" i="3"/>
  <c r="R1247" i="3"/>
  <c r="Q1247" i="3"/>
  <c r="L1247" i="3"/>
  <c r="K1247" i="3"/>
  <c r="J1247" i="3"/>
  <c r="I1247" i="3"/>
  <c r="S1246" i="3"/>
  <c r="B1246" i="3"/>
  <c r="S1245" i="3"/>
  <c r="B1245" i="3"/>
  <c r="S1244" i="3"/>
  <c r="B1244" i="3"/>
  <c r="R1243" i="3"/>
  <c r="Q1243" i="3"/>
  <c r="L1243" i="3"/>
  <c r="K1243" i="3"/>
  <c r="J1243" i="3"/>
  <c r="I1243" i="3"/>
  <c r="S1242" i="3"/>
  <c r="B1242" i="3"/>
  <c r="S1241" i="3"/>
  <c r="B1241" i="3"/>
  <c r="R1240" i="3"/>
  <c r="Q1240" i="3"/>
  <c r="L1240" i="3"/>
  <c r="K1240" i="3"/>
  <c r="J1240" i="3"/>
  <c r="I1240" i="3"/>
  <c r="S1239" i="3"/>
  <c r="S1238" i="3" s="1"/>
  <c r="B1239" i="3"/>
  <c r="R1238" i="3"/>
  <c r="Q1238" i="3"/>
  <c r="L1238" i="3"/>
  <c r="K1238" i="3"/>
  <c r="J1238" i="3"/>
  <c r="I1238" i="3"/>
  <c r="S1237" i="3"/>
  <c r="S1236" i="3" s="1"/>
  <c r="B1237" i="3"/>
  <c r="R1236" i="3"/>
  <c r="Q1236" i="3"/>
  <c r="L1236" i="3"/>
  <c r="K1236" i="3"/>
  <c r="J1236" i="3"/>
  <c r="I1236" i="3"/>
  <c r="S1235" i="3"/>
  <c r="B1235" i="3"/>
  <c r="S1234" i="3"/>
  <c r="B1234" i="3"/>
  <c r="R1233" i="3"/>
  <c r="Q1233" i="3"/>
  <c r="L1233" i="3"/>
  <c r="K1233" i="3"/>
  <c r="J1233" i="3"/>
  <c r="I1233" i="3"/>
  <c r="S1232" i="3"/>
  <c r="B1232" i="3"/>
  <c r="S1231" i="3"/>
  <c r="B1231" i="3"/>
  <c r="S1230" i="3"/>
  <c r="B1230" i="3"/>
  <c r="R1229" i="3"/>
  <c r="Q1229" i="3"/>
  <c r="L1229" i="3"/>
  <c r="K1229" i="3"/>
  <c r="J1229" i="3"/>
  <c r="I1229" i="3"/>
  <c r="S1228" i="3"/>
  <c r="B1228" i="3"/>
  <c r="S1227" i="3"/>
  <c r="B1227" i="3"/>
  <c r="S1226" i="3"/>
  <c r="B1226" i="3"/>
  <c r="R1225" i="3"/>
  <c r="Q1225" i="3"/>
  <c r="L1225" i="3"/>
  <c r="K1225" i="3"/>
  <c r="J1225" i="3"/>
  <c r="I1225" i="3"/>
  <c r="S1224" i="3"/>
  <c r="B1224" i="3"/>
  <c r="S1223" i="3"/>
  <c r="B1223" i="3"/>
  <c r="R1222" i="3"/>
  <c r="Q1222" i="3"/>
  <c r="L1222" i="3"/>
  <c r="K1222" i="3"/>
  <c r="J1222" i="3"/>
  <c r="I1222" i="3"/>
  <c r="S1221" i="3"/>
  <c r="B1221" i="3"/>
  <c r="S1220" i="3"/>
  <c r="B1220" i="3"/>
  <c r="R1219" i="3"/>
  <c r="Q1219" i="3"/>
  <c r="L1219" i="3"/>
  <c r="K1219" i="3"/>
  <c r="J1219" i="3"/>
  <c r="I1219" i="3"/>
  <c r="S1218" i="3"/>
  <c r="S1217" i="3" s="1"/>
  <c r="B1218" i="3"/>
  <c r="R1217" i="3"/>
  <c r="Q1217" i="3"/>
  <c r="L1217" i="3"/>
  <c r="K1217" i="3"/>
  <c r="J1217" i="3"/>
  <c r="I1217" i="3"/>
  <c r="S1216" i="3"/>
  <c r="S1215" i="3" s="1"/>
  <c r="B1216" i="3"/>
  <c r="R1215" i="3"/>
  <c r="Q1215" i="3"/>
  <c r="L1215" i="3"/>
  <c r="K1215" i="3"/>
  <c r="J1215" i="3"/>
  <c r="I1215" i="3"/>
  <c r="S1214" i="3"/>
  <c r="S1213" i="3" s="1"/>
  <c r="K1214" i="3"/>
  <c r="K1213" i="3" s="1"/>
  <c r="B1214" i="3"/>
  <c r="R1213" i="3"/>
  <c r="Q1213" i="3"/>
  <c r="L1213" i="3"/>
  <c r="J1213" i="3"/>
  <c r="I1213" i="3"/>
  <c r="S1212" i="3"/>
  <c r="B1212" i="3"/>
  <c r="S1211" i="3"/>
  <c r="B1211" i="3"/>
  <c r="S1210" i="3"/>
  <c r="B1210" i="3"/>
  <c r="R1209" i="3"/>
  <c r="Q1209" i="3"/>
  <c r="L1209" i="3"/>
  <c r="K1209" i="3"/>
  <c r="J1209" i="3"/>
  <c r="I1209" i="3"/>
  <c r="S1208" i="3"/>
  <c r="S1207" i="3" s="1"/>
  <c r="B1208" i="3"/>
  <c r="R1207" i="3"/>
  <c r="Q1207" i="3"/>
  <c r="L1207" i="3"/>
  <c r="K1207" i="3"/>
  <c r="J1207" i="3"/>
  <c r="I1207" i="3"/>
  <c r="S1206" i="3"/>
  <c r="S1205" i="3" s="1"/>
  <c r="B1206" i="3"/>
  <c r="R1205" i="3"/>
  <c r="Q1205" i="3"/>
  <c r="L1205" i="3"/>
  <c r="K1205" i="3"/>
  <c r="J1205" i="3"/>
  <c r="I1205" i="3"/>
  <c r="S1204" i="3"/>
  <c r="S1203" i="3" s="1"/>
  <c r="B1204" i="3"/>
  <c r="R1203" i="3"/>
  <c r="Q1203" i="3"/>
  <c r="L1203" i="3"/>
  <c r="K1203" i="3"/>
  <c r="J1203" i="3"/>
  <c r="I1203" i="3"/>
  <c r="S1202" i="3"/>
  <c r="B1202" i="3"/>
  <c r="S1201" i="3"/>
  <c r="B1201" i="3"/>
  <c r="S1200" i="3"/>
  <c r="B1200" i="3"/>
  <c r="R1199" i="3"/>
  <c r="Q1199" i="3"/>
  <c r="L1199" i="3"/>
  <c r="K1199" i="3"/>
  <c r="J1199" i="3"/>
  <c r="I1199" i="3"/>
  <c r="S1198" i="3"/>
  <c r="S1197" i="3" s="1"/>
  <c r="B1198" i="3"/>
  <c r="R1197" i="3"/>
  <c r="Q1197" i="3"/>
  <c r="L1197" i="3"/>
  <c r="K1197" i="3"/>
  <c r="J1197" i="3"/>
  <c r="I1197" i="3"/>
  <c r="S1196" i="3"/>
  <c r="S1195" i="3" s="1"/>
  <c r="B1196" i="3"/>
  <c r="R1195" i="3"/>
  <c r="Q1195" i="3"/>
  <c r="L1195" i="3"/>
  <c r="K1195" i="3"/>
  <c r="J1195" i="3"/>
  <c r="I1195" i="3"/>
  <c r="S1194" i="3"/>
  <c r="S1193" i="3" s="1"/>
  <c r="B1194" i="3"/>
  <c r="R1193" i="3"/>
  <c r="Q1193" i="3"/>
  <c r="L1193" i="3"/>
  <c r="K1193" i="3"/>
  <c r="J1193" i="3"/>
  <c r="I1193" i="3"/>
  <c r="S1192" i="3"/>
  <c r="S1191" i="3" s="1"/>
  <c r="B1192" i="3"/>
  <c r="R1191" i="3"/>
  <c r="Q1191" i="3"/>
  <c r="L1191" i="3"/>
  <c r="K1191" i="3"/>
  <c r="J1191" i="3"/>
  <c r="I1191" i="3"/>
  <c r="S1190" i="3"/>
  <c r="S1189" i="3" s="1"/>
  <c r="B1190" i="3"/>
  <c r="R1189" i="3"/>
  <c r="Q1189" i="3"/>
  <c r="L1189" i="3"/>
  <c r="K1189" i="3"/>
  <c r="J1189" i="3"/>
  <c r="I1189" i="3"/>
  <c r="S1188" i="3"/>
  <c r="S1187" i="3" s="1"/>
  <c r="B1188" i="3"/>
  <c r="R1187" i="3"/>
  <c r="Q1187" i="3"/>
  <c r="L1187" i="3"/>
  <c r="K1187" i="3"/>
  <c r="J1187" i="3"/>
  <c r="I1187" i="3"/>
  <c r="S1186" i="3"/>
  <c r="B1186" i="3"/>
  <c r="S1185" i="3"/>
  <c r="B1185" i="3"/>
  <c r="S1184" i="3"/>
  <c r="B1184" i="3"/>
  <c r="R1183" i="3"/>
  <c r="Q1183" i="3"/>
  <c r="L1183" i="3"/>
  <c r="K1183" i="3"/>
  <c r="J1183" i="3"/>
  <c r="I1183" i="3"/>
  <c r="S1182" i="3"/>
  <c r="S1181" i="3" s="1"/>
  <c r="B1182" i="3"/>
  <c r="R1181" i="3"/>
  <c r="Q1181" i="3"/>
  <c r="L1181" i="3"/>
  <c r="K1181" i="3"/>
  <c r="J1181" i="3"/>
  <c r="I1181" i="3"/>
  <c r="S1180" i="3"/>
  <c r="B1180" i="3"/>
  <c r="S1179" i="3"/>
  <c r="B1179" i="3"/>
  <c r="R1178" i="3"/>
  <c r="Q1178" i="3"/>
  <c r="L1178" i="3"/>
  <c r="K1178" i="3"/>
  <c r="J1178" i="3"/>
  <c r="I1178" i="3"/>
  <c r="S1177" i="3"/>
  <c r="B1177" i="3"/>
  <c r="S1176" i="3"/>
  <c r="B1176" i="3"/>
  <c r="S1175" i="3"/>
  <c r="B1175" i="3"/>
  <c r="R1174" i="3"/>
  <c r="Q1174" i="3"/>
  <c r="L1174" i="3"/>
  <c r="K1174" i="3"/>
  <c r="J1174" i="3"/>
  <c r="I1174" i="3"/>
  <c r="S1173" i="3"/>
  <c r="B1173" i="3"/>
  <c r="S1172" i="3"/>
  <c r="B1172" i="3"/>
  <c r="R1171" i="3"/>
  <c r="Q1171" i="3"/>
  <c r="L1171" i="3"/>
  <c r="K1171" i="3"/>
  <c r="J1171" i="3"/>
  <c r="I1171" i="3"/>
  <c r="S1170" i="3"/>
  <c r="K1170" i="3"/>
  <c r="K1164" i="3" s="1"/>
  <c r="B1170" i="3"/>
  <c r="S1169" i="3"/>
  <c r="B1169" i="3"/>
  <c r="S1168" i="3"/>
  <c r="B1168" i="3"/>
  <c r="S1167" i="3"/>
  <c r="B1167" i="3"/>
  <c r="S1166" i="3"/>
  <c r="B1166" i="3"/>
  <c r="S1165" i="3"/>
  <c r="B1165" i="3"/>
  <c r="R1164" i="3"/>
  <c r="Q1164" i="3"/>
  <c r="L1164" i="3"/>
  <c r="J1164" i="3"/>
  <c r="I1164" i="3"/>
  <c r="S1163" i="3"/>
  <c r="S1162" i="3" s="1"/>
  <c r="B1163" i="3"/>
  <c r="R1162" i="3"/>
  <c r="Q1162" i="3"/>
  <c r="L1162" i="3"/>
  <c r="K1162" i="3"/>
  <c r="J1162" i="3"/>
  <c r="I1162" i="3"/>
  <c r="S1161" i="3"/>
  <c r="S1160" i="3" s="1"/>
  <c r="B1161" i="3"/>
  <c r="R1160" i="3"/>
  <c r="Q1160" i="3"/>
  <c r="L1160" i="3"/>
  <c r="K1160" i="3"/>
  <c r="J1160" i="3"/>
  <c r="I1160" i="3"/>
  <c r="S1159" i="3"/>
  <c r="S1158" i="3" s="1"/>
  <c r="B1159" i="3"/>
  <c r="R1158" i="3"/>
  <c r="Q1158" i="3"/>
  <c r="L1158" i="3"/>
  <c r="K1158" i="3"/>
  <c r="J1158" i="3"/>
  <c r="I1158" i="3"/>
  <c r="S1157" i="3"/>
  <c r="B1157" i="3"/>
  <c r="S1156" i="3"/>
  <c r="B1156" i="3"/>
  <c r="R1155" i="3"/>
  <c r="Q1155" i="3"/>
  <c r="L1155" i="3"/>
  <c r="K1155" i="3"/>
  <c r="J1155" i="3"/>
  <c r="I1155" i="3"/>
  <c r="S1154" i="3"/>
  <c r="B1154" i="3"/>
  <c r="S1153" i="3"/>
  <c r="B1153" i="3"/>
  <c r="R1152" i="3"/>
  <c r="Q1152" i="3"/>
  <c r="L1152" i="3"/>
  <c r="K1152" i="3"/>
  <c r="J1152" i="3"/>
  <c r="I1152" i="3"/>
  <c r="S1151" i="3"/>
  <c r="S1150" i="3" s="1"/>
  <c r="B1151" i="3"/>
  <c r="R1150" i="3"/>
  <c r="Q1150" i="3"/>
  <c r="L1150" i="3"/>
  <c r="K1150" i="3"/>
  <c r="J1150" i="3"/>
  <c r="I1150" i="3"/>
  <c r="S1149" i="3"/>
  <c r="S1148" i="3" s="1"/>
  <c r="B1149" i="3"/>
  <c r="R1148" i="3"/>
  <c r="Q1148" i="3"/>
  <c r="L1148" i="3"/>
  <c r="K1148" i="3"/>
  <c r="J1148" i="3"/>
  <c r="I1148" i="3"/>
  <c r="S1147" i="3"/>
  <c r="S1146" i="3" s="1"/>
  <c r="B1147" i="3"/>
  <c r="R1146" i="3"/>
  <c r="Q1146" i="3"/>
  <c r="L1146" i="3"/>
  <c r="K1146" i="3"/>
  <c r="J1146" i="3"/>
  <c r="I1146" i="3"/>
  <c r="S1145" i="3"/>
  <c r="B1145" i="3"/>
  <c r="S1144" i="3"/>
  <c r="B1144" i="3"/>
  <c r="R1143" i="3"/>
  <c r="Q1143" i="3"/>
  <c r="L1143" i="3"/>
  <c r="K1143" i="3"/>
  <c r="J1143" i="3"/>
  <c r="I1143" i="3"/>
  <c r="S1142" i="3"/>
  <c r="B1142" i="3"/>
  <c r="S1141" i="3"/>
  <c r="B1141" i="3"/>
  <c r="S1140" i="3"/>
  <c r="B1140" i="3"/>
  <c r="S1139" i="3"/>
  <c r="B1139" i="3"/>
  <c r="S1138" i="3"/>
  <c r="B1138" i="3"/>
  <c r="S1137" i="3"/>
  <c r="B1137" i="3"/>
  <c r="S1136" i="3"/>
  <c r="B1136" i="3"/>
  <c r="R1135" i="3"/>
  <c r="Q1135" i="3"/>
  <c r="L1135" i="3"/>
  <c r="K1135" i="3"/>
  <c r="J1135" i="3"/>
  <c r="I1135" i="3"/>
  <c r="S1134" i="3"/>
  <c r="S1133" i="3" s="1"/>
  <c r="B1134" i="3"/>
  <c r="R1133" i="3"/>
  <c r="Q1133" i="3"/>
  <c r="L1133" i="3"/>
  <c r="K1133" i="3"/>
  <c r="J1133" i="3"/>
  <c r="I1133" i="3"/>
  <c r="S1132" i="3"/>
  <c r="S1131" i="3" s="1"/>
  <c r="B1132" i="3"/>
  <c r="R1131" i="3"/>
  <c r="Q1131" i="3"/>
  <c r="L1131" i="3"/>
  <c r="K1131" i="3"/>
  <c r="J1131" i="3"/>
  <c r="I1131" i="3"/>
  <c r="S1130" i="3"/>
  <c r="B1130" i="3"/>
  <c r="S1129" i="3"/>
  <c r="B1129" i="3"/>
  <c r="R1128" i="3"/>
  <c r="Q1128" i="3"/>
  <c r="L1128" i="3"/>
  <c r="K1128" i="3"/>
  <c r="J1128" i="3"/>
  <c r="I1128" i="3"/>
  <c r="S1127" i="3"/>
  <c r="S1126" i="3" s="1"/>
  <c r="B1127" i="3"/>
  <c r="R1126" i="3"/>
  <c r="Q1126" i="3"/>
  <c r="L1126" i="3"/>
  <c r="K1126" i="3"/>
  <c r="J1126" i="3"/>
  <c r="I1126" i="3"/>
  <c r="S1125" i="3"/>
  <c r="S1124" i="3" s="1"/>
  <c r="B1125" i="3"/>
  <c r="R1124" i="3"/>
  <c r="Q1124" i="3"/>
  <c r="L1124" i="3"/>
  <c r="K1124" i="3"/>
  <c r="J1124" i="3"/>
  <c r="I1124" i="3"/>
  <c r="S1123" i="3"/>
  <c r="B1123" i="3"/>
  <c r="S1122" i="3"/>
  <c r="B1122" i="3"/>
  <c r="R1121" i="3"/>
  <c r="Q1121" i="3"/>
  <c r="L1121" i="3"/>
  <c r="K1121" i="3"/>
  <c r="J1121" i="3"/>
  <c r="I1121" i="3"/>
  <c r="S1120" i="3"/>
  <c r="B1120" i="3"/>
  <c r="S1119" i="3"/>
  <c r="B1119" i="3"/>
  <c r="R1118" i="3"/>
  <c r="Q1118" i="3"/>
  <c r="L1118" i="3"/>
  <c r="K1118" i="3"/>
  <c r="J1118" i="3"/>
  <c r="I1118" i="3"/>
  <c r="S1117" i="3"/>
  <c r="B1117" i="3"/>
  <c r="S1116" i="3"/>
  <c r="B1116" i="3"/>
  <c r="R1115" i="3"/>
  <c r="Q1115" i="3"/>
  <c r="L1115" i="3"/>
  <c r="K1115" i="3"/>
  <c r="J1115" i="3"/>
  <c r="I1115" i="3"/>
  <c r="S1114" i="3"/>
  <c r="B1114" i="3"/>
  <c r="S1113" i="3"/>
  <c r="B1113" i="3"/>
  <c r="S1112" i="3"/>
  <c r="B1112" i="3"/>
  <c r="S1111" i="3"/>
  <c r="B1111" i="3"/>
  <c r="S1110" i="3"/>
  <c r="B1110" i="3"/>
  <c r="S1109" i="3"/>
  <c r="B1109" i="3"/>
  <c r="S1108" i="3"/>
  <c r="B1108" i="3"/>
  <c r="S1107" i="3"/>
  <c r="B1107" i="3"/>
  <c r="R1106" i="3"/>
  <c r="Q1106" i="3"/>
  <c r="L1106" i="3"/>
  <c r="K1106" i="3"/>
  <c r="J1106" i="3"/>
  <c r="I1106" i="3"/>
  <c r="S1105" i="3"/>
  <c r="B1105" i="3"/>
  <c r="S1104" i="3"/>
  <c r="B1104" i="3"/>
  <c r="R1103" i="3"/>
  <c r="Q1103" i="3"/>
  <c r="L1103" i="3"/>
  <c r="K1103" i="3"/>
  <c r="J1103" i="3"/>
  <c r="I1103" i="3"/>
  <c r="S1102" i="3"/>
  <c r="B1102" i="3"/>
  <c r="S1101" i="3"/>
  <c r="B1101" i="3"/>
  <c r="S1100" i="3"/>
  <c r="B1100" i="3"/>
  <c r="S1099" i="3"/>
  <c r="B1099" i="3"/>
  <c r="S1098" i="3"/>
  <c r="B1098" i="3"/>
  <c r="S1097" i="3"/>
  <c r="B1097" i="3"/>
  <c r="S1096" i="3"/>
  <c r="B1096" i="3"/>
  <c r="S1095" i="3"/>
  <c r="B1095" i="3"/>
  <c r="S1094" i="3"/>
  <c r="B1094" i="3"/>
  <c r="S1093" i="3"/>
  <c r="B1093" i="3"/>
  <c r="S1092" i="3"/>
  <c r="B1092" i="3"/>
  <c r="R1091" i="3"/>
  <c r="Q1091" i="3"/>
  <c r="L1091" i="3"/>
  <c r="K1091" i="3"/>
  <c r="J1091" i="3"/>
  <c r="I1091" i="3"/>
  <c r="S1090" i="3"/>
  <c r="B1090" i="3"/>
  <c r="S1089" i="3"/>
  <c r="B1089" i="3"/>
  <c r="S1088" i="3"/>
  <c r="B1088" i="3"/>
  <c r="S1087" i="3"/>
  <c r="B1087" i="3"/>
  <c r="S1086" i="3"/>
  <c r="B1086" i="3"/>
  <c r="S1085" i="3"/>
  <c r="B1085" i="3"/>
  <c r="S1084" i="3"/>
  <c r="B1084" i="3"/>
  <c r="S1083" i="3"/>
  <c r="B1083" i="3"/>
  <c r="S1082" i="3"/>
  <c r="B1082" i="3"/>
  <c r="S1081" i="3"/>
  <c r="B1081" i="3"/>
  <c r="S1080" i="3"/>
  <c r="B1080" i="3"/>
  <c r="S1079" i="3"/>
  <c r="B1079" i="3"/>
  <c r="S1078" i="3"/>
  <c r="B1078" i="3"/>
  <c r="S1077" i="3"/>
  <c r="B1077" i="3"/>
  <c r="S1076" i="3"/>
  <c r="B1076" i="3"/>
  <c r="S1075" i="3"/>
  <c r="B1075" i="3"/>
  <c r="S1074" i="3"/>
  <c r="B1074" i="3"/>
  <c r="S1073" i="3"/>
  <c r="B1073" i="3"/>
  <c r="S1072" i="3"/>
  <c r="B1072" i="3"/>
  <c r="S1071" i="3"/>
  <c r="B1071" i="3"/>
  <c r="S1070" i="3"/>
  <c r="B1070" i="3"/>
  <c r="S1069" i="3"/>
  <c r="B1069" i="3"/>
  <c r="S1068" i="3"/>
  <c r="B1068" i="3"/>
  <c r="S1067" i="3"/>
  <c r="B1067" i="3"/>
  <c r="S1066" i="3"/>
  <c r="B1066" i="3"/>
  <c r="S1065" i="3"/>
  <c r="B1065" i="3"/>
  <c r="R1064" i="3"/>
  <c r="Q1064" i="3"/>
  <c r="L1064" i="3"/>
  <c r="K1064" i="3"/>
  <c r="J1064" i="3"/>
  <c r="I1064" i="3"/>
  <c r="S1063" i="3"/>
  <c r="K1063" i="3"/>
  <c r="B1063" i="3"/>
  <c r="S1062" i="3"/>
  <c r="B1062" i="3"/>
  <c r="S1061" i="3"/>
  <c r="B1061" i="3"/>
  <c r="S1060" i="3"/>
  <c r="K1060" i="3"/>
  <c r="B1060" i="3"/>
  <c r="S1059" i="3"/>
  <c r="B1059" i="3"/>
  <c r="S1058" i="3"/>
  <c r="B1058" i="3"/>
  <c r="S1057" i="3"/>
  <c r="B1057" i="3"/>
  <c r="S1056" i="3"/>
  <c r="B1056" i="3"/>
  <c r="S1055" i="3"/>
  <c r="B1055" i="3"/>
  <c r="S1054" i="3"/>
  <c r="B1054" i="3"/>
  <c r="S1053" i="3"/>
  <c r="B1053" i="3"/>
  <c r="S1052" i="3"/>
  <c r="B1052" i="3"/>
  <c r="S1051" i="3"/>
  <c r="B1051" i="3"/>
  <c r="S1050" i="3"/>
  <c r="B1050" i="3"/>
  <c r="R1049" i="3"/>
  <c r="Q1049" i="3"/>
  <c r="L1049" i="3"/>
  <c r="J1049" i="3"/>
  <c r="I1049" i="3"/>
  <c r="S1048" i="3"/>
  <c r="B1048" i="3"/>
  <c r="S1047" i="3"/>
  <c r="B1047" i="3"/>
  <c r="S1046" i="3"/>
  <c r="B1046" i="3"/>
  <c r="S1045" i="3"/>
  <c r="B1045" i="3"/>
  <c r="S1044" i="3"/>
  <c r="B1044" i="3"/>
  <c r="S1043" i="3"/>
  <c r="B1043" i="3"/>
  <c r="S1042" i="3"/>
  <c r="B1042" i="3"/>
  <c r="S1041" i="3"/>
  <c r="B1041" i="3"/>
  <c r="S1040" i="3"/>
  <c r="B1040" i="3"/>
  <c r="S1039" i="3"/>
  <c r="B1039" i="3"/>
  <c r="S1038" i="3"/>
  <c r="B1038" i="3"/>
  <c r="S1037" i="3"/>
  <c r="B1037" i="3"/>
  <c r="S1036" i="3"/>
  <c r="B1036" i="3"/>
  <c r="S1035" i="3"/>
  <c r="B1035" i="3"/>
  <c r="S1034" i="3"/>
  <c r="B1034" i="3"/>
  <c r="S1033" i="3"/>
  <c r="B1033" i="3"/>
  <c r="S1032" i="3"/>
  <c r="B1032" i="3"/>
  <c r="S1031" i="3"/>
  <c r="B1031" i="3"/>
  <c r="S1030" i="3"/>
  <c r="B1030" i="3"/>
  <c r="S1029" i="3"/>
  <c r="B1029" i="3"/>
  <c r="S1028" i="3"/>
  <c r="B1028" i="3"/>
  <c r="S1027" i="3"/>
  <c r="B1027" i="3"/>
  <c r="S1026" i="3"/>
  <c r="B1026" i="3"/>
  <c r="S1025" i="3"/>
  <c r="B1025" i="3"/>
  <c r="S1024" i="3"/>
  <c r="B1024" i="3"/>
  <c r="S1023" i="3"/>
  <c r="B1023" i="3"/>
  <c r="S1022" i="3"/>
  <c r="B1022" i="3"/>
  <c r="S1021" i="3"/>
  <c r="B1021" i="3"/>
  <c r="S1020" i="3"/>
  <c r="B1020" i="3"/>
  <c r="S1019" i="3"/>
  <c r="B1019" i="3"/>
  <c r="S1018" i="3"/>
  <c r="B1018" i="3"/>
  <c r="S1017" i="3"/>
  <c r="B1017" i="3"/>
  <c r="S1016" i="3"/>
  <c r="B1016" i="3"/>
  <c r="S1015" i="3"/>
  <c r="B1015" i="3"/>
  <c r="S1014" i="3"/>
  <c r="B1014" i="3"/>
  <c r="S1013" i="3"/>
  <c r="B1013" i="3"/>
  <c r="S1012" i="3"/>
  <c r="B1012" i="3"/>
  <c r="S1011" i="3"/>
  <c r="B1011" i="3"/>
  <c r="S1010" i="3"/>
  <c r="B1010" i="3"/>
  <c r="S1009" i="3"/>
  <c r="B1009" i="3"/>
  <c r="S1008" i="3"/>
  <c r="B1008" i="3"/>
  <c r="S1007" i="3"/>
  <c r="B1007" i="3"/>
  <c r="S1006" i="3"/>
  <c r="B1006" i="3"/>
  <c r="S1005" i="3"/>
  <c r="B1005" i="3"/>
  <c r="S1004" i="3"/>
  <c r="B1004" i="3"/>
  <c r="S1003" i="3"/>
  <c r="B1003" i="3"/>
  <c r="S1002" i="3"/>
  <c r="B1002" i="3"/>
  <c r="S1001" i="3"/>
  <c r="B1001" i="3"/>
  <c r="S1000" i="3"/>
  <c r="B1000" i="3"/>
  <c r="S999" i="3"/>
  <c r="B999" i="3"/>
  <c r="S998" i="3"/>
  <c r="B998" i="3"/>
  <c r="S997" i="3"/>
  <c r="B997" i="3"/>
  <c r="S996" i="3"/>
  <c r="B996" i="3"/>
  <c r="S995" i="3"/>
  <c r="B995" i="3"/>
  <c r="S994" i="3"/>
  <c r="B994" i="3"/>
  <c r="S993" i="3"/>
  <c r="B993" i="3"/>
  <c r="S992" i="3"/>
  <c r="B992" i="3"/>
  <c r="S991" i="3"/>
  <c r="B991" i="3"/>
  <c r="S990" i="3"/>
  <c r="B990" i="3"/>
  <c r="S989" i="3"/>
  <c r="B989" i="3"/>
  <c r="S988" i="3"/>
  <c r="B988" i="3"/>
  <c r="R987" i="3"/>
  <c r="Q987" i="3"/>
  <c r="L987" i="3"/>
  <c r="K987" i="3"/>
  <c r="J987" i="3"/>
  <c r="I987" i="3"/>
  <c r="S985" i="3"/>
  <c r="S984" i="3" s="1"/>
  <c r="B985" i="3"/>
  <c r="R984" i="3"/>
  <c r="Q984" i="3"/>
  <c r="L984" i="3"/>
  <c r="K984" i="3"/>
  <c r="J984" i="3"/>
  <c r="I984" i="3"/>
  <c r="S983" i="3"/>
  <c r="S982" i="3" s="1"/>
  <c r="B983" i="3"/>
  <c r="R982" i="3"/>
  <c r="Q982" i="3"/>
  <c r="L982" i="3"/>
  <c r="K982" i="3"/>
  <c r="J982" i="3"/>
  <c r="I982" i="3"/>
  <c r="S981" i="3"/>
  <c r="K981" i="3"/>
  <c r="B981" i="3"/>
  <c r="S980" i="3"/>
  <c r="K980" i="3"/>
  <c r="B980" i="3"/>
  <c r="S979" i="3"/>
  <c r="B979" i="3"/>
  <c r="S978" i="3"/>
  <c r="B978" i="3"/>
  <c r="S977" i="3"/>
  <c r="B977" i="3"/>
  <c r="R976" i="3"/>
  <c r="Q976" i="3"/>
  <c r="L976" i="3"/>
  <c r="J976" i="3"/>
  <c r="I976" i="3"/>
  <c r="S975" i="3"/>
  <c r="S974" i="3" s="1"/>
  <c r="K975" i="3"/>
  <c r="K974" i="3" s="1"/>
  <c r="B975" i="3"/>
  <c r="R974" i="3"/>
  <c r="Q974" i="3"/>
  <c r="L974" i="3"/>
  <c r="J974" i="3"/>
  <c r="I974" i="3"/>
  <c r="S973" i="3"/>
  <c r="S972" i="3" s="1"/>
  <c r="B973" i="3"/>
  <c r="R972" i="3"/>
  <c r="Q972" i="3"/>
  <c r="L972" i="3"/>
  <c r="K972" i="3"/>
  <c r="J972" i="3"/>
  <c r="I972" i="3"/>
  <c r="S971" i="3"/>
  <c r="B971" i="3"/>
  <c r="S970" i="3"/>
  <c r="B970" i="3"/>
  <c r="S969" i="3"/>
  <c r="B969" i="3"/>
  <c r="S968" i="3"/>
  <c r="B968" i="3"/>
  <c r="R967" i="3"/>
  <c r="Q967" i="3"/>
  <c r="L967" i="3"/>
  <c r="K967" i="3"/>
  <c r="J967" i="3"/>
  <c r="I967" i="3"/>
  <c r="S966" i="3"/>
  <c r="S965" i="3" s="1"/>
  <c r="B966" i="3"/>
  <c r="R965" i="3"/>
  <c r="Q965" i="3"/>
  <c r="L965" i="3"/>
  <c r="K965" i="3"/>
  <c r="J965" i="3"/>
  <c r="I965" i="3"/>
  <c r="S964" i="3"/>
  <c r="S963" i="3" s="1"/>
  <c r="B964" i="3"/>
  <c r="R963" i="3"/>
  <c r="Q963" i="3"/>
  <c r="L963" i="3"/>
  <c r="K963" i="3"/>
  <c r="J963" i="3"/>
  <c r="I963" i="3"/>
  <c r="S962" i="3"/>
  <c r="S961" i="3" s="1"/>
  <c r="B962" i="3"/>
  <c r="R961" i="3"/>
  <c r="Q961" i="3"/>
  <c r="L961" i="3"/>
  <c r="K961" i="3"/>
  <c r="J961" i="3"/>
  <c r="I961" i="3"/>
  <c r="S960" i="3"/>
  <c r="B960" i="3"/>
  <c r="S959" i="3"/>
  <c r="B959" i="3"/>
  <c r="S958" i="3"/>
  <c r="B958" i="3"/>
  <c r="R957" i="3"/>
  <c r="Q957" i="3"/>
  <c r="L957" i="3"/>
  <c r="K957" i="3"/>
  <c r="J957" i="3"/>
  <c r="I957" i="3"/>
  <c r="S956" i="3"/>
  <c r="B956" i="3"/>
  <c r="S955" i="3"/>
  <c r="B955" i="3"/>
  <c r="S954" i="3"/>
  <c r="B954" i="3"/>
  <c r="R953" i="3"/>
  <c r="Q953" i="3"/>
  <c r="L953" i="3"/>
  <c r="K953" i="3"/>
  <c r="J953" i="3"/>
  <c r="I953" i="3"/>
  <c r="S952" i="3"/>
  <c r="S951" i="3" s="1"/>
  <c r="B952" i="3"/>
  <c r="R951" i="3"/>
  <c r="Q951" i="3"/>
  <c r="L951" i="3"/>
  <c r="K951" i="3"/>
  <c r="J951" i="3"/>
  <c r="I951" i="3"/>
  <c r="S950" i="3"/>
  <c r="S949" i="3" s="1"/>
  <c r="B950" i="3"/>
  <c r="R949" i="3"/>
  <c r="Q949" i="3"/>
  <c r="L949" i="3"/>
  <c r="K949" i="3"/>
  <c r="J949" i="3"/>
  <c r="I949" i="3"/>
  <c r="S948" i="3"/>
  <c r="S947" i="3" s="1"/>
  <c r="B948" i="3"/>
  <c r="R947" i="3"/>
  <c r="Q947" i="3"/>
  <c r="L947" i="3"/>
  <c r="K947" i="3"/>
  <c r="J947" i="3"/>
  <c r="I947" i="3"/>
  <c r="S946" i="3"/>
  <c r="S945" i="3" s="1"/>
  <c r="B946" i="3"/>
  <c r="R945" i="3"/>
  <c r="Q945" i="3"/>
  <c r="L945" i="3"/>
  <c r="K945" i="3"/>
  <c r="J945" i="3"/>
  <c r="I945" i="3"/>
  <c r="S944" i="3"/>
  <c r="S943" i="3" s="1"/>
  <c r="B944" i="3"/>
  <c r="R943" i="3"/>
  <c r="Q943" i="3"/>
  <c r="L943" i="3"/>
  <c r="K943" i="3"/>
  <c r="J943" i="3"/>
  <c r="I943" i="3"/>
  <c r="S942" i="3"/>
  <c r="K942" i="3"/>
  <c r="K939" i="3" s="1"/>
  <c r="B942" i="3"/>
  <c r="S941" i="3"/>
  <c r="B941" i="3"/>
  <c r="S940" i="3"/>
  <c r="B940" i="3"/>
  <c r="R939" i="3"/>
  <c r="Q939" i="3"/>
  <c r="L939" i="3"/>
  <c r="J939" i="3"/>
  <c r="I939" i="3"/>
  <c r="S920" i="3"/>
  <c r="S938" i="3"/>
  <c r="B938" i="3"/>
  <c r="S937" i="3"/>
  <c r="B937" i="3"/>
  <c r="S936" i="3"/>
  <c r="B936" i="3"/>
  <c r="S935" i="3"/>
  <c r="B935" i="3"/>
  <c r="S934" i="3"/>
  <c r="B934" i="3"/>
  <c r="R933" i="3"/>
  <c r="Q933" i="3"/>
  <c r="L933" i="3"/>
  <c r="K933" i="3"/>
  <c r="J933" i="3"/>
  <c r="I933" i="3"/>
  <c r="S932" i="3"/>
  <c r="S931" i="3" s="1"/>
  <c r="B932" i="3"/>
  <c r="R931" i="3"/>
  <c r="Q931" i="3"/>
  <c r="L931" i="3"/>
  <c r="K931" i="3"/>
  <c r="J931" i="3"/>
  <c r="I931" i="3"/>
  <c r="S930" i="3"/>
  <c r="B930" i="3"/>
  <c r="S929" i="3"/>
  <c r="B929" i="3"/>
  <c r="S928" i="3"/>
  <c r="B928" i="3"/>
  <c r="R927" i="3"/>
  <c r="Q927" i="3"/>
  <c r="L927" i="3"/>
  <c r="K927" i="3"/>
  <c r="J927" i="3"/>
  <c r="I927" i="3"/>
  <c r="S926" i="3"/>
  <c r="K926" i="3"/>
  <c r="K923" i="3" s="1"/>
  <c r="B926" i="3"/>
  <c r="S925" i="3"/>
  <c r="B925" i="3"/>
  <c r="S924" i="3"/>
  <c r="B924" i="3"/>
  <c r="R923" i="3"/>
  <c r="Q923" i="3"/>
  <c r="L923" i="3"/>
  <c r="J923" i="3"/>
  <c r="I923" i="3"/>
  <c r="S922" i="3"/>
  <c r="S921" i="3" s="1"/>
  <c r="B922" i="3"/>
  <c r="R921" i="3"/>
  <c r="Q921" i="3"/>
  <c r="L921" i="3"/>
  <c r="K921" i="3"/>
  <c r="J921" i="3"/>
  <c r="I921" i="3"/>
  <c r="S919" i="3"/>
  <c r="B919" i="3"/>
  <c r="S917" i="3"/>
  <c r="B917" i="3"/>
  <c r="S916" i="3"/>
  <c r="B916" i="3"/>
  <c r="R915" i="3"/>
  <c r="Q915" i="3"/>
  <c r="L915" i="3"/>
  <c r="K915" i="3"/>
  <c r="J915" i="3"/>
  <c r="I915" i="3"/>
  <c r="S914" i="3"/>
  <c r="S913" i="3" s="1"/>
  <c r="B914" i="3"/>
  <c r="R913" i="3"/>
  <c r="Q913" i="3"/>
  <c r="L913" i="3"/>
  <c r="K913" i="3"/>
  <c r="J913" i="3"/>
  <c r="I913" i="3"/>
  <c r="S912" i="3"/>
  <c r="S911" i="3" s="1"/>
  <c r="B912" i="3"/>
  <c r="R911" i="3"/>
  <c r="Q911" i="3"/>
  <c r="L911" i="3"/>
  <c r="K911" i="3"/>
  <c r="J911" i="3"/>
  <c r="I911" i="3"/>
  <c r="S910" i="3"/>
  <c r="S909" i="3" s="1"/>
  <c r="B910" i="3"/>
  <c r="R909" i="3"/>
  <c r="Q909" i="3"/>
  <c r="L909" i="3"/>
  <c r="K909" i="3"/>
  <c r="J909" i="3"/>
  <c r="I909" i="3"/>
  <c r="S908" i="3"/>
  <c r="B908" i="3"/>
  <c r="S907" i="3"/>
  <c r="B907" i="3"/>
  <c r="R906" i="3"/>
  <c r="Q906" i="3"/>
  <c r="L906" i="3"/>
  <c r="K906" i="3"/>
  <c r="J906" i="3"/>
  <c r="I906" i="3"/>
  <c r="S905" i="3"/>
  <c r="S904" i="3" s="1"/>
  <c r="B905" i="3"/>
  <c r="R904" i="3"/>
  <c r="Q904" i="3"/>
  <c r="L904" i="3"/>
  <c r="K904" i="3"/>
  <c r="J904" i="3"/>
  <c r="I904" i="3"/>
  <c r="S903" i="3"/>
  <c r="B903" i="3"/>
  <c r="S902" i="3"/>
  <c r="B902" i="3"/>
  <c r="R901" i="3"/>
  <c r="Q901" i="3"/>
  <c r="L901" i="3"/>
  <c r="K901" i="3"/>
  <c r="J901" i="3"/>
  <c r="I901" i="3"/>
  <c r="S900" i="3"/>
  <c r="B900" i="3"/>
  <c r="S899" i="3"/>
  <c r="B899" i="3"/>
  <c r="S898" i="3"/>
  <c r="B898" i="3"/>
  <c r="S897" i="3"/>
  <c r="B897" i="3"/>
  <c r="S896" i="3"/>
  <c r="B896" i="3"/>
  <c r="R895" i="3"/>
  <c r="Q895" i="3"/>
  <c r="L895" i="3"/>
  <c r="K895" i="3"/>
  <c r="J895" i="3"/>
  <c r="I895" i="3"/>
  <c r="S894" i="3"/>
  <c r="S893" i="3" s="1"/>
  <c r="B894" i="3"/>
  <c r="R893" i="3"/>
  <c r="Q893" i="3"/>
  <c r="L893" i="3"/>
  <c r="K893" i="3"/>
  <c r="J893" i="3"/>
  <c r="I893" i="3"/>
  <c r="S892" i="3"/>
  <c r="S891" i="3" s="1"/>
  <c r="B892" i="3"/>
  <c r="R891" i="3"/>
  <c r="Q891" i="3"/>
  <c r="L891" i="3"/>
  <c r="K891" i="3"/>
  <c r="J891" i="3"/>
  <c r="I891" i="3"/>
  <c r="S890" i="3"/>
  <c r="B890" i="3"/>
  <c r="S889" i="3"/>
  <c r="B889" i="3"/>
  <c r="R888" i="3"/>
  <c r="Q888" i="3"/>
  <c r="L888" i="3"/>
  <c r="K888" i="3"/>
  <c r="J888" i="3"/>
  <c r="I888" i="3"/>
  <c r="S887" i="3"/>
  <c r="S886" i="3" s="1"/>
  <c r="B887" i="3"/>
  <c r="R886" i="3"/>
  <c r="Q886" i="3"/>
  <c r="L886" i="3"/>
  <c r="K886" i="3"/>
  <c r="J886" i="3"/>
  <c r="I886" i="3"/>
  <c r="S885" i="3"/>
  <c r="B885" i="3"/>
  <c r="S884" i="3"/>
  <c r="B884" i="3"/>
  <c r="S883" i="3"/>
  <c r="B883" i="3"/>
  <c r="S882" i="3"/>
  <c r="B882" i="3"/>
  <c r="S881" i="3"/>
  <c r="B881" i="3"/>
  <c r="S880" i="3"/>
  <c r="B880" i="3"/>
  <c r="S879" i="3"/>
  <c r="B879" i="3"/>
  <c r="S878" i="3"/>
  <c r="B878" i="3"/>
  <c r="S877" i="3"/>
  <c r="B877" i="3"/>
  <c r="R876" i="3"/>
  <c r="Q876" i="3"/>
  <c r="L876" i="3"/>
  <c r="K876" i="3"/>
  <c r="J876" i="3"/>
  <c r="I876" i="3"/>
  <c r="S875" i="3"/>
  <c r="B875" i="3"/>
  <c r="S874" i="3"/>
  <c r="B874" i="3"/>
  <c r="R873" i="3"/>
  <c r="Q873" i="3"/>
  <c r="L873" i="3"/>
  <c r="K873" i="3"/>
  <c r="J873" i="3"/>
  <c r="I873" i="3"/>
  <c r="S872" i="3"/>
  <c r="S871" i="3" s="1"/>
  <c r="B872" i="3"/>
  <c r="R871" i="3"/>
  <c r="Q871" i="3"/>
  <c r="L871" i="3"/>
  <c r="K871" i="3"/>
  <c r="J871" i="3"/>
  <c r="I871" i="3"/>
  <c r="S870" i="3"/>
  <c r="S869" i="3" s="1"/>
  <c r="B870" i="3"/>
  <c r="R869" i="3"/>
  <c r="Q869" i="3"/>
  <c r="L869" i="3"/>
  <c r="K869" i="3"/>
  <c r="J869" i="3"/>
  <c r="I869" i="3"/>
  <c r="S868" i="3"/>
  <c r="S867" i="3" s="1"/>
  <c r="B868" i="3"/>
  <c r="R867" i="3"/>
  <c r="Q867" i="3"/>
  <c r="L867" i="3"/>
  <c r="K867" i="3"/>
  <c r="J867" i="3"/>
  <c r="I867" i="3"/>
  <c r="S866" i="3"/>
  <c r="S865" i="3" s="1"/>
  <c r="B866" i="3"/>
  <c r="R865" i="3"/>
  <c r="Q865" i="3"/>
  <c r="L865" i="3"/>
  <c r="K865" i="3"/>
  <c r="J865" i="3"/>
  <c r="I865" i="3"/>
  <c r="S864" i="3"/>
  <c r="S863" i="3" s="1"/>
  <c r="B864" i="3"/>
  <c r="R863" i="3"/>
  <c r="Q863" i="3"/>
  <c r="L863" i="3"/>
  <c r="K863" i="3"/>
  <c r="J863" i="3"/>
  <c r="I863" i="3"/>
  <c r="S862" i="3"/>
  <c r="B862" i="3"/>
  <c r="S861" i="3"/>
  <c r="B861" i="3"/>
  <c r="R860" i="3"/>
  <c r="Q860" i="3"/>
  <c r="L860" i="3"/>
  <c r="K860" i="3"/>
  <c r="J860" i="3"/>
  <c r="I860" i="3"/>
  <c r="S859" i="3"/>
  <c r="B859" i="3"/>
  <c r="S858" i="3"/>
  <c r="K858" i="3"/>
  <c r="B858" i="3"/>
  <c r="S857" i="3"/>
  <c r="K857" i="3"/>
  <c r="B857" i="3"/>
  <c r="S856" i="3"/>
  <c r="B856" i="3"/>
  <c r="S855" i="3"/>
  <c r="B855" i="3"/>
  <c r="R854" i="3"/>
  <c r="Q854" i="3"/>
  <c r="L854" i="3"/>
  <c r="J854" i="3"/>
  <c r="I854" i="3"/>
  <c r="S853" i="3"/>
  <c r="B853" i="3"/>
  <c r="S852" i="3"/>
  <c r="B852" i="3"/>
  <c r="S851" i="3"/>
  <c r="B851" i="3"/>
  <c r="S850" i="3"/>
  <c r="B850" i="3"/>
  <c r="S849" i="3"/>
  <c r="B849" i="3"/>
  <c r="S848" i="3"/>
  <c r="B848" i="3"/>
  <c r="S847" i="3"/>
  <c r="B847" i="3"/>
  <c r="S846" i="3"/>
  <c r="B846" i="3"/>
  <c r="S845" i="3"/>
  <c r="B845" i="3"/>
  <c r="R844" i="3"/>
  <c r="Q844" i="3"/>
  <c r="L844" i="3"/>
  <c r="K844" i="3"/>
  <c r="J844" i="3"/>
  <c r="I844" i="3"/>
  <c r="S843" i="3"/>
  <c r="S842" i="3" s="1"/>
  <c r="B843" i="3"/>
  <c r="R842" i="3"/>
  <c r="Q842" i="3"/>
  <c r="L842" i="3"/>
  <c r="K842" i="3"/>
  <c r="J842" i="3"/>
  <c r="I842" i="3"/>
  <c r="S841" i="3"/>
  <c r="S840" i="3" s="1"/>
  <c r="B841" i="3"/>
  <c r="R840" i="3"/>
  <c r="Q840" i="3"/>
  <c r="L840" i="3"/>
  <c r="K840" i="3"/>
  <c r="J840" i="3"/>
  <c r="I840" i="3"/>
  <c r="S839" i="3"/>
  <c r="B839" i="3"/>
  <c r="S838" i="3"/>
  <c r="B838" i="3"/>
  <c r="R837" i="3"/>
  <c r="Q837" i="3"/>
  <c r="L837" i="3"/>
  <c r="K837" i="3"/>
  <c r="J837" i="3"/>
  <c r="I837" i="3"/>
  <c r="S836" i="3"/>
  <c r="S835" i="3" s="1"/>
  <c r="B836" i="3"/>
  <c r="R835" i="3"/>
  <c r="Q835" i="3"/>
  <c r="L835" i="3"/>
  <c r="K835" i="3"/>
  <c r="J835" i="3"/>
  <c r="I835" i="3"/>
  <c r="S834" i="3"/>
  <c r="K834" i="3"/>
  <c r="K831" i="3" s="1"/>
  <c r="B834" i="3"/>
  <c r="S833" i="3"/>
  <c r="B833" i="3"/>
  <c r="S832" i="3"/>
  <c r="B832" i="3"/>
  <c r="R831" i="3"/>
  <c r="Q831" i="3"/>
  <c r="L831" i="3"/>
  <c r="J831" i="3"/>
  <c r="I831" i="3"/>
  <c r="S830" i="3"/>
  <c r="B830" i="3"/>
  <c r="S829" i="3"/>
  <c r="B829" i="3"/>
  <c r="S828" i="3"/>
  <c r="B828" i="3"/>
  <c r="S827" i="3"/>
  <c r="B827" i="3"/>
  <c r="R826" i="3"/>
  <c r="Q826" i="3"/>
  <c r="L826" i="3"/>
  <c r="K826" i="3"/>
  <c r="J826" i="3"/>
  <c r="I826" i="3"/>
  <c r="S825" i="3"/>
  <c r="B825" i="3"/>
  <c r="S824" i="3"/>
  <c r="K824" i="3"/>
  <c r="K820" i="3" s="1"/>
  <c r="B824" i="3"/>
  <c r="S823" i="3"/>
  <c r="B823" i="3"/>
  <c r="S822" i="3"/>
  <c r="B822" i="3"/>
  <c r="S821" i="3"/>
  <c r="B821" i="3"/>
  <c r="R820" i="3"/>
  <c r="Q820" i="3"/>
  <c r="L820" i="3"/>
  <c r="J820" i="3"/>
  <c r="I820" i="3"/>
  <c r="S819" i="3"/>
  <c r="B819" i="3"/>
  <c r="S818" i="3"/>
  <c r="B818" i="3"/>
  <c r="S817" i="3"/>
  <c r="K817" i="3"/>
  <c r="B817" i="3"/>
  <c r="S816" i="3"/>
  <c r="K816" i="3"/>
  <c r="B816" i="3"/>
  <c r="S815" i="3"/>
  <c r="K815" i="3"/>
  <c r="B815" i="3"/>
  <c r="S814" i="3"/>
  <c r="K814" i="3"/>
  <c r="B814" i="3"/>
  <c r="S813" i="3"/>
  <c r="K813" i="3"/>
  <c r="B813" i="3"/>
  <c r="S812" i="3"/>
  <c r="B812" i="3"/>
  <c r="S811" i="3"/>
  <c r="B811" i="3"/>
  <c r="S810" i="3"/>
  <c r="B810" i="3"/>
  <c r="S809" i="3"/>
  <c r="B809" i="3"/>
  <c r="S808" i="3"/>
  <c r="B808" i="3"/>
  <c r="S807" i="3"/>
  <c r="B807" i="3"/>
  <c r="S806" i="3"/>
  <c r="B806" i="3"/>
  <c r="S805" i="3"/>
  <c r="B805" i="3"/>
  <c r="S804" i="3"/>
  <c r="B804" i="3"/>
  <c r="S803" i="3"/>
  <c r="B803" i="3"/>
  <c r="S802" i="3"/>
  <c r="B802" i="3"/>
  <c r="S801" i="3"/>
  <c r="B801" i="3"/>
  <c r="R800" i="3"/>
  <c r="Q800" i="3"/>
  <c r="L800" i="3"/>
  <c r="J800" i="3"/>
  <c r="I800" i="3"/>
  <c r="S799" i="3"/>
  <c r="B799" i="3"/>
  <c r="S798" i="3"/>
  <c r="B798" i="3"/>
  <c r="S797" i="3"/>
  <c r="B797" i="3"/>
  <c r="S796" i="3"/>
  <c r="K796" i="3"/>
  <c r="K794" i="3" s="1"/>
  <c r="B796" i="3"/>
  <c r="S795" i="3"/>
  <c r="B795" i="3"/>
  <c r="R794" i="3"/>
  <c r="Q794" i="3"/>
  <c r="L794" i="3"/>
  <c r="J794" i="3"/>
  <c r="I794" i="3"/>
  <c r="S793" i="3"/>
  <c r="B793" i="3"/>
  <c r="S792" i="3"/>
  <c r="B792" i="3"/>
  <c r="S791" i="3"/>
  <c r="B791" i="3"/>
  <c r="S790" i="3"/>
  <c r="B790" i="3"/>
  <c r="S789" i="3"/>
  <c r="B789" i="3"/>
  <c r="S788" i="3"/>
  <c r="B788" i="3"/>
  <c r="S787" i="3"/>
  <c r="B787" i="3"/>
  <c r="S786" i="3"/>
  <c r="B786" i="3"/>
  <c r="S785" i="3"/>
  <c r="B785" i="3"/>
  <c r="S784" i="3"/>
  <c r="B784" i="3"/>
  <c r="S783" i="3"/>
  <c r="B783" i="3"/>
  <c r="S782" i="3"/>
  <c r="B782" i="3"/>
  <c r="S781" i="3"/>
  <c r="B781" i="3"/>
  <c r="S780" i="3"/>
  <c r="B780" i="3"/>
  <c r="S779" i="3"/>
  <c r="B779" i="3"/>
  <c r="S778" i="3"/>
  <c r="K778" i="3"/>
  <c r="K772" i="3" s="1"/>
  <c r="B778" i="3"/>
  <c r="S777" i="3"/>
  <c r="B777" i="3"/>
  <c r="S776" i="3"/>
  <c r="B776" i="3"/>
  <c r="S775" i="3"/>
  <c r="B775" i="3"/>
  <c r="S774" i="3"/>
  <c r="B774" i="3"/>
  <c r="S773" i="3"/>
  <c r="B773" i="3"/>
  <c r="R772" i="3"/>
  <c r="Q772" i="3"/>
  <c r="L772" i="3"/>
  <c r="J772" i="3"/>
  <c r="I772" i="3"/>
  <c r="S771" i="3"/>
  <c r="B771" i="3"/>
  <c r="S770" i="3"/>
  <c r="B770" i="3"/>
  <c r="S769" i="3"/>
  <c r="B769" i="3"/>
  <c r="S768" i="3"/>
  <c r="B768" i="3"/>
  <c r="S767" i="3"/>
  <c r="B767" i="3"/>
  <c r="S766" i="3"/>
  <c r="B766" i="3"/>
  <c r="S765" i="3"/>
  <c r="B765" i="3"/>
  <c r="S764" i="3"/>
  <c r="B764" i="3"/>
  <c r="S763" i="3"/>
  <c r="B763" i="3"/>
  <c r="S762" i="3"/>
  <c r="B762" i="3"/>
  <c r="S761" i="3"/>
  <c r="B761" i="3"/>
  <c r="S760" i="3"/>
  <c r="B760" i="3"/>
  <c r="S759" i="3"/>
  <c r="B759" i="3"/>
  <c r="S758" i="3"/>
  <c r="B758" i="3"/>
  <c r="S757" i="3"/>
  <c r="B757" i="3"/>
  <c r="S756" i="3"/>
  <c r="B756" i="3"/>
  <c r="S755" i="3"/>
  <c r="B755" i="3"/>
  <c r="S754" i="3"/>
  <c r="B754" i="3"/>
  <c r="S753" i="3"/>
  <c r="B753" i="3"/>
  <c r="S752" i="3"/>
  <c r="B752" i="3"/>
  <c r="S751" i="3"/>
  <c r="B751" i="3"/>
  <c r="S750" i="3"/>
  <c r="B750" i="3"/>
  <c r="S749" i="3"/>
  <c r="B749" i="3"/>
  <c r="S748" i="3"/>
  <c r="B748" i="3"/>
  <c r="S747" i="3"/>
  <c r="B747" i="3"/>
  <c r="S746" i="3"/>
  <c r="B746" i="3"/>
  <c r="S745" i="3"/>
  <c r="B745" i="3"/>
  <c r="S744" i="3"/>
  <c r="K744" i="3"/>
  <c r="B744" i="3"/>
  <c r="S743" i="3"/>
  <c r="B743" i="3"/>
  <c r="S742" i="3"/>
  <c r="B742" i="3"/>
  <c r="S741" i="3"/>
  <c r="B741" i="3"/>
  <c r="S740" i="3"/>
  <c r="B740" i="3"/>
  <c r="S739" i="3"/>
  <c r="B739" i="3"/>
  <c r="S738" i="3"/>
  <c r="K738" i="3"/>
  <c r="B738" i="3"/>
  <c r="S737" i="3"/>
  <c r="K737" i="3"/>
  <c r="B737" i="3"/>
  <c r="S736" i="3"/>
  <c r="K736" i="3"/>
  <c r="B736" i="3"/>
  <c r="S735" i="3"/>
  <c r="B735" i="3"/>
  <c r="S734" i="3"/>
  <c r="B734" i="3"/>
  <c r="S733" i="3"/>
  <c r="B733" i="3"/>
  <c r="S732" i="3"/>
  <c r="B732" i="3"/>
  <c r="S731" i="3"/>
  <c r="B731" i="3"/>
  <c r="S730" i="3"/>
  <c r="B730" i="3"/>
  <c r="S729" i="3"/>
  <c r="B729" i="3"/>
  <c r="S728" i="3"/>
  <c r="B728" i="3"/>
  <c r="S727" i="3"/>
  <c r="B727" i="3"/>
  <c r="S726" i="3"/>
  <c r="B726" i="3"/>
  <c r="S725" i="3"/>
  <c r="B725" i="3"/>
  <c r="S724" i="3"/>
  <c r="B724" i="3"/>
  <c r="S723" i="3"/>
  <c r="B723" i="3"/>
  <c r="S722" i="3"/>
  <c r="B722" i="3"/>
  <c r="S721" i="3"/>
  <c r="B721" i="3"/>
  <c r="S720" i="3"/>
  <c r="B720" i="3"/>
  <c r="S719" i="3"/>
  <c r="B719" i="3"/>
  <c r="S718" i="3"/>
  <c r="B718" i="3"/>
  <c r="S717" i="3"/>
  <c r="B717" i="3"/>
  <c r="S716" i="3"/>
  <c r="B716" i="3"/>
  <c r="S715" i="3"/>
  <c r="B715" i="3"/>
  <c r="S714" i="3"/>
  <c r="B714" i="3"/>
  <c r="S713" i="3"/>
  <c r="B713" i="3"/>
  <c r="S712" i="3"/>
  <c r="B712" i="3"/>
  <c r="S711" i="3"/>
  <c r="B711" i="3"/>
  <c r="S710" i="3"/>
  <c r="B710" i="3"/>
  <c r="S709" i="3"/>
  <c r="B709" i="3"/>
  <c r="R708" i="3"/>
  <c r="Q708" i="3"/>
  <c r="L708" i="3"/>
  <c r="J708" i="3"/>
  <c r="I708" i="3"/>
  <c r="S707" i="3"/>
  <c r="B707" i="3"/>
  <c r="S706" i="3"/>
  <c r="B706" i="3"/>
  <c r="S705" i="3"/>
  <c r="B705" i="3"/>
  <c r="S704" i="3"/>
  <c r="B704" i="3"/>
  <c r="S703" i="3"/>
  <c r="B703" i="3"/>
  <c r="S702" i="3"/>
  <c r="B702" i="3"/>
  <c r="S701" i="3"/>
  <c r="B701" i="3"/>
  <c r="S700" i="3"/>
  <c r="K700" i="3"/>
  <c r="B700" i="3"/>
  <c r="S699" i="3"/>
  <c r="K699" i="3"/>
  <c r="B699" i="3"/>
  <c r="S698" i="3"/>
  <c r="K698" i="3"/>
  <c r="B698" i="3"/>
  <c r="S697" i="3"/>
  <c r="K697" i="3"/>
  <c r="B697" i="3"/>
  <c r="S696" i="3"/>
  <c r="B696" i="3"/>
  <c r="S695" i="3"/>
  <c r="B695" i="3"/>
  <c r="S694" i="3"/>
  <c r="B694" i="3"/>
  <c r="S693" i="3"/>
  <c r="B693" i="3"/>
  <c r="S692" i="3"/>
  <c r="B692" i="3"/>
  <c r="S691" i="3"/>
  <c r="B691" i="3"/>
  <c r="S690" i="3"/>
  <c r="B690" i="3"/>
  <c r="S689" i="3"/>
  <c r="B689" i="3"/>
  <c r="S688" i="3"/>
  <c r="B688" i="3"/>
  <c r="S687" i="3"/>
  <c r="B687" i="3"/>
  <c r="S686" i="3"/>
  <c r="B686" i="3"/>
  <c r="S685" i="3"/>
  <c r="B685" i="3"/>
  <c r="R684" i="3"/>
  <c r="Q684" i="3"/>
  <c r="L684" i="3"/>
  <c r="J684" i="3"/>
  <c r="I684" i="3"/>
  <c r="S683" i="3"/>
  <c r="B683" i="3"/>
  <c r="S682" i="3"/>
  <c r="B682" i="3"/>
  <c r="S681" i="3"/>
  <c r="B681" i="3"/>
  <c r="S680" i="3"/>
  <c r="B680" i="3"/>
  <c r="S679" i="3"/>
  <c r="B679" i="3"/>
  <c r="S678" i="3"/>
  <c r="B678" i="3"/>
  <c r="S677" i="3"/>
  <c r="B677" i="3"/>
  <c r="S676" i="3"/>
  <c r="B676" i="3"/>
  <c r="S675" i="3"/>
  <c r="B675" i="3"/>
  <c r="S674" i="3"/>
  <c r="B674" i="3"/>
  <c r="S673" i="3"/>
  <c r="B673" i="3"/>
  <c r="S672" i="3"/>
  <c r="B672" i="3"/>
  <c r="S671" i="3"/>
  <c r="B671" i="3"/>
  <c r="S670" i="3"/>
  <c r="B670" i="3"/>
  <c r="S669" i="3"/>
  <c r="B669" i="3"/>
  <c r="S668" i="3"/>
  <c r="B668" i="3"/>
  <c r="S667" i="3"/>
  <c r="B667" i="3"/>
  <c r="S666" i="3"/>
  <c r="B666" i="3"/>
  <c r="S665" i="3"/>
  <c r="B665" i="3"/>
  <c r="S664" i="3"/>
  <c r="B664" i="3"/>
  <c r="S663" i="3"/>
  <c r="B663" i="3"/>
  <c r="S662" i="3"/>
  <c r="B662" i="3"/>
  <c r="S661" i="3"/>
  <c r="B661" i="3"/>
  <c r="S660" i="3"/>
  <c r="B660" i="3"/>
  <c r="S659" i="3"/>
  <c r="B659" i="3"/>
  <c r="S658" i="3"/>
  <c r="B658" i="3"/>
  <c r="S657" i="3"/>
  <c r="B657" i="3"/>
  <c r="S656" i="3"/>
  <c r="B656" i="3"/>
  <c r="S655" i="3"/>
  <c r="B655" i="3"/>
  <c r="S654" i="3"/>
  <c r="B654" i="3"/>
  <c r="S653" i="3"/>
  <c r="B653" i="3"/>
  <c r="S652" i="3"/>
  <c r="B652" i="3"/>
  <c r="S651" i="3"/>
  <c r="B651" i="3"/>
  <c r="S650" i="3"/>
  <c r="B650" i="3"/>
  <c r="S649" i="3"/>
  <c r="B649" i="3"/>
  <c r="S648" i="3"/>
  <c r="B648" i="3"/>
  <c r="S647" i="3"/>
  <c r="B647" i="3"/>
  <c r="S646" i="3"/>
  <c r="B646" i="3"/>
  <c r="S645" i="3"/>
  <c r="B645" i="3"/>
  <c r="S644" i="3"/>
  <c r="B644" i="3"/>
  <c r="S643" i="3"/>
  <c r="B643" i="3"/>
  <c r="S642" i="3"/>
  <c r="B642" i="3"/>
  <c r="S641" i="3"/>
  <c r="B641" i="3"/>
  <c r="S640" i="3"/>
  <c r="B640" i="3"/>
  <c r="S639" i="3"/>
  <c r="B639" i="3"/>
  <c r="S638" i="3"/>
  <c r="B638" i="3"/>
  <c r="S637" i="3"/>
  <c r="B637" i="3"/>
  <c r="S636" i="3"/>
  <c r="B636" i="3"/>
  <c r="S635" i="3"/>
  <c r="B635" i="3"/>
  <c r="S634" i="3"/>
  <c r="B634" i="3"/>
  <c r="S633" i="3"/>
  <c r="B633" i="3"/>
  <c r="S632" i="3"/>
  <c r="B632" i="3"/>
  <c r="S631" i="3"/>
  <c r="B631" i="3"/>
  <c r="S630" i="3"/>
  <c r="B630" i="3"/>
  <c r="S629" i="3"/>
  <c r="B629" i="3"/>
  <c r="S628" i="3"/>
  <c r="B628" i="3"/>
  <c r="S627" i="3"/>
  <c r="B627" i="3"/>
  <c r="S626" i="3"/>
  <c r="B626" i="3"/>
  <c r="S625" i="3"/>
  <c r="B625" i="3"/>
  <c r="S624" i="3"/>
  <c r="B624" i="3"/>
  <c r="S623" i="3"/>
  <c r="B623" i="3"/>
  <c r="S622" i="3"/>
  <c r="B622" i="3"/>
  <c r="S621" i="3"/>
  <c r="B621" i="3"/>
  <c r="S620" i="3"/>
  <c r="B620" i="3"/>
  <c r="S619" i="3"/>
  <c r="B619" i="3"/>
  <c r="S618" i="3"/>
  <c r="B618" i="3"/>
  <c r="S617" i="3"/>
  <c r="B617" i="3"/>
  <c r="S616" i="3"/>
  <c r="B616" i="3"/>
  <c r="S615" i="3"/>
  <c r="B615" i="3"/>
  <c r="S614" i="3"/>
  <c r="B614" i="3"/>
  <c r="S613" i="3"/>
  <c r="B613" i="3"/>
  <c r="S612" i="3"/>
  <c r="B612" i="3"/>
  <c r="S611" i="3"/>
  <c r="B611" i="3"/>
  <c r="S610" i="3"/>
  <c r="B610" i="3"/>
  <c r="S609" i="3"/>
  <c r="B609" i="3"/>
  <c r="S608" i="3"/>
  <c r="B608" i="3"/>
  <c r="S607" i="3"/>
  <c r="B607" i="3"/>
  <c r="S606" i="3"/>
  <c r="B606" i="3"/>
  <c r="S605" i="3"/>
  <c r="B605" i="3"/>
  <c r="S604" i="3"/>
  <c r="B604" i="3"/>
  <c r="S603" i="3"/>
  <c r="B603" i="3"/>
  <c r="S602" i="3"/>
  <c r="B602" i="3"/>
  <c r="S601" i="3"/>
  <c r="B601" i="3"/>
  <c r="S600" i="3"/>
  <c r="B600" i="3"/>
  <c r="S599" i="3"/>
  <c r="B599" i="3"/>
  <c r="S598" i="3"/>
  <c r="B598" i="3"/>
  <c r="S597" i="3"/>
  <c r="B597" i="3"/>
  <c r="S596" i="3"/>
  <c r="B596" i="3"/>
  <c r="S595" i="3"/>
  <c r="B595" i="3"/>
  <c r="S594" i="3"/>
  <c r="B594" i="3"/>
  <c r="S593" i="3"/>
  <c r="B593" i="3"/>
  <c r="S592" i="3"/>
  <c r="B592" i="3"/>
  <c r="S591" i="3"/>
  <c r="B591" i="3"/>
  <c r="S590" i="3"/>
  <c r="B590" i="3"/>
  <c r="S589" i="3"/>
  <c r="B589" i="3"/>
  <c r="S588" i="3"/>
  <c r="B588" i="3"/>
  <c r="S587" i="3"/>
  <c r="B587" i="3"/>
  <c r="S586" i="3"/>
  <c r="B586" i="3"/>
  <c r="S585" i="3"/>
  <c r="B585" i="3"/>
  <c r="S584" i="3"/>
  <c r="B584" i="3"/>
  <c r="S583" i="3"/>
  <c r="B583" i="3"/>
  <c r="S582" i="3"/>
  <c r="B582" i="3"/>
  <c r="S581" i="3"/>
  <c r="B581" i="3"/>
  <c r="S580" i="3"/>
  <c r="B580" i="3"/>
  <c r="S579" i="3"/>
  <c r="B579" i="3"/>
  <c r="S578" i="3"/>
  <c r="B578" i="3"/>
  <c r="S577" i="3"/>
  <c r="B577" i="3"/>
  <c r="S576" i="3"/>
  <c r="B576" i="3"/>
  <c r="S575" i="3"/>
  <c r="B575" i="3"/>
  <c r="S574" i="3"/>
  <c r="B574" i="3"/>
  <c r="S573" i="3"/>
  <c r="B573" i="3"/>
  <c r="S572" i="3"/>
  <c r="B572" i="3"/>
  <c r="S571" i="3"/>
  <c r="B571" i="3"/>
  <c r="S570" i="3"/>
  <c r="B570" i="3"/>
  <c r="S569" i="3"/>
  <c r="B569" i="3"/>
  <c r="S568" i="3"/>
  <c r="B568" i="3"/>
  <c r="S567" i="3"/>
  <c r="B567" i="3"/>
  <c r="S566" i="3"/>
  <c r="B566" i="3"/>
  <c r="S565" i="3"/>
  <c r="B565" i="3"/>
  <c r="S564" i="3"/>
  <c r="B564" i="3"/>
  <c r="S563" i="3"/>
  <c r="B563" i="3"/>
  <c r="S562" i="3"/>
  <c r="B562" i="3"/>
  <c r="S561" i="3"/>
  <c r="B561" i="3"/>
  <c r="S560" i="3"/>
  <c r="B560" i="3"/>
  <c r="S559" i="3"/>
  <c r="B559" i="3"/>
  <c r="S558" i="3"/>
  <c r="B558" i="3"/>
  <c r="S557" i="3"/>
  <c r="B557" i="3"/>
  <c r="S556" i="3"/>
  <c r="B556" i="3"/>
  <c r="S555" i="3"/>
  <c r="B555" i="3"/>
  <c r="S554" i="3"/>
  <c r="B554" i="3"/>
  <c r="R553" i="3"/>
  <c r="Q553" i="3"/>
  <c r="L553" i="3"/>
  <c r="K553" i="3"/>
  <c r="J553" i="3"/>
  <c r="I553" i="3"/>
  <c r="S551" i="3"/>
  <c r="S550" i="3" s="1"/>
  <c r="B551" i="3"/>
  <c r="R550" i="3"/>
  <c r="Q550" i="3"/>
  <c r="L550" i="3"/>
  <c r="K550" i="3"/>
  <c r="J550" i="3"/>
  <c r="I550" i="3"/>
  <c r="S549" i="3"/>
  <c r="B549" i="3"/>
  <c r="S548" i="3"/>
  <c r="B548" i="3"/>
  <c r="S547" i="3"/>
  <c r="B547" i="3"/>
  <c r="R546" i="3"/>
  <c r="Q546" i="3"/>
  <c r="L546" i="3"/>
  <c r="K546" i="3"/>
  <c r="J546" i="3"/>
  <c r="I546" i="3"/>
  <c r="S545" i="3"/>
  <c r="B545" i="3"/>
  <c r="S544" i="3"/>
  <c r="B544" i="3"/>
  <c r="S543" i="3"/>
  <c r="B543" i="3"/>
  <c r="S542" i="3"/>
  <c r="B542" i="3"/>
  <c r="S541" i="3"/>
  <c r="B541" i="3"/>
  <c r="R540" i="3"/>
  <c r="Q540" i="3"/>
  <c r="L540" i="3"/>
  <c r="K540" i="3"/>
  <c r="J540" i="3"/>
  <c r="I540" i="3"/>
  <c r="S539" i="3"/>
  <c r="K539" i="3"/>
  <c r="B539" i="3"/>
  <c r="S538" i="3"/>
  <c r="K538" i="3"/>
  <c r="B538" i="3"/>
  <c r="S537" i="3"/>
  <c r="B537" i="3"/>
  <c r="S536" i="3"/>
  <c r="B536" i="3"/>
  <c r="S535" i="3"/>
  <c r="B535" i="3"/>
  <c r="S534" i="3"/>
  <c r="B534" i="3"/>
  <c r="S533" i="3"/>
  <c r="B533" i="3"/>
  <c r="S532" i="3"/>
  <c r="B532" i="3"/>
  <c r="R531" i="3"/>
  <c r="Q531" i="3"/>
  <c r="L531" i="3"/>
  <c r="J531" i="3"/>
  <c r="I531" i="3"/>
  <c r="S530" i="3"/>
  <c r="S529" i="3" s="1"/>
  <c r="B530" i="3"/>
  <c r="R529" i="3"/>
  <c r="Q529" i="3"/>
  <c r="L529" i="3"/>
  <c r="K529" i="3"/>
  <c r="J529" i="3"/>
  <c r="I529" i="3"/>
  <c r="S528" i="3"/>
  <c r="B528" i="3"/>
  <c r="S527" i="3"/>
  <c r="B527" i="3"/>
  <c r="R526" i="3"/>
  <c r="Q526" i="3"/>
  <c r="L526" i="3"/>
  <c r="K526" i="3"/>
  <c r="J526" i="3"/>
  <c r="I526" i="3"/>
  <c r="S525" i="3"/>
  <c r="S524" i="3" s="1"/>
  <c r="B525" i="3"/>
  <c r="R524" i="3"/>
  <c r="Q524" i="3"/>
  <c r="L524" i="3"/>
  <c r="K524" i="3"/>
  <c r="J524" i="3"/>
  <c r="I524" i="3"/>
  <c r="S523" i="3"/>
  <c r="B523" i="3"/>
  <c r="S522" i="3"/>
  <c r="B522" i="3"/>
  <c r="S521" i="3"/>
  <c r="B521" i="3"/>
  <c r="S520" i="3"/>
  <c r="B520" i="3"/>
  <c r="S519" i="3"/>
  <c r="B519" i="3"/>
  <c r="S518" i="3"/>
  <c r="B518" i="3"/>
  <c r="R517" i="3"/>
  <c r="Q517" i="3"/>
  <c r="L517" i="3"/>
  <c r="K517" i="3"/>
  <c r="J517" i="3"/>
  <c r="I517" i="3"/>
  <c r="S516" i="3"/>
  <c r="S515" i="3" s="1"/>
  <c r="B516" i="3"/>
  <c r="R515" i="3"/>
  <c r="Q515" i="3"/>
  <c r="L515" i="3"/>
  <c r="K515" i="3"/>
  <c r="J515" i="3"/>
  <c r="I515" i="3"/>
  <c r="S514" i="3"/>
  <c r="S513" i="3" s="1"/>
  <c r="B514" i="3"/>
  <c r="R513" i="3"/>
  <c r="Q513" i="3"/>
  <c r="L513" i="3"/>
  <c r="K513" i="3"/>
  <c r="J513" i="3"/>
  <c r="I513" i="3"/>
  <c r="S512" i="3"/>
  <c r="K512" i="3"/>
  <c r="K510" i="3" s="1"/>
  <c r="B512" i="3"/>
  <c r="S511" i="3"/>
  <c r="B511" i="3"/>
  <c r="R510" i="3"/>
  <c r="Q510" i="3"/>
  <c r="L510" i="3"/>
  <c r="J510" i="3"/>
  <c r="I510" i="3"/>
  <c r="S509" i="3"/>
  <c r="S508" i="3" s="1"/>
  <c r="B509" i="3"/>
  <c r="R508" i="3"/>
  <c r="Q508" i="3"/>
  <c r="L508" i="3"/>
  <c r="K508" i="3"/>
  <c r="J508" i="3"/>
  <c r="I508" i="3"/>
  <c r="S507" i="3"/>
  <c r="S506" i="3" s="1"/>
  <c r="B507" i="3"/>
  <c r="R506" i="3"/>
  <c r="Q506" i="3"/>
  <c r="L506" i="3"/>
  <c r="K506" i="3"/>
  <c r="J506" i="3"/>
  <c r="I506" i="3"/>
  <c r="S505" i="3"/>
  <c r="B505" i="3"/>
  <c r="S504" i="3"/>
  <c r="B504" i="3"/>
  <c r="S503" i="3"/>
  <c r="B503" i="3"/>
  <c r="S502" i="3"/>
  <c r="B502" i="3"/>
  <c r="S501" i="3"/>
  <c r="B501" i="3"/>
  <c r="R500" i="3"/>
  <c r="Q500" i="3"/>
  <c r="L500" i="3"/>
  <c r="K500" i="3"/>
  <c r="J500" i="3"/>
  <c r="I500" i="3"/>
  <c r="S499" i="3"/>
  <c r="B499" i="3"/>
  <c r="S498" i="3"/>
  <c r="B498" i="3"/>
  <c r="S497" i="3"/>
  <c r="B497" i="3"/>
  <c r="S496" i="3"/>
  <c r="B496" i="3"/>
  <c r="R495" i="3"/>
  <c r="Q495" i="3"/>
  <c r="L495" i="3"/>
  <c r="K495" i="3"/>
  <c r="J495" i="3"/>
  <c r="I495" i="3"/>
  <c r="S494" i="3"/>
  <c r="S493" i="3" s="1"/>
  <c r="K494" i="3"/>
  <c r="K493" i="3" s="1"/>
  <c r="B494" i="3"/>
  <c r="R493" i="3"/>
  <c r="Q493" i="3"/>
  <c r="L493" i="3"/>
  <c r="J493" i="3"/>
  <c r="I493" i="3"/>
  <c r="S492" i="3"/>
  <c r="S491" i="3" s="1"/>
  <c r="B492" i="3"/>
  <c r="R491" i="3"/>
  <c r="Q491" i="3"/>
  <c r="L491" i="3"/>
  <c r="K491" i="3"/>
  <c r="J491" i="3"/>
  <c r="I491" i="3"/>
  <c r="S490" i="3"/>
  <c r="B490" i="3"/>
  <c r="S489" i="3"/>
  <c r="B489" i="3"/>
  <c r="S488" i="3"/>
  <c r="B488" i="3"/>
  <c r="S487" i="3"/>
  <c r="B487" i="3"/>
  <c r="S486" i="3"/>
  <c r="B486" i="3"/>
  <c r="S485" i="3"/>
  <c r="B485" i="3"/>
  <c r="S484" i="3"/>
  <c r="B484" i="3"/>
  <c r="S483" i="3"/>
  <c r="B483" i="3"/>
  <c r="R482" i="3"/>
  <c r="Q482" i="3"/>
  <c r="L482" i="3"/>
  <c r="K482" i="3"/>
  <c r="J482" i="3"/>
  <c r="I482" i="3"/>
  <c r="S481" i="3"/>
  <c r="B481" i="3"/>
  <c r="S480" i="3"/>
  <c r="B480" i="3"/>
  <c r="S479" i="3"/>
  <c r="K479" i="3"/>
  <c r="K470" i="3" s="1"/>
  <c r="B479" i="3"/>
  <c r="S478" i="3"/>
  <c r="B478" i="3"/>
  <c r="S477" i="3"/>
  <c r="B477" i="3"/>
  <c r="S476" i="3"/>
  <c r="B476" i="3"/>
  <c r="S475" i="3"/>
  <c r="B475" i="3"/>
  <c r="S474" i="3"/>
  <c r="B474" i="3"/>
  <c r="S473" i="3"/>
  <c r="B473" i="3"/>
  <c r="S472" i="3"/>
  <c r="B472" i="3"/>
  <c r="S471" i="3"/>
  <c r="B471" i="3"/>
  <c r="R470" i="3"/>
  <c r="Q470" i="3"/>
  <c r="L470" i="3"/>
  <c r="J470" i="3"/>
  <c r="I470" i="3"/>
  <c r="S469" i="3"/>
  <c r="B469" i="3"/>
  <c r="S468" i="3"/>
  <c r="B468" i="3"/>
  <c r="S467" i="3"/>
  <c r="B467" i="3"/>
  <c r="S466" i="3"/>
  <c r="B466" i="3"/>
  <c r="S465" i="3"/>
  <c r="B465" i="3"/>
  <c r="R464" i="3"/>
  <c r="Q464" i="3"/>
  <c r="L464" i="3"/>
  <c r="K464" i="3"/>
  <c r="J464" i="3"/>
  <c r="I464" i="3"/>
  <c r="S463" i="3"/>
  <c r="S462" i="3" s="1"/>
  <c r="B463" i="3"/>
  <c r="R462" i="3"/>
  <c r="Q462" i="3"/>
  <c r="L462" i="3"/>
  <c r="K462" i="3"/>
  <c r="J462" i="3"/>
  <c r="I462" i="3"/>
  <c r="S461" i="3"/>
  <c r="S460" i="3" s="1"/>
  <c r="B461" i="3"/>
  <c r="R460" i="3"/>
  <c r="Q460" i="3"/>
  <c r="L460" i="3"/>
  <c r="K460" i="3"/>
  <c r="J460" i="3"/>
  <c r="I460" i="3"/>
  <c r="S459" i="3"/>
  <c r="S458" i="3" s="1"/>
  <c r="B459" i="3"/>
  <c r="R458" i="3"/>
  <c r="Q458" i="3"/>
  <c r="L458" i="3"/>
  <c r="K458" i="3"/>
  <c r="J458" i="3"/>
  <c r="I458" i="3"/>
  <c r="S457" i="3"/>
  <c r="S456" i="3" s="1"/>
  <c r="B457" i="3"/>
  <c r="R456" i="3"/>
  <c r="Q456" i="3"/>
  <c r="L456" i="3"/>
  <c r="K456" i="3"/>
  <c r="J456" i="3"/>
  <c r="I456" i="3"/>
  <c r="S455" i="3"/>
  <c r="S454" i="3" s="1"/>
  <c r="B455" i="3"/>
  <c r="R454" i="3"/>
  <c r="Q454" i="3"/>
  <c r="L454" i="3"/>
  <c r="K454" i="3"/>
  <c r="J454" i="3"/>
  <c r="I454" i="3"/>
  <c r="S453" i="3"/>
  <c r="S452" i="3" s="1"/>
  <c r="B453" i="3"/>
  <c r="R452" i="3"/>
  <c r="Q452" i="3"/>
  <c r="L452" i="3"/>
  <c r="K452" i="3"/>
  <c r="J452" i="3"/>
  <c r="I452" i="3"/>
  <c r="S451" i="3"/>
  <c r="B451" i="3"/>
  <c r="S450" i="3"/>
  <c r="B450" i="3"/>
  <c r="S449" i="3"/>
  <c r="B449" i="3"/>
  <c r="S448" i="3"/>
  <c r="B448" i="3"/>
  <c r="S447" i="3"/>
  <c r="B447" i="3"/>
  <c r="S446" i="3"/>
  <c r="B446" i="3"/>
  <c r="S445" i="3"/>
  <c r="B445" i="3"/>
  <c r="S444" i="3"/>
  <c r="B444" i="3"/>
  <c r="S443" i="3"/>
  <c r="B443" i="3"/>
  <c r="R442" i="3"/>
  <c r="Q442" i="3"/>
  <c r="L442" i="3"/>
  <c r="K442" i="3"/>
  <c r="J442" i="3"/>
  <c r="I442" i="3"/>
  <c r="S441" i="3"/>
  <c r="B441" i="3"/>
  <c r="S440" i="3"/>
  <c r="B440" i="3"/>
  <c r="R439" i="3"/>
  <c r="Q439" i="3"/>
  <c r="L439" i="3"/>
  <c r="K439" i="3"/>
  <c r="J439" i="3"/>
  <c r="I439" i="3"/>
  <c r="S438" i="3"/>
  <c r="B438" i="3"/>
  <c r="S437" i="3"/>
  <c r="B437" i="3"/>
  <c r="S436" i="3"/>
  <c r="B436" i="3"/>
  <c r="S435" i="3"/>
  <c r="B435" i="3"/>
  <c r="S434" i="3"/>
  <c r="B434" i="3"/>
  <c r="R433" i="3"/>
  <c r="Q433" i="3"/>
  <c r="L433" i="3"/>
  <c r="K433" i="3"/>
  <c r="J433" i="3"/>
  <c r="I433" i="3"/>
  <c r="S432" i="3"/>
  <c r="B432" i="3"/>
  <c r="S431" i="3"/>
  <c r="B431" i="3"/>
  <c r="S430" i="3"/>
  <c r="B430" i="3"/>
  <c r="S429" i="3"/>
  <c r="B429" i="3"/>
  <c r="S428" i="3"/>
  <c r="B428" i="3"/>
  <c r="S427" i="3"/>
  <c r="B427" i="3"/>
  <c r="S426" i="3"/>
  <c r="B426" i="3"/>
  <c r="R425" i="3"/>
  <c r="Q425" i="3"/>
  <c r="L425" i="3"/>
  <c r="K425" i="3"/>
  <c r="J425" i="3"/>
  <c r="I425" i="3"/>
  <c r="S424" i="3"/>
  <c r="B424" i="3"/>
  <c r="S423" i="3"/>
  <c r="B423" i="3"/>
  <c r="S422" i="3"/>
  <c r="B422" i="3"/>
  <c r="R421" i="3"/>
  <c r="Q421" i="3"/>
  <c r="L421" i="3"/>
  <c r="K421" i="3"/>
  <c r="J421" i="3"/>
  <c r="I421" i="3"/>
  <c r="S420" i="3"/>
  <c r="S419" i="3" s="1"/>
  <c r="B420" i="3"/>
  <c r="R419" i="3"/>
  <c r="Q419" i="3"/>
  <c r="L419" i="3"/>
  <c r="K419" i="3"/>
  <c r="J419" i="3"/>
  <c r="I419" i="3"/>
  <c r="S418" i="3"/>
  <c r="B418" i="3"/>
  <c r="S417" i="3"/>
  <c r="B417" i="3"/>
  <c r="S416" i="3"/>
  <c r="B416" i="3"/>
  <c r="S415" i="3"/>
  <c r="B415" i="3"/>
  <c r="R414" i="3"/>
  <c r="Q414" i="3"/>
  <c r="L414" i="3"/>
  <c r="K414" i="3"/>
  <c r="J414" i="3"/>
  <c r="I414" i="3"/>
  <c r="S413" i="3"/>
  <c r="S412" i="3" s="1"/>
  <c r="B413" i="3"/>
  <c r="R412" i="3"/>
  <c r="Q412" i="3"/>
  <c r="L412" i="3"/>
  <c r="K412" i="3"/>
  <c r="J412" i="3"/>
  <c r="I412" i="3"/>
  <c r="S411" i="3"/>
  <c r="S410" i="3" s="1"/>
  <c r="B411" i="3"/>
  <c r="R410" i="3"/>
  <c r="Q410" i="3"/>
  <c r="L410" i="3"/>
  <c r="K410" i="3"/>
  <c r="J410" i="3"/>
  <c r="I410" i="3"/>
  <c r="S409" i="3"/>
  <c r="B409" i="3"/>
  <c r="S408" i="3"/>
  <c r="B408" i="3"/>
  <c r="S407" i="3"/>
  <c r="B407" i="3"/>
  <c r="S406" i="3"/>
  <c r="B406" i="3"/>
  <c r="S405" i="3"/>
  <c r="B405" i="3"/>
  <c r="R404" i="3"/>
  <c r="Q404" i="3"/>
  <c r="L404" i="3"/>
  <c r="K404" i="3"/>
  <c r="J404" i="3"/>
  <c r="I404" i="3"/>
  <c r="S403" i="3"/>
  <c r="S402" i="3" s="1"/>
  <c r="B403" i="3"/>
  <c r="R402" i="3"/>
  <c r="Q402" i="3"/>
  <c r="L402" i="3"/>
  <c r="K402" i="3"/>
  <c r="J402" i="3"/>
  <c r="I402" i="3"/>
  <c r="S401" i="3"/>
  <c r="K401" i="3"/>
  <c r="K397" i="3" s="1"/>
  <c r="B401" i="3"/>
  <c r="S400" i="3"/>
  <c r="B400" i="3"/>
  <c r="S399" i="3"/>
  <c r="B399" i="3"/>
  <c r="S398" i="3"/>
  <c r="B398" i="3"/>
  <c r="R397" i="3"/>
  <c r="Q397" i="3"/>
  <c r="L397" i="3"/>
  <c r="J397" i="3"/>
  <c r="I397" i="3"/>
  <c r="S396" i="3"/>
  <c r="S395" i="3" s="1"/>
  <c r="B396" i="3"/>
  <c r="R395" i="3"/>
  <c r="Q395" i="3"/>
  <c r="L395" i="3"/>
  <c r="K395" i="3"/>
  <c r="J395" i="3"/>
  <c r="I395" i="3"/>
  <c r="S394" i="3"/>
  <c r="B394" i="3"/>
  <c r="S393" i="3"/>
  <c r="B393" i="3"/>
  <c r="R392" i="3"/>
  <c r="Q392" i="3"/>
  <c r="L392" i="3"/>
  <c r="K392" i="3"/>
  <c r="J392" i="3"/>
  <c r="I392" i="3"/>
  <c r="S391" i="3"/>
  <c r="K391" i="3"/>
  <c r="K387" i="3" s="1"/>
  <c r="B391" i="3"/>
  <c r="S390" i="3"/>
  <c r="B390" i="3"/>
  <c r="S389" i="3"/>
  <c r="B389" i="3"/>
  <c r="S388" i="3"/>
  <c r="B388" i="3"/>
  <c r="R387" i="3"/>
  <c r="Q387" i="3"/>
  <c r="L387" i="3"/>
  <c r="J387" i="3"/>
  <c r="I387" i="3"/>
  <c r="S386" i="3"/>
  <c r="S385" i="3" s="1"/>
  <c r="B386" i="3"/>
  <c r="R385" i="3"/>
  <c r="Q385" i="3"/>
  <c r="L385" i="3"/>
  <c r="K385" i="3"/>
  <c r="J385" i="3"/>
  <c r="I385" i="3"/>
  <c r="S384" i="3"/>
  <c r="S383" i="3" s="1"/>
  <c r="B384" i="3"/>
  <c r="R383" i="3"/>
  <c r="Q383" i="3"/>
  <c r="L383" i="3"/>
  <c r="K383" i="3"/>
  <c r="J383" i="3"/>
  <c r="I383" i="3"/>
  <c r="S382" i="3"/>
  <c r="B382" i="3"/>
  <c r="S381" i="3"/>
  <c r="B381" i="3"/>
  <c r="R380" i="3"/>
  <c r="Q380" i="3"/>
  <c r="L380" i="3"/>
  <c r="K380" i="3"/>
  <c r="J380" i="3"/>
  <c r="I380" i="3"/>
  <c r="S379" i="3"/>
  <c r="B379" i="3"/>
  <c r="S378" i="3"/>
  <c r="K378" i="3"/>
  <c r="K364" i="3" s="1"/>
  <c r="B378" i="3"/>
  <c r="S377" i="3"/>
  <c r="B377" i="3"/>
  <c r="S376" i="3"/>
  <c r="B376" i="3"/>
  <c r="S375" i="3"/>
  <c r="B375" i="3"/>
  <c r="S374" i="3"/>
  <c r="B374" i="3"/>
  <c r="S373" i="3"/>
  <c r="B373" i="3"/>
  <c r="S372" i="3"/>
  <c r="B372" i="3"/>
  <c r="S371" i="3"/>
  <c r="B371" i="3"/>
  <c r="S370" i="3"/>
  <c r="B370" i="3"/>
  <c r="S369" i="3"/>
  <c r="B369" i="3"/>
  <c r="S368" i="3"/>
  <c r="B368" i="3"/>
  <c r="S367" i="3"/>
  <c r="B367" i="3"/>
  <c r="S366" i="3"/>
  <c r="B366" i="3"/>
  <c r="S365" i="3"/>
  <c r="B365" i="3"/>
  <c r="R364" i="3"/>
  <c r="Q364" i="3"/>
  <c r="L364" i="3"/>
  <c r="J364" i="3"/>
  <c r="I364" i="3"/>
  <c r="S363" i="3"/>
  <c r="S362" i="3" s="1"/>
  <c r="B363" i="3"/>
  <c r="R362" i="3"/>
  <c r="Q362" i="3"/>
  <c r="L362" i="3"/>
  <c r="K362" i="3"/>
  <c r="J362" i="3"/>
  <c r="I362" i="3"/>
  <c r="S361" i="3"/>
  <c r="B361" i="3"/>
  <c r="S360" i="3"/>
  <c r="B360" i="3"/>
  <c r="R359" i="3"/>
  <c r="Q359" i="3"/>
  <c r="L359" i="3"/>
  <c r="K359" i="3"/>
  <c r="J359" i="3"/>
  <c r="I359" i="3"/>
  <c r="S358" i="3"/>
  <c r="K358" i="3"/>
  <c r="K355" i="3" s="1"/>
  <c r="B358" i="3"/>
  <c r="S357" i="3"/>
  <c r="B357" i="3"/>
  <c r="S356" i="3"/>
  <c r="B356" i="3"/>
  <c r="R355" i="3"/>
  <c r="Q355" i="3"/>
  <c r="L355" i="3"/>
  <c r="J355" i="3"/>
  <c r="I355" i="3"/>
  <c r="S354" i="3"/>
  <c r="B354" i="3"/>
  <c r="S353" i="3"/>
  <c r="B353" i="3"/>
  <c r="R352" i="3"/>
  <c r="Q352" i="3"/>
  <c r="L352" i="3"/>
  <c r="K352" i="3"/>
  <c r="J352" i="3"/>
  <c r="I352" i="3"/>
  <c r="S351" i="3"/>
  <c r="B351" i="3"/>
  <c r="S350" i="3"/>
  <c r="B350" i="3"/>
  <c r="R349" i="3"/>
  <c r="Q349" i="3"/>
  <c r="L349" i="3"/>
  <c r="K349" i="3"/>
  <c r="J349" i="3"/>
  <c r="I349" i="3"/>
  <c r="S348" i="3"/>
  <c r="B348" i="3"/>
  <c r="S347" i="3"/>
  <c r="B347" i="3"/>
  <c r="S346" i="3"/>
  <c r="B346" i="3"/>
  <c r="S345" i="3"/>
  <c r="B345" i="3"/>
  <c r="S344" i="3"/>
  <c r="B344" i="3"/>
  <c r="S343" i="3"/>
  <c r="B343" i="3"/>
  <c r="R342" i="3"/>
  <c r="Q342" i="3"/>
  <c r="L342" i="3"/>
  <c r="K342" i="3"/>
  <c r="J342" i="3"/>
  <c r="I342" i="3"/>
  <c r="S341" i="3"/>
  <c r="B341" i="3"/>
  <c r="S340" i="3"/>
  <c r="B340" i="3"/>
  <c r="S339" i="3"/>
  <c r="B339" i="3"/>
  <c r="S338" i="3"/>
  <c r="B338" i="3"/>
  <c r="S337" i="3"/>
  <c r="B337" i="3"/>
  <c r="S336" i="3"/>
  <c r="B336" i="3"/>
  <c r="S335" i="3"/>
  <c r="B335" i="3"/>
  <c r="S334" i="3"/>
  <c r="B334" i="3"/>
  <c r="S333" i="3"/>
  <c r="B333" i="3"/>
  <c r="S332" i="3"/>
  <c r="B332" i="3"/>
  <c r="S331" i="3"/>
  <c r="B331" i="3"/>
  <c r="S330" i="3"/>
  <c r="B330" i="3"/>
  <c r="S329" i="3"/>
  <c r="B329" i="3"/>
  <c r="S328" i="3"/>
  <c r="B328" i="3"/>
  <c r="S327" i="3"/>
  <c r="B327" i="3"/>
  <c r="S326" i="3"/>
  <c r="B326" i="3"/>
  <c r="R325" i="3"/>
  <c r="Q325" i="3"/>
  <c r="L325" i="3"/>
  <c r="K325" i="3"/>
  <c r="J325" i="3"/>
  <c r="I325" i="3"/>
  <c r="S324" i="3"/>
  <c r="B324" i="3"/>
  <c r="S323" i="3"/>
  <c r="B323" i="3"/>
  <c r="S322" i="3"/>
  <c r="B322" i="3"/>
  <c r="S321" i="3"/>
  <c r="B321" i="3"/>
  <c r="S320" i="3"/>
  <c r="B320" i="3"/>
  <c r="S319" i="3"/>
  <c r="B319" i="3"/>
  <c r="S318" i="3"/>
  <c r="B318" i="3"/>
  <c r="S317" i="3"/>
  <c r="B317" i="3"/>
  <c r="S316" i="3"/>
  <c r="B316" i="3"/>
  <c r="S315" i="3"/>
  <c r="B315" i="3"/>
  <c r="S314" i="3"/>
  <c r="B314" i="3"/>
  <c r="S313" i="3"/>
  <c r="B313" i="3"/>
  <c r="S312" i="3"/>
  <c r="B312" i="3"/>
  <c r="S311" i="3"/>
  <c r="B311" i="3"/>
  <c r="S310" i="3"/>
  <c r="B310" i="3"/>
  <c r="R309" i="3"/>
  <c r="Q309" i="3"/>
  <c r="L309" i="3"/>
  <c r="K309" i="3"/>
  <c r="J309" i="3"/>
  <c r="I309" i="3"/>
  <c r="S308" i="3"/>
  <c r="S307" i="3" s="1"/>
  <c r="B308" i="3"/>
  <c r="R307" i="3"/>
  <c r="Q307" i="3"/>
  <c r="L307" i="3"/>
  <c r="K307" i="3"/>
  <c r="J307" i="3"/>
  <c r="I307" i="3"/>
  <c r="S306" i="3"/>
  <c r="B306" i="3"/>
  <c r="S305" i="3"/>
  <c r="B305" i="3"/>
  <c r="S304" i="3"/>
  <c r="B304" i="3"/>
  <c r="S303" i="3"/>
  <c r="B303" i="3"/>
  <c r="S302" i="3"/>
  <c r="B302" i="3"/>
  <c r="R301" i="3"/>
  <c r="Q301" i="3"/>
  <c r="L301" i="3"/>
  <c r="K301" i="3"/>
  <c r="J301" i="3"/>
  <c r="I301" i="3"/>
  <c r="S300" i="3"/>
  <c r="B300" i="3"/>
  <c r="S299" i="3"/>
  <c r="B299" i="3"/>
  <c r="S298" i="3"/>
  <c r="B298" i="3"/>
  <c r="S297" i="3"/>
  <c r="B297" i="3"/>
  <c r="S296" i="3"/>
  <c r="B296" i="3"/>
  <c r="R295" i="3"/>
  <c r="Q295" i="3"/>
  <c r="L295" i="3"/>
  <c r="K295" i="3"/>
  <c r="J295" i="3"/>
  <c r="I295" i="3"/>
  <c r="S294" i="3"/>
  <c r="B294" i="3"/>
  <c r="S293" i="3"/>
  <c r="B293" i="3"/>
  <c r="R292" i="3"/>
  <c r="Q292" i="3"/>
  <c r="L292" i="3"/>
  <c r="K292" i="3"/>
  <c r="J292" i="3"/>
  <c r="I292" i="3"/>
  <c r="S291" i="3"/>
  <c r="S290" i="3" s="1"/>
  <c r="B291" i="3"/>
  <c r="R290" i="3"/>
  <c r="Q290" i="3"/>
  <c r="L290" i="3"/>
  <c r="K290" i="3"/>
  <c r="J290" i="3"/>
  <c r="I290" i="3"/>
  <c r="S289" i="3"/>
  <c r="B289" i="3"/>
  <c r="S288" i="3"/>
  <c r="B288" i="3"/>
  <c r="S287" i="3"/>
  <c r="B287" i="3"/>
  <c r="S286" i="3"/>
  <c r="B286" i="3"/>
  <c r="R285" i="3"/>
  <c r="Q285" i="3"/>
  <c r="L285" i="3"/>
  <c r="K285" i="3"/>
  <c r="J285" i="3"/>
  <c r="I285" i="3"/>
  <c r="S284" i="3"/>
  <c r="K284" i="3"/>
  <c r="K278" i="3" s="1"/>
  <c r="B284" i="3"/>
  <c r="S283" i="3"/>
  <c r="B283" i="3"/>
  <c r="S282" i="3"/>
  <c r="B282" i="3"/>
  <c r="S281" i="3"/>
  <c r="B281" i="3"/>
  <c r="S280" i="3"/>
  <c r="B280" i="3"/>
  <c r="S279" i="3"/>
  <c r="B279" i="3"/>
  <c r="R278" i="3"/>
  <c r="Q278" i="3"/>
  <c r="L278" i="3"/>
  <c r="J278" i="3"/>
  <c r="I278" i="3"/>
  <c r="S277" i="3"/>
  <c r="B277" i="3"/>
  <c r="S276" i="3"/>
  <c r="B276" i="3"/>
  <c r="S275" i="3"/>
  <c r="B275" i="3"/>
  <c r="S274" i="3"/>
  <c r="B274" i="3"/>
  <c r="S273" i="3"/>
  <c r="B273" i="3"/>
  <c r="S272" i="3"/>
  <c r="B272" i="3"/>
  <c r="R271" i="3"/>
  <c r="Q271" i="3"/>
  <c r="L271" i="3"/>
  <c r="K271" i="3"/>
  <c r="J271" i="3"/>
  <c r="I271" i="3"/>
  <c r="S270" i="3"/>
  <c r="K270" i="3"/>
  <c r="K244" i="3" s="1"/>
  <c r="B270" i="3"/>
  <c r="S269" i="3"/>
  <c r="B269" i="3"/>
  <c r="S268" i="3"/>
  <c r="B268" i="3"/>
  <c r="S267" i="3"/>
  <c r="B267" i="3"/>
  <c r="S266" i="3"/>
  <c r="B266" i="3"/>
  <c r="S265" i="3"/>
  <c r="B265" i="3"/>
  <c r="S264" i="3"/>
  <c r="B264" i="3"/>
  <c r="S263" i="3"/>
  <c r="B263" i="3"/>
  <c r="S262" i="3"/>
  <c r="B262" i="3"/>
  <c r="S261" i="3"/>
  <c r="B261" i="3"/>
  <c r="S260" i="3"/>
  <c r="B260" i="3"/>
  <c r="S259" i="3"/>
  <c r="B259" i="3"/>
  <c r="S258" i="3"/>
  <c r="B258" i="3"/>
  <c r="S257" i="3"/>
  <c r="B257" i="3"/>
  <c r="S256" i="3"/>
  <c r="B256" i="3"/>
  <c r="S255" i="3"/>
  <c r="B255" i="3"/>
  <c r="S254" i="3"/>
  <c r="B254" i="3"/>
  <c r="S253" i="3"/>
  <c r="B253" i="3"/>
  <c r="S252" i="3"/>
  <c r="B252" i="3"/>
  <c r="S251" i="3"/>
  <c r="B251" i="3"/>
  <c r="S250" i="3"/>
  <c r="B250" i="3"/>
  <c r="S249" i="3"/>
  <c r="B249" i="3"/>
  <c r="S248" i="3"/>
  <c r="B248" i="3"/>
  <c r="S247" i="3"/>
  <c r="B247" i="3"/>
  <c r="S246" i="3"/>
  <c r="B246" i="3"/>
  <c r="S245" i="3"/>
  <c r="B245" i="3"/>
  <c r="R244" i="3"/>
  <c r="Q244" i="3"/>
  <c r="L244" i="3"/>
  <c r="J244" i="3"/>
  <c r="I244" i="3"/>
  <c r="S243" i="3"/>
  <c r="B243" i="3"/>
  <c r="S242" i="3"/>
  <c r="B242" i="3"/>
  <c r="S241" i="3"/>
  <c r="B241" i="3"/>
  <c r="S240" i="3"/>
  <c r="B240" i="3"/>
  <c r="S239" i="3"/>
  <c r="B239" i="3"/>
  <c r="S238" i="3"/>
  <c r="B238" i="3"/>
  <c r="R237" i="3"/>
  <c r="Q237" i="3"/>
  <c r="L237" i="3"/>
  <c r="K237" i="3"/>
  <c r="J237" i="3"/>
  <c r="I237" i="3"/>
  <c r="S232" i="3"/>
  <c r="B232" i="3"/>
  <c r="S231" i="3"/>
  <c r="B231" i="3"/>
  <c r="S230" i="3"/>
  <c r="B230" i="3"/>
  <c r="S229" i="3"/>
  <c r="B229" i="3"/>
  <c r="S228" i="3"/>
  <c r="B228" i="3"/>
  <c r="S227" i="3"/>
  <c r="B227" i="3"/>
  <c r="S226" i="3"/>
  <c r="B226" i="3"/>
  <c r="S225" i="3"/>
  <c r="B225" i="3"/>
  <c r="S224" i="3"/>
  <c r="B224" i="3"/>
  <c r="S223" i="3"/>
  <c r="B223" i="3"/>
  <c r="S222" i="3"/>
  <c r="B222" i="3"/>
  <c r="S221" i="3"/>
  <c r="B221" i="3"/>
  <c r="S220" i="3"/>
  <c r="B220" i="3"/>
  <c r="S219" i="3"/>
  <c r="B219" i="3"/>
  <c r="S218" i="3"/>
  <c r="B218" i="3"/>
  <c r="S217" i="3"/>
  <c r="B217" i="3"/>
  <c r="S216" i="3"/>
  <c r="B216" i="3"/>
  <c r="S215" i="3"/>
  <c r="B215" i="3"/>
  <c r="S214" i="3"/>
  <c r="B214" i="3"/>
  <c r="S213" i="3"/>
  <c r="B213" i="3"/>
  <c r="S212" i="3"/>
  <c r="B212" i="3"/>
  <c r="S211" i="3"/>
  <c r="B211" i="3"/>
  <c r="S210" i="3"/>
  <c r="B210" i="3"/>
  <c r="S209" i="3"/>
  <c r="B209" i="3"/>
  <c r="S208" i="3"/>
  <c r="B208" i="3"/>
  <c r="S207" i="3"/>
  <c r="B207" i="3"/>
  <c r="S206" i="3"/>
  <c r="B206" i="3"/>
  <c r="S205" i="3"/>
  <c r="B205" i="3"/>
  <c r="S204" i="3"/>
  <c r="B204" i="3"/>
  <c r="S203" i="3"/>
  <c r="B203" i="3"/>
  <c r="S202" i="3"/>
  <c r="B202" i="3"/>
  <c r="S201" i="3"/>
  <c r="B201" i="3"/>
  <c r="S200" i="3"/>
  <c r="B200" i="3"/>
  <c r="S199" i="3"/>
  <c r="B199" i="3"/>
  <c r="S198" i="3"/>
  <c r="B198" i="3"/>
  <c r="R197" i="3"/>
  <c r="Q197" i="3"/>
  <c r="L197" i="3"/>
  <c r="K197" i="3"/>
  <c r="J197" i="3"/>
  <c r="I197" i="3"/>
  <c r="S194" i="3"/>
  <c r="K194" i="3"/>
  <c r="K155" i="3" s="1"/>
  <c r="B194" i="3"/>
  <c r="S193" i="3"/>
  <c r="B193" i="3"/>
  <c r="S192" i="3"/>
  <c r="B192" i="3"/>
  <c r="S191" i="3"/>
  <c r="B191" i="3"/>
  <c r="S190" i="3"/>
  <c r="B190" i="3"/>
  <c r="S189" i="3"/>
  <c r="B189" i="3"/>
  <c r="S188" i="3"/>
  <c r="B188" i="3"/>
  <c r="S187" i="3"/>
  <c r="B187" i="3"/>
  <c r="S186" i="3"/>
  <c r="B186" i="3"/>
  <c r="S185" i="3"/>
  <c r="B185" i="3"/>
  <c r="S184" i="3"/>
  <c r="B184" i="3"/>
  <c r="S183" i="3"/>
  <c r="B183" i="3"/>
  <c r="S182" i="3"/>
  <c r="B182" i="3"/>
  <c r="S181" i="3"/>
  <c r="B181" i="3"/>
  <c r="S180" i="3"/>
  <c r="B180" i="3"/>
  <c r="S179" i="3"/>
  <c r="B179" i="3"/>
  <c r="S178" i="3"/>
  <c r="B178" i="3"/>
  <c r="S177" i="3"/>
  <c r="B177" i="3"/>
  <c r="S176" i="3"/>
  <c r="B176" i="3"/>
  <c r="S175" i="3"/>
  <c r="B175" i="3"/>
  <c r="S174" i="3"/>
  <c r="B174" i="3"/>
  <c r="S173" i="3"/>
  <c r="B173" i="3"/>
  <c r="S172" i="3"/>
  <c r="B172" i="3"/>
  <c r="S171" i="3"/>
  <c r="B171" i="3"/>
  <c r="S170" i="3"/>
  <c r="B170" i="3"/>
  <c r="S169" i="3"/>
  <c r="B169" i="3"/>
  <c r="S168" i="3"/>
  <c r="B168" i="3"/>
  <c r="S167" i="3"/>
  <c r="B167" i="3"/>
  <c r="S166" i="3"/>
  <c r="B166" i="3"/>
  <c r="S165" i="3"/>
  <c r="B165" i="3"/>
  <c r="S164" i="3"/>
  <c r="B164" i="3"/>
  <c r="S163" i="3"/>
  <c r="B163" i="3"/>
  <c r="S162" i="3"/>
  <c r="B162" i="3"/>
  <c r="S161" i="3"/>
  <c r="B161" i="3"/>
  <c r="S160" i="3"/>
  <c r="B160" i="3"/>
  <c r="S159" i="3"/>
  <c r="B159" i="3"/>
  <c r="S158" i="3"/>
  <c r="B158" i="3"/>
  <c r="S157" i="3"/>
  <c r="B157" i="3"/>
  <c r="S156" i="3"/>
  <c r="B156" i="3"/>
  <c r="R155" i="3"/>
  <c r="Q155" i="3"/>
  <c r="L155" i="3"/>
  <c r="J155" i="3"/>
  <c r="I155" i="3"/>
  <c r="S154" i="3"/>
  <c r="B154" i="3"/>
  <c r="S153" i="3"/>
  <c r="B153" i="3"/>
  <c r="S152" i="3"/>
  <c r="B152" i="3"/>
  <c r="S151" i="3"/>
  <c r="B151" i="3"/>
  <c r="S150" i="3"/>
  <c r="B150" i="3"/>
  <c r="S149" i="3"/>
  <c r="B149" i="3"/>
  <c r="S148" i="3"/>
  <c r="B148" i="3"/>
  <c r="S147" i="3"/>
  <c r="B147" i="3"/>
  <c r="S146" i="3"/>
  <c r="B146" i="3"/>
  <c r="S145" i="3"/>
  <c r="B145" i="3"/>
  <c r="S144" i="3"/>
  <c r="B144" i="3"/>
  <c r="S143" i="3"/>
  <c r="B143" i="3"/>
  <c r="S142" i="3"/>
  <c r="B142" i="3"/>
  <c r="S141" i="3"/>
  <c r="B141" i="3"/>
  <c r="S140" i="3"/>
  <c r="B140" i="3"/>
  <c r="S139" i="3"/>
  <c r="B139" i="3"/>
  <c r="S138" i="3"/>
  <c r="B138" i="3"/>
  <c r="S137" i="3"/>
  <c r="B137" i="3"/>
  <c r="S136" i="3"/>
  <c r="B136" i="3"/>
  <c r="S135" i="3"/>
  <c r="B135" i="3"/>
  <c r="S134" i="3"/>
  <c r="B134" i="3"/>
  <c r="S133" i="3"/>
  <c r="B133" i="3"/>
  <c r="S132" i="3"/>
  <c r="B132" i="3"/>
  <c r="S131" i="3"/>
  <c r="B131" i="3"/>
  <c r="S130" i="3"/>
  <c r="B130" i="3"/>
  <c r="S129" i="3"/>
  <c r="B129" i="3"/>
  <c r="S128" i="3"/>
  <c r="B128" i="3"/>
  <c r="S127" i="3"/>
  <c r="B127" i="3"/>
  <c r="S126" i="3"/>
  <c r="B126" i="3"/>
  <c r="S125" i="3"/>
  <c r="B125" i="3"/>
  <c r="S124" i="3"/>
  <c r="B124" i="3"/>
  <c r="R123" i="3"/>
  <c r="Q123" i="3"/>
  <c r="L123" i="3"/>
  <c r="K123" i="3"/>
  <c r="J123" i="3"/>
  <c r="I123" i="3"/>
  <c r="S120" i="3"/>
  <c r="B120" i="3"/>
  <c r="S119" i="3"/>
  <c r="B119" i="3"/>
  <c r="S118" i="3"/>
  <c r="B118" i="3"/>
  <c r="S117" i="3"/>
  <c r="B117" i="3"/>
  <c r="S116" i="3"/>
  <c r="B116" i="3"/>
  <c r="S115" i="3"/>
  <c r="B115" i="3"/>
  <c r="S114" i="3"/>
  <c r="B114" i="3"/>
  <c r="S113" i="3"/>
  <c r="B113" i="3"/>
  <c r="S112" i="3"/>
  <c r="B112" i="3"/>
  <c r="S111" i="3"/>
  <c r="B111" i="3"/>
  <c r="S110" i="3"/>
  <c r="B110" i="3"/>
  <c r="S109" i="3"/>
  <c r="B109" i="3"/>
  <c r="S108" i="3"/>
  <c r="B108" i="3"/>
  <c r="S107" i="3"/>
  <c r="B107" i="3"/>
  <c r="S106" i="3"/>
  <c r="B106" i="3"/>
  <c r="S105" i="3"/>
  <c r="B105" i="3"/>
  <c r="S104" i="3"/>
  <c r="B104" i="3"/>
  <c r="S103" i="3"/>
  <c r="B103" i="3"/>
  <c r="S102" i="3"/>
  <c r="B102" i="3"/>
  <c r="S101" i="3"/>
  <c r="B101" i="3"/>
  <c r="S100" i="3"/>
  <c r="B100" i="3"/>
  <c r="S99" i="3"/>
  <c r="B99" i="3"/>
  <c r="S98" i="3"/>
  <c r="B98" i="3"/>
  <c r="S97" i="3"/>
  <c r="B97" i="3"/>
  <c r="S96" i="3"/>
  <c r="B96" i="3"/>
  <c r="S95" i="3"/>
  <c r="B95" i="3"/>
  <c r="S94" i="3"/>
  <c r="B94" i="3"/>
  <c r="S93" i="3"/>
  <c r="B93" i="3"/>
  <c r="S92" i="3"/>
  <c r="B92" i="3"/>
  <c r="S91" i="3"/>
  <c r="B91" i="3"/>
  <c r="S90" i="3"/>
  <c r="B90" i="3"/>
  <c r="S89" i="3"/>
  <c r="B89" i="3"/>
  <c r="S88" i="3"/>
  <c r="B88" i="3"/>
  <c r="S87" i="3"/>
  <c r="B87" i="3"/>
  <c r="S86" i="3"/>
  <c r="B86" i="3"/>
  <c r="S85" i="3"/>
  <c r="B85" i="3"/>
  <c r="S84" i="3"/>
  <c r="B84" i="3"/>
  <c r="S83" i="3"/>
  <c r="B83" i="3"/>
  <c r="S82" i="3"/>
  <c r="B82" i="3"/>
  <c r="S81" i="3"/>
  <c r="B81" i="3"/>
  <c r="S80" i="3"/>
  <c r="B80" i="3"/>
  <c r="S79" i="3"/>
  <c r="B79" i="3"/>
  <c r="S78" i="3"/>
  <c r="B78" i="3"/>
  <c r="S77" i="3"/>
  <c r="B77" i="3"/>
  <c r="S76" i="3"/>
  <c r="B76" i="3"/>
  <c r="S75" i="3"/>
  <c r="B75" i="3"/>
  <c r="S74" i="3"/>
  <c r="B74" i="3"/>
  <c r="S73" i="3"/>
  <c r="B73" i="3"/>
  <c r="S72" i="3"/>
  <c r="B72" i="3"/>
  <c r="S71" i="3"/>
  <c r="B71" i="3"/>
  <c r="S70" i="3"/>
  <c r="B70" i="3"/>
  <c r="S69" i="3"/>
  <c r="B69" i="3"/>
  <c r="S68" i="3"/>
  <c r="B68" i="3"/>
  <c r="S67" i="3"/>
  <c r="B67" i="3"/>
  <c r="S66" i="3"/>
  <c r="B66" i="3"/>
  <c r="S65" i="3"/>
  <c r="B65" i="3"/>
  <c r="S64" i="3"/>
  <c r="B64" i="3"/>
  <c r="S63" i="3"/>
  <c r="B63" i="3"/>
  <c r="S62" i="3"/>
  <c r="B62" i="3"/>
  <c r="S61" i="3"/>
  <c r="B61" i="3"/>
  <c r="S60" i="3"/>
  <c r="B60" i="3"/>
  <c r="S59" i="3"/>
  <c r="B59" i="3"/>
  <c r="S58" i="3"/>
  <c r="B58" i="3"/>
  <c r="S57" i="3"/>
  <c r="B57" i="3"/>
  <c r="S56" i="3"/>
  <c r="B56" i="3"/>
  <c r="S55" i="3"/>
  <c r="B55" i="3"/>
  <c r="S54" i="3"/>
  <c r="B54" i="3"/>
  <c r="S53" i="3"/>
  <c r="B53" i="3"/>
  <c r="S52" i="3"/>
  <c r="B52" i="3"/>
  <c r="S51" i="3"/>
  <c r="B51" i="3"/>
  <c r="S50" i="3"/>
  <c r="B50" i="3"/>
  <c r="S49" i="3"/>
  <c r="B49" i="3"/>
  <c r="S48" i="3"/>
  <c r="B48" i="3"/>
  <c r="S47" i="3"/>
  <c r="B47" i="3"/>
  <c r="S46" i="3"/>
  <c r="B46" i="3"/>
  <c r="S45" i="3"/>
  <c r="B45" i="3"/>
  <c r="S44" i="3"/>
  <c r="B44" i="3"/>
  <c r="S43" i="3"/>
  <c r="B43" i="3"/>
  <c r="S42" i="3"/>
  <c r="B42" i="3"/>
  <c r="S41" i="3"/>
  <c r="B41" i="3"/>
  <c r="S40" i="3"/>
  <c r="B40" i="3"/>
  <c r="S39" i="3"/>
  <c r="B39" i="3"/>
  <c r="S38" i="3"/>
  <c r="B38" i="3"/>
  <c r="S37" i="3"/>
  <c r="B37" i="3"/>
  <c r="S36" i="3"/>
  <c r="B36" i="3"/>
  <c r="S35" i="3"/>
  <c r="B35" i="3"/>
  <c r="S34" i="3"/>
  <c r="B34" i="3"/>
  <c r="S33" i="3"/>
  <c r="B33" i="3"/>
  <c r="S32" i="3"/>
  <c r="B32" i="3"/>
  <c r="S31" i="3"/>
  <c r="B31" i="3"/>
  <c r="S30" i="3"/>
  <c r="B30" i="3"/>
  <c r="S29" i="3"/>
  <c r="B29" i="3"/>
  <c r="S28" i="3"/>
  <c r="B28" i="3"/>
  <c r="S27" i="3"/>
  <c r="B27" i="3"/>
  <c r="S26" i="3"/>
  <c r="B26" i="3"/>
  <c r="S25" i="3"/>
  <c r="B25" i="3"/>
  <c r="S24" i="3"/>
  <c r="B24" i="3"/>
  <c r="S23" i="3"/>
  <c r="B23" i="3"/>
  <c r="S22" i="3"/>
  <c r="B22" i="3"/>
  <c r="S21" i="3"/>
  <c r="B21" i="3"/>
  <c r="S20" i="3"/>
  <c r="B20" i="3"/>
  <c r="S19" i="3"/>
  <c r="B19" i="3"/>
  <c r="S18" i="3"/>
  <c r="B18" i="3"/>
  <c r="S17" i="3"/>
  <c r="B17" i="3"/>
  <c r="S16" i="3"/>
  <c r="B16" i="3"/>
  <c r="R15" i="3"/>
  <c r="Q15" i="3"/>
  <c r="L15" i="3"/>
  <c r="K15" i="3"/>
  <c r="J15" i="3"/>
  <c r="I15" i="3"/>
  <c r="P13" i="3"/>
  <c r="K1260" i="3" l="1"/>
  <c r="R1260" i="3"/>
  <c r="S918" i="3"/>
  <c r="Q552" i="3"/>
  <c r="R552" i="3"/>
  <c r="L552" i="3"/>
  <c r="J552" i="3"/>
  <c r="I552" i="3"/>
  <c r="S1260" i="3"/>
  <c r="Q1260" i="3"/>
  <c r="P1260" i="3"/>
  <c r="S1115" i="3"/>
  <c r="S1135" i="3"/>
  <c r="S888" i="3"/>
  <c r="S957" i="3"/>
  <c r="S380" i="3"/>
  <c r="S414" i="3"/>
  <c r="S540" i="3"/>
  <c r="S546" i="3"/>
  <c r="S826" i="3"/>
  <c r="S844" i="3"/>
  <c r="S1118" i="3"/>
  <c r="S1128" i="3"/>
  <c r="S1152" i="3"/>
  <c r="S837" i="3"/>
  <c r="S860" i="3"/>
  <c r="S1064" i="3"/>
  <c r="S1106" i="3"/>
  <c r="S1121" i="3"/>
  <c r="S895" i="3"/>
  <c r="S933" i="3"/>
  <c r="S987" i="3"/>
  <c r="S1155" i="3"/>
  <c r="S433" i="3"/>
  <c r="S495" i="3"/>
  <c r="S526" i="3"/>
  <c r="S915" i="3"/>
  <c r="S1222" i="3"/>
  <c r="S1240" i="3"/>
  <c r="S359" i="3"/>
  <c r="S392" i="3"/>
  <c r="S517" i="3"/>
  <c r="S1209" i="3"/>
  <c r="S292" i="3"/>
  <c r="S352" i="3"/>
  <c r="S967" i="3"/>
  <c r="S439" i="3"/>
  <c r="S873" i="3"/>
  <c r="S1178" i="3"/>
  <c r="S1225" i="3"/>
  <c r="S1229" i="3"/>
  <c r="S1233" i="3"/>
  <c r="S123" i="3"/>
  <c r="S237" i="3"/>
  <c r="S271" i="3"/>
  <c r="S285" i="3"/>
  <c r="S295" i="3"/>
  <c r="S301" i="3"/>
  <c r="S309" i="3"/>
  <c r="S349" i="3"/>
  <c r="S404" i="3"/>
  <c r="S464" i="3"/>
  <c r="S482" i="3"/>
  <c r="S500" i="3"/>
  <c r="S876" i="3"/>
  <c r="S906" i="3"/>
  <c r="S927" i="3"/>
  <c r="S953" i="3"/>
  <c r="S1091" i="3"/>
  <c r="S1103" i="3"/>
  <c r="S1171" i="3"/>
  <c r="S1183" i="3"/>
  <c r="S1199" i="3"/>
  <c r="S1243" i="3"/>
  <c r="I1268" i="3"/>
  <c r="P1268" i="3"/>
  <c r="S1174" i="3"/>
  <c r="S421" i="3"/>
  <c r="S425" i="3"/>
  <c r="S553" i="3"/>
  <c r="S901" i="3"/>
  <c r="S1143" i="3"/>
  <c r="S1219" i="3"/>
  <c r="S1253" i="3"/>
  <c r="J1268" i="3"/>
  <c r="Q1268" i="3"/>
  <c r="K1268" i="3"/>
  <c r="R1268" i="3"/>
  <c r="L1268" i="3"/>
  <c r="S325" i="3"/>
  <c r="S772" i="3"/>
  <c r="Q986" i="3"/>
  <c r="S342" i="3"/>
  <c r="S1164" i="3"/>
  <c r="S684" i="3"/>
  <c r="K684" i="3"/>
  <c r="S708" i="3"/>
  <c r="K708" i="3"/>
  <c r="S820" i="3"/>
  <c r="S854" i="3"/>
  <c r="K854" i="3"/>
  <c r="S923" i="3"/>
  <c r="S442" i="3"/>
  <c r="S197" i="3"/>
  <c r="S155" i="3"/>
  <c r="I986" i="3"/>
  <c r="K1049" i="3"/>
  <c r="K986" i="3" s="1"/>
  <c r="S1049" i="3"/>
  <c r="S397" i="3"/>
  <c r="S976" i="3"/>
  <c r="K976" i="3"/>
  <c r="J986" i="3"/>
  <c r="L986" i="3"/>
  <c r="R986" i="3"/>
  <c r="S1269" i="3"/>
  <c r="S1268" i="3" s="1"/>
  <c r="S15" i="3"/>
  <c r="I14" i="3"/>
  <c r="Q14" i="3"/>
  <c r="S794" i="3"/>
  <c r="S800" i="3"/>
  <c r="K800" i="3"/>
  <c r="S278" i="3"/>
  <c r="S355" i="3"/>
  <c r="S387" i="3"/>
  <c r="S470" i="3"/>
  <c r="S510" i="3"/>
  <c r="S531" i="3"/>
  <c r="K531" i="3"/>
  <c r="K14" i="3" s="1"/>
  <c r="J14" i="3"/>
  <c r="L14" i="3"/>
  <c r="R14" i="3"/>
  <c r="S244" i="3"/>
  <c r="S364" i="3"/>
  <c r="S831" i="3"/>
  <c r="S939" i="3"/>
  <c r="K552" i="3" l="1"/>
  <c r="K13" i="3" s="1"/>
  <c r="S552" i="3"/>
  <c r="I13" i="3"/>
  <c r="T13" i="3" s="1"/>
  <c r="S986" i="3"/>
  <c r="Q13" i="3"/>
  <c r="L13" i="3"/>
  <c r="R13" i="3"/>
  <c r="J13" i="3"/>
  <c r="S14" i="3"/>
  <c r="T1269" i="3"/>
  <c r="T1270" i="3"/>
  <c r="V1270" i="3" s="1"/>
  <c r="T1271" i="3"/>
  <c r="V1271" i="3" s="1"/>
  <c r="T1272" i="3"/>
  <c r="V1272" i="3" s="1"/>
  <c r="T1273" i="3"/>
  <c r="T1274" i="3"/>
  <c r="V1274" i="3" s="1"/>
  <c r="T1268" i="3"/>
  <c r="T1261" i="3"/>
  <c r="T1262" i="3"/>
  <c r="V1262" i="3" s="1"/>
  <c r="T1263" i="3"/>
  <c r="T1264" i="3"/>
  <c r="V1264" i="3" s="1"/>
  <c r="T1265" i="3"/>
  <c r="T1266" i="3"/>
  <c r="V1266" i="3" s="1"/>
  <c r="T1260" i="3"/>
  <c r="T1213" i="3"/>
  <c r="T1214" i="3"/>
  <c r="V1214" i="3" s="1"/>
  <c r="T1215" i="3"/>
  <c r="T1216" i="3"/>
  <c r="V1216" i="3" s="1"/>
  <c r="T1217" i="3"/>
  <c r="T1218" i="3"/>
  <c r="V1218" i="3" s="1"/>
  <c r="T1219" i="3"/>
  <c r="T1220" i="3"/>
  <c r="V1220" i="3" s="1"/>
  <c r="T1221" i="3"/>
  <c r="V1221" i="3" s="1"/>
  <c r="T1222" i="3"/>
  <c r="T1223" i="3"/>
  <c r="V1223" i="3" s="1"/>
  <c r="T1224" i="3"/>
  <c r="V1224" i="3" s="1"/>
  <c r="T1225" i="3"/>
  <c r="T1226" i="3"/>
  <c r="V1226" i="3" s="1"/>
  <c r="T1227" i="3"/>
  <c r="V1227" i="3" s="1"/>
  <c r="T1228" i="3"/>
  <c r="V1228" i="3" s="1"/>
  <c r="T1229" i="3"/>
  <c r="T1230" i="3"/>
  <c r="V1230" i="3" s="1"/>
  <c r="T1231" i="3"/>
  <c r="V1231" i="3" s="1"/>
  <c r="T1232" i="3"/>
  <c r="V1232" i="3" s="1"/>
  <c r="T1233" i="3"/>
  <c r="T1234" i="3"/>
  <c r="V1234" i="3" s="1"/>
  <c r="T1235" i="3"/>
  <c r="V1235" i="3" s="1"/>
  <c r="T1236" i="3"/>
  <c r="T1237" i="3"/>
  <c r="V1237" i="3" s="1"/>
  <c r="T1238" i="3"/>
  <c r="T1239" i="3"/>
  <c r="V1239" i="3" s="1"/>
  <c r="T1240" i="3"/>
  <c r="T1241" i="3"/>
  <c r="V1241" i="3" s="1"/>
  <c r="T1242" i="3"/>
  <c r="V1242" i="3" s="1"/>
  <c r="T1243" i="3"/>
  <c r="T1244" i="3"/>
  <c r="V1244" i="3" s="1"/>
  <c r="T1245" i="3"/>
  <c r="V1245" i="3" s="1"/>
  <c r="T1246" i="3"/>
  <c r="V1246" i="3" s="1"/>
  <c r="T1247" i="3"/>
  <c r="T1248" i="3"/>
  <c r="T1249" i="3"/>
  <c r="T1250" i="3"/>
  <c r="V1250" i="3" s="1"/>
  <c r="T1251" i="3"/>
  <c r="T1252" i="3"/>
  <c r="V1252" i="3" s="1"/>
  <c r="T1253" i="3"/>
  <c r="T1254" i="3"/>
  <c r="V1254" i="3" s="1"/>
  <c r="T1255" i="3"/>
  <c r="V1255" i="3" s="1"/>
  <c r="T1256" i="3"/>
  <c r="V1256" i="3" s="1"/>
  <c r="T1257" i="3"/>
  <c r="T1258" i="3"/>
  <c r="V1258" i="3" s="1"/>
  <c r="T967" i="3"/>
  <c r="T968" i="3"/>
  <c r="V968" i="3" s="1"/>
  <c r="T969" i="3"/>
  <c r="V969" i="3" s="1"/>
  <c r="T970" i="3"/>
  <c r="V970" i="3" s="1"/>
  <c r="T971" i="3"/>
  <c r="V971" i="3" s="1"/>
  <c r="T972" i="3"/>
  <c r="T973" i="3"/>
  <c r="V973" i="3" s="1"/>
  <c r="T974" i="3"/>
  <c r="T975" i="3"/>
  <c r="V975" i="3" s="1"/>
  <c r="T976" i="3"/>
  <c r="T977" i="3"/>
  <c r="V977" i="3" s="1"/>
  <c r="T978" i="3"/>
  <c r="V978" i="3" s="1"/>
  <c r="T979" i="3"/>
  <c r="V979" i="3" s="1"/>
  <c r="T980" i="3"/>
  <c r="V980" i="3" s="1"/>
  <c r="T981" i="3"/>
  <c r="V981" i="3" s="1"/>
  <c r="T982" i="3"/>
  <c r="T983" i="3"/>
  <c r="V983" i="3" s="1"/>
  <c r="T984" i="3"/>
  <c r="T985" i="3"/>
  <c r="V985" i="3" s="1"/>
  <c r="T986" i="3"/>
  <c r="T987" i="3"/>
  <c r="T988" i="3"/>
  <c r="V988" i="3" s="1"/>
  <c r="T989" i="3"/>
  <c r="V989" i="3" s="1"/>
  <c r="T990" i="3"/>
  <c r="V990" i="3" s="1"/>
  <c r="T991" i="3"/>
  <c r="V991" i="3" s="1"/>
  <c r="T992" i="3"/>
  <c r="V992" i="3" s="1"/>
  <c r="T993" i="3"/>
  <c r="V993" i="3" s="1"/>
  <c r="T994" i="3"/>
  <c r="V994" i="3" s="1"/>
  <c r="T995" i="3"/>
  <c r="V995" i="3" s="1"/>
  <c r="T996" i="3"/>
  <c r="V996" i="3" s="1"/>
  <c r="T997" i="3"/>
  <c r="V997" i="3" s="1"/>
  <c r="T998" i="3"/>
  <c r="V998" i="3" s="1"/>
  <c r="T999" i="3"/>
  <c r="V999" i="3" s="1"/>
  <c r="T1000" i="3"/>
  <c r="V1000" i="3" s="1"/>
  <c r="T1001" i="3"/>
  <c r="V1001" i="3" s="1"/>
  <c r="T1002" i="3"/>
  <c r="V1002" i="3" s="1"/>
  <c r="T1003" i="3"/>
  <c r="V1003" i="3" s="1"/>
  <c r="T1004" i="3"/>
  <c r="V1004" i="3" s="1"/>
  <c r="T1005" i="3"/>
  <c r="V1005" i="3" s="1"/>
  <c r="T1006" i="3"/>
  <c r="V1006" i="3" s="1"/>
  <c r="T1007" i="3"/>
  <c r="V1007" i="3" s="1"/>
  <c r="T1008" i="3"/>
  <c r="V1008" i="3" s="1"/>
  <c r="T1009" i="3"/>
  <c r="V1009" i="3" s="1"/>
  <c r="T1010" i="3"/>
  <c r="V1010" i="3" s="1"/>
  <c r="T1011" i="3"/>
  <c r="V1011" i="3" s="1"/>
  <c r="T1012" i="3"/>
  <c r="V1012" i="3" s="1"/>
  <c r="T1013" i="3"/>
  <c r="V1013" i="3" s="1"/>
  <c r="T1014" i="3"/>
  <c r="V1014" i="3" s="1"/>
  <c r="T1015" i="3"/>
  <c r="V1015" i="3" s="1"/>
  <c r="T1016" i="3"/>
  <c r="V1016" i="3" s="1"/>
  <c r="T1017" i="3"/>
  <c r="V1017" i="3" s="1"/>
  <c r="T1018" i="3"/>
  <c r="V1018" i="3" s="1"/>
  <c r="T1019" i="3"/>
  <c r="V1019" i="3" s="1"/>
  <c r="T1020" i="3"/>
  <c r="V1020" i="3" s="1"/>
  <c r="T1021" i="3"/>
  <c r="V1021" i="3" s="1"/>
  <c r="T1022" i="3"/>
  <c r="V1022" i="3" s="1"/>
  <c r="T1023" i="3"/>
  <c r="V1023" i="3" s="1"/>
  <c r="T1024" i="3"/>
  <c r="V1024" i="3" s="1"/>
  <c r="T1025" i="3"/>
  <c r="V1025" i="3" s="1"/>
  <c r="T1026" i="3"/>
  <c r="V1026" i="3" s="1"/>
  <c r="T1027" i="3"/>
  <c r="V1027" i="3" s="1"/>
  <c r="T1028" i="3"/>
  <c r="V1028" i="3" s="1"/>
  <c r="T1029" i="3"/>
  <c r="V1029" i="3" s="1"/>
  <c r="T1030" i="3"/>
  <c r="V1030" i="3" s="1"/>
  <c r="T1031" i="3"/>
  <c r="V1031" i="3" s="1"/>
  <c r="T1032" i="3"/>
  <c r="V1032" i="3" s="1"/>
  <c r="T1033" i="3"/>
  <c r="V1033" i="3" s="1"/>
  <c r="T1034" i="3"/>
  <c r="V1034" i="3" s="1"/>
  <c r="T1035" i="3"/>
  <c r="V1035" i="3" s="1"/>
  <c r="T1036" i="3"/>
  <c r="V1036" i="3" s="1"/>
  <c r="T1037" i="3"/>
  <c r="V1037" i="3" s="1"/>
  <c r="T1038" i="3"/>
  <c r="V1038" i="3" s="1"/>
  <c r="T1039" i="3"/>
  <c r="V1039" i="3" s="1"/>
  <c r="T1040" i="3"/>
  <c r="V1040" i="3" s="1"/>
  <c r="T1041" i="3"/>
  <c r="V1041" i="3" s="1"/>
  <c r="T1042" i="3"/>
  <c r="V1042" i="3" s="1"/>
  <c r="T1043" i="3"/>
  <c r="V1043" i="3" s="1"/>
  <c r="T1044" i="3"/>
  <c r="V1044" i="3" s="1"/>
  <c r="T1045" i="3"/>
  <c r="V1045" i="3" s="1"/>
  <c r="T1046" i="3"/>
  <c r="V1046" i="3" s="1"/>
  <c r="T1047" i="3"/>
  <c r="V1047" i="3" s="1"/>
  <c r="T1048" i="3"/>
  <c r="V1048" i="3" s="1"/>
  <c r="T1049" i="3"/>
  <c r="T1050" i="3"/>
  <c r="V1050" i="3" s="1"/>
  <c r="T1051" i="3"/>
  <c r="V1051" i="3" s="1"/>
  <c r="T1052" i="3"/>
  <c r="V1052" i="3" s="1"/>
  <c r="T1053" i="3"/>
  <c r="V1053" i="3" s="1"/>
  <c r="T1054" i="3"/>
  <c r="V1054" i="3" s="1"/>
  <c r="T1055" i="3"/>
  <c r="T1056" i="3"/>
  <c r="V1056" i="3" s="1"/>
  <c r="T1057" i="3"/>
  <c r="V1057" i="3" s="1"/>
  <c r="T1058" i="3"/>
  <c r="V1058" i="3" s="1"/>
  <c r="T1059" i="3"/>
  <c r="V1059" i="3" s="1"/>
  <c r="T1060" i="3"/>
  <c r="T1061" i="3"/>
  <c r="V1061" i="3" s="1"/>
  <c r="T1062" i="3"/>
  <c r="V1062" i="3" s="1"/>
  <c r="T1063" i="3"/>
  <c r="V1063" i="3" s="1"/>
  <c r="T1064" i="3"/>
  <c r="T1065" i="3"/>
  <c r="V1065" i="3" s="1"/>
  <c r="T1066" i="3"/>
  <c r="V1066" i="3" s="1"/>
  <c r="T1067" i="3"/>
  <c r="V1067" i="3" s="1"/>
  <c r="T1068" i="3"/>
  <c r="V1068" i="3" s="1"/>
  <c r="T1069" i="3"/>
  <c r="V1069" i="3" s="1"/>
  <c r="T1070" i="3"/>
  <c r="V1070" i="3" s="1"/>
  <c r="T1071" i="3"/>
  <c r="V1071" i="3" s="1"/>
  <c r="T1072" i="3"/>
  <c r="V1072" i="3" s="1"/>
  <c r="T1073" i="3"/>
  <c r="V1073" i="3" s="1"/>
  <c r="T1074" i="3"/>
  <c r="T1075" i="3"/>
  <c r="T1076" i="3"/>
  <c r="T1077" i="3"/>
  <c r="V1077" i="3" s="1"/>
  <c r="T1078" i="3"/>
  <c r="V1078" i="3" s="1"/>
  <c r="T1079" i="3"/>
  <c r="V1079" i="3" s="1"/>
  <c r="T1080" i="3"/>
  <c r="V1080" i="3" s="1"/>
  <c r="T1081" i="3"/>
  <c r="V1081" i="3" s="1"/>
  <c r="T1082" i="3"/>
  <c r="V1082" i="3" s="1"/>
  <c r="T1083" i="3"/>
  <c r="V1083" i="3" s="1"/>
  <c r="T1084" i="3"/>
  <c r="V1084" i="3" s="1"/>
  <c r="T1085" i="3"/>
  <c r="V1085" i="3" s="1"/>
  <c r="T1086" i="3"/>
  <c r="V1086" i="3" s="1"/>
  <c r="T1087" i="3"/>
  <c r="V1087" i="3" s="1"/>
  <c r="T1088" i="3"/>
  <c r="V1088" i="3" s="1"/>
  <c r="T1089" i="3"/>
  <c r="V1089" i="3" s="1"/>
  <c r="T1090" i="3"/>
  <c r="V1090" i="3" s="1"/>
  <c r="T1091" i="3"/>
  <c r="T1092" i="3"/>
  <c r="V1092" i="3" s="1"/>
  <c r="T1093" i="3"/>
  <c r="V1093" i="3" s="1"/>
  <c r="T1094" i="3"/>
  <c r="V1094" i="3" s="1"/>
  <c r="T1095" i="3"/>
  <c r="V1095" i="3" s="1"/>
  <c r="T1096" i="3"/>
  <c r="V1096" i="3" s="1"/>
  <c r="T1097" i="3"/>
  <c r="V1097" i="3" s="1"/>
  <c r="T1098" i="3"/>
  <c r="V1098" i="3" s="1"/>
  <c r="T1099" i="3"/>
  <c r="V1099" i="3" s="1"/>
  <c r="T1100" i="3"/>
  <c r="V1100" i="3" s="1"/>
  <c r="T1101" i="3"/>
  <c r="V1101" i="3" s="1"/>
  <c r="T1102" i="3"/>
  <c r="V1102" i="3" s="1"/>
  <c r="T1103" i="3"/>
  <c r="T1104" i="3"/>
  <c r="V1104" i="3" s="1"/>
  <c r="T1105" i="3"/>
  <c r="V1105" i="3" s="1"/>
  <c r="T1106" i="3"/>
  <c r="T1107" i="3"/>
  <c r="V1107" i="3" s="1"/>
  <c r="T1108" i="3"/>
  <c r="V1108" i="3" s="1"/>
  <c r="T1109" i="3"/>
  <c r="T1110" i="3"/>
  <c r="V1110" i="3" s="1"/>
  <c r="T1111" i="3"/>
  <c r="V1111" i="3" s="1"/>
  <c r="T1112" i="3"/>
  <c r="V1112" i="3" s="1"/>
  <c r="T1113" i="3"/>
  <c r="V1113" i="3" s="1"/>
  <c r="T1114" i="3"/>
  <c r="V1114" i="3" s="1"/>
  <c r="T1115" i="3"/>
  <c r="T1116" i="3"/>
  <c r="V1116" i="3" s="1"/>
  <c r="T1117" i="3"/>
  <c r="V1117" i="3" s="1"/>
  <c r="T1118" i="3"/>
  <c r="T1119" i="3"/>
  <c r="V1119" i="3" s="1"/>
  <c r="T1120" i="3"/>
  <c r="V1120" i="3" s="1"/>
  <c r="T1121" i="3"/>
  <c r="T1122" i="3"/>
  <c r="V1122" i="3" s="1"/>
  <c r="T1123" i="3"/>
  <c r="V1123" i="3" s="1"/>
  <c r="T1124" i="3"/>
  <c r="T1125" i="3"/>
  <c r="V1125" i="3" s="1"/>
  <c r="T1126" i="3"/>
  <c r="T1127" i="3"/>
  <c r="V1127" i="3" s="1"/>
  <c r="T1128" i="3"/>
  <c r="T1129" i="3"/>
  <c r="V1129" i="3" s="1"/>
  <c r="T1130" i="3"/>
  <c r="V1130" i="3" s="1"/>
  <c r="T1131" i="3"/>
  <c r="T1132" i="3"/>
  <c r="V1132" i="3" s="1"/>
  <c r="T1133" i="3"/>
  <c r="T1134" i="3"/>
  <c r="V1134" i="3" s="1"/>
  <c r="T1135" i="3"/>
  <c r="T1136" i="3"/>
  <c r="V1136" i="3" s="1"/>
  <c r="T1137" i="3"/>
  <c r="V1137" i="3" s="1"/>
  <c r="T1138" i="3"/>
  <c r="V1138" i="3" s="1"/>
  <c r="T1139" i="3"/>
  <c r="V1139" i="3" s="1"/>
  <c r="T1140" i="3"/>
  <c r="V1140" i="3" s="1"/>
  <c r="T1141" i="3"/>
  <c r="V1141" i="3" s="1"/>
  <c r="T1142" i="3"/>
  <c r="V1142" i="3" s="1"/>
  <c r="T1143" i="3"/>
  <c r="T1144" i="3"/>
  <c r="V1144" i="3" s="1"/>
  <c r="T1145" i="3"/>
  <c r="V1145" i="3" s="1"/>
  <c r="T1146" i="3"/>
  <c r="T1147" i="3"/>
  <c r="V1147" i="3" s="1"/>
  <c r="T1148" i="3"/>
  <c r="T1149" i="3"/>
  <c r="V1149" i="3" s="1"/>
  <c r="T1150" i="3"/>
  <c r="T1151" i="3"/>
  <c r="V1151" i="3" s="1"/>
  <c r="T1152" i="3"/>
  <c r="T1153" i="3"/>
  <c r="V1153" i="3" s="1"/>
  <c r="T1154" i="3"/>
  <c r="V1154" i="3" s="1"/>
  <c r="T1155" i="3"/>
  <c r="T1156" i="3"/>
  <c r="V1156" i="3" s="1"/>
  <c r="T1157" i="3"/>
  <c r="V1157" i="3" s="1"/>
  <c r="T1158" i="3"/>
  <c r="T1159" i="3"/>
  <c r="V1159" i="3" s="1"/>
  <c r="T1160" i="3"/>
  <c r="T1161" i="3"/>
  <c r="V1161" i="3" s="1"/>
  <c r="T1162" i="3"/>
  <c r="T1163" i="3"/>
  <c r="V1163" i="3" s="1"/>
  <c r="T1164" i="3"/>
  <c r="T1165" i="3"/>
  <c r="V1165" i="3" s="1"/>
  <c r="T1166" i="3"/>
  <c r="V1166" i="3" s="1"/>
  <c r="T1167" i="3"/>
  <c r="V1167" i="3" s="1"/>
  <c r="T1168" i="3"/>
  <c r="V1168" i="3" s="1"/>
  <c r="T1169" i="3"/>
  <c r="V1169" i="3" s="1"/>
  <c r="T1170" i="3"/>
  <c r="V1170" i="3" s="1"/>
  <c r="T1171" i="3"/>
  <c r="T1172" i="3"/>
  <c r="V1172" i="3" s="1"/>
  <c r="T1173" i="3"/>
  <c r="V1173" i="3" s="1"/>
  <c r="T1174" i="3"/>
  <c r="T1175" i="3"/>
  <c r="V1175" i="3" s="1"/>
  <c r="T1176" i="3"/>
  <c r="V1176" i="3" s="1"/>
  <c r="T1177" i="3"/>
  <c r="V1177" i="3" s="1"/>
  <c r="T1178" i="3"/>
  <c r="T1179" i="3"/>
  <c r="V1179" i="3" s="1"/>
  <c r="T1180" i="3"/>
  <c r="V1180" i="3" s="1"/>
  <c r="T1181" i="3"/>
  <c r="T1182" i="3"/>
  <c r="V1182" i="3" s="1"/>
  <c r="T1183" i="3"/>
  <c r="T1184" i="3"/>
  <c r="V1184" i="3" s="1"/>
  <c r="T1185" i="3"/>
  <c r="V1185" i="3" s="1"/>
  <c r="T1186" i="3"/>
  <c r="V1186" i="3" s="1"/>
  <c r="T1187" i="3"/>
  <c r="T1188" i="3"/>
  <c r="V1188" i="3" s="1"/>
  <c r="T1189" i="3"/>
  <c r="T1190" i="3"/>
  <c r="V1190" i="3" s="1"/>
  <c r="T1191" i="3"/>
  <c r="T1192" i="3"/>
  <c r="V1192" i="3" s="1"/>
  <c r="T1193" i="3"/>
  <c r="T1194" i="3"/>
  <c r="V1194" i="3" s="1"/>
  <c r="T1195" i="3"/>
  <c r="T1196" i="3"/>
  <c r="V1196" i="3" s="1"/>
  <c r="T1197" i="3"/>
  <c r="T1198" i="3"/>
  <c r="V1198" i="3" s="1"/>
  <c r="T1199" i="3"/>
  <c r="T1200" i="3"/>
  <c r="V1200" i="3" s="1"/>
  <c r="T1201" i="3"/>
  <c r="V1201" i="3" s="1"/>
  <c r="T1202" i="3"/>
  <c r="V1202" i="3" s="1"/>
  <c r="T1203" i="3"/>
  <c r="T1204" i="3"/>
  <c r="V1204" i="3" s="1"/>
  <c r="T1205" i="3"/>
  <c r="T1206" i="3"/>
  <c r="V1206" i="3" s="1"/>
  <c r="T1207" i="3"/>
  <c r="T1208" i="3"/>
  <c r="V1208" i="3" s="1"/>
  <c r="T1209" i="3"/>
  <c r="T1210" i="3"/>
  <c r="V1210" i="3" s="1"/>
  <c r="T1211" i="3"/>
  <c r="V1211" i="3" s="1"/>
  <c r="T1212" i="3"/>
  <c r="V1212" i="3" s="1"/>
  <c r="T574" i="3"/>
  <c r="V574" i="3" s="1"/>
  <c r="T575" i="3"/>
  <c r="V575" i="3" s="1"/>
  <c r="T576" i="3"/>
  <c r="V576" i="3" s="1"/>
  <c r="T577" i="3"/>
  <c r="V577" i="3" s="1"/>
  <c r="T578" i="3"/>
  <c r="V578" i="3" s="1"/>
  <c r="T579" i="3"/>
  <c r="V579" i="3" s="1"/>
  <c r="T580" i="3"/>
  <c r="V580" i="3" s="1"/>
  <c r="T581" i="3"/>
  <c r="V581" i="3" s="1"/>
  <c r="T582" i="3"/>
  <c r="V582" i="3" s="1"/>
  <c r="T583" i="3"/>
  <c r="V583" i="3" s="1"/>
  <c r="T584" i="3"/>
  <c r="V584" i="3" s="1"/>
  <c r="T585" i="3"/>
  <c r="V585" i="3" s="1"/>
  <c r="T586" i="3"/>
  <c r="V586" i="3" s="1"/>
  <c r="T587" i="3"/>
  <c r="V587" i="3" s="1"/>
  <c r="T588" i="3"/>
  <c r="V588" i="3" s="1"/>
  <c r="T589" i="3"/>
  <c r="V589" i="3" s="1"/>
  <c r="T590" i="3"/>
  <c r="V590" i="3" s="1"/>
  <c r="T591" i="3"/>
  <c r="V591" i="3" s="1"/>
  <c r="T592" i="3"/>
  <c r="V592" i="3" s="1"/>
  <c r="T593" i="3"/>
  <c r="V593" i="3" s="1"/>
  <c r="T594" i="3"/>
  <c r="V594" i="3" s="1"/>
  <c r="T595" i="3"/>
  <c r="V595" i="3" s="1"/>
  <c r="T596" i="3"/>
  <c r="V596" i="3" s="1"/>
  <c r="T597" i="3"/>
  <c r="V597" i="3" s="1"/>
  <c r="T598" i="3"/>
  <c r="V598" i="3" s="1"/>
  <c r="T599" i="3"/>
  <c r="V599" i="3" s="1"/>
  <c r="T600" i="3"/>
  <c r="V600" i="3" s="1"/>
  <c r="T601" i="3"/>
  <c r="V601" i="3" s="1"/>
  <c r="T602" i="3"/>
  <c r="V602" i="3" s="1"/>
  <c r="T603" i="3"/>
  <c r="V603" i="3" s="1"/>
  <c r="T604" i="3"/>
  <c r="T605" i="3"/>
  <c r="V605" i="3" s="1"/>
  <c r="T606" i="3"/>
  <c r="V606" i="3" s="1"/>
  <c r="T607" i="3"/>
  <c r="V607" i="3" s="1"/>
  <c r="T608" i="3"/>
  <c r="V608" i="3" s="1"/>
  <c r="T609" i="3"/>
  <c r="V609" i="3" s="1"/>
  <c r="T610" i="3"/>
  <c r="V610" i="3" s="1"/>
  <c r="T611" i="3"/>
  <c r="V611" i="3" s="1"/>
  <c r="T612" i="3"/>
  <c r="V612" i="3" s="1"/>
  <c r="T613" i="3"/>
  <c r="V613" i="3" s="1"/>
  <c r="T614" i="3"/>
  <c r="V614" i="3" s="1"/>
  <c r="T615" i="3"/>
  <c r="V615" i="3" s="1"/>
  <c r="T616" i="3"/>
  <c r="V616" i="3" s="1"/>
  <c r="T617" i="3"/>
  <c r="V617" i="3" s="1"/>
  <c r="T618" i="3"/>
  <c r="V618" i="3" s="1"/>
  <c r="T619" i="3"/>
  <c r="V619" i="3" s="1"/>
  <c r="T620" i="3"/>
  <c r="V620" i="3" s="1"/>
  <c r="T621" i="3"/>
  <c r="V621" i="3" s="1"/>
  <c r="T622" i="3"/>
  <c r="V622" i="3" s="1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V685" i="3" s="1"/>
  <c r="T686" i="3"/>
  <c r="V686" i="3" s="1"/>
  <c r="T687" i="3"/>
  <c r="V687" i="3" s="1"/>
  <c r="T688" i="3"/>
  <c r="V688" i="3" s="1"/>
  <c r="T689" i="3"/>
  <c r="V689" i="3" s="1"/>
  <c r="T690" i="3"/>
  <c r="V690" i="3" s="1"/>
  <c r="T691" i="3"/>
  <c r="V691" i="3" s="1"/>
  <c r="T692" i="3"/>
  <c r="V692" i="3" s="1"/>
  <c r="T693" i="3"/>
  <c r="V693" i="3" s="1"/>
  <c r="T694" i="3"/>
  <c r="V694" i="3" s="1"/>
  <c r="T695" i="3"/>
  <c r="V695" i="3" s="1"/>
  <c r="T696" i="3"/>
  <c r="V696" i="3" s="1"/>
  <c r="T697" i="3"/>
  <c r="V697" i="3" s="1"/>
  <c r="T698" i="3"/>
  <c r="V698" i="3" s="1"/>
  <c r="T699" i="3"/>
  <c r="V699" i="3" s="1"/>
  <c r="T700" i="3"/>
  <c r="V700" i="3" s="1"/>
  <c r="T701" i="3"/>
  <c r="V701" i="3" s="1"/>
  <c r="T702" i="3"/>
  <c r="V702" i="3" s="1"/>
  <c r="T703" i="3"/>
  <c r="V703" i="3" s="1"/>
  <c r="T704" i="3"/>
  <c r="V704" i="3" s="1"/>
  <c r="T705" i="3"/>
  <c r="V705" i="3" s="1"/>
  <c r="T706" i="3"/>
  <c r="V706" i="3" s="1"/>
  <c r="T707" i="3"/>
  <c r="T708" i="3"/>
  <c r="T709" i="3"/>
  <c r="V709" i="3" s="1"/>
  <c r="T710" i="3"/>
  <c r="V710" i="3" s="1"/>
  <c r="T711" i="3"/>
  <c r="V711" i="3" s="1"/>
  <c r="T712" i="3"/>
  <c r="V712" i="3" s="1"/>
  <c r="T713" i="3"/>
  <c r="V713" i="3" s="1"/>
  <c r="T714" i="3"/>
  <c r="T715" i="3"/>
  <c r="T716" i="3"/>
  <c r="T717" i="3"/>
  <c r="V717" i="3" s="1"/>
  <c r="T718" i="3"/>
  <c r="V718" i="3" s="1"/>
  <c r="T719" i="3"/>
  <c r="V719" i="3" s="1"/>
  <c r="T720" i="3"/>
  <c r="V720" i="3" s="1"/>
  <c r="T721" i="3"/>
  <c r="V721" i="3" s="1"/>
  <c r="T722" i="3"/>
  <c r="V722" i="3" s="1"/>
  <c r="T723" i="3"/>
  <c r="V723" i="3" s="1"/>
  <c r="T724" i="3"/>
  <c r="V724" i="3" s="1"/>
  <c r="T725" i="3"/>
  <c r="V725" i="3" s="1"/>
  <c r="T726" i="3"/>
  <c r="V726" i="3" s="1"/>
  <c r="T727" i="3"/>
  <c r="V727" i="3" s="1"/>
  <c r="T728" i="3"/>
  <c r="V728" i="3" s="1"/>
  <c r="T729" i="3"/>
  <c r="V729" i="3" s="1"/>
  <c r="T730" i="3"/>
  <c r="V730" i="3" s="1"/>
  <c r="T731" i="3"/>
  <c r="V731" i="3" s="1"/>
  <c r="T732" i="3"/>
  <c r="V732" i="3" s="1"/>
  <c r="T733" i="3"/>
  <c r="V733" i="3" s="1"/>
  <c r="T734" i="3"/>
  <c r="V734" i="3" s="1"/>
  <c r="T735" i="3"/>
  <c r="V735" i="3" s="1"/>
  <c r="T736" i="3"/>
  <c r="V736" i="3" s="1"/>
  <c r="T737" i="3"/>
  <c r="V737" i="3" s="1"/>
  <c r="T738" i="3"/>
  <c r="V738" i="3" s="1"/>
  <c r="T739" i="3"/>
  <c r="V739" i="3" s="1"/>
  <c r="T740" i="3"/>
  <c r="V740" i="3" s="1"/>
  <c r="T741" i="3"/>
  <c r="V741" i="3" s="1"/>
  <c r="T742" i="3"/>
  <c r="V742" i="3" s="1"/>
  <c r="T743" i="3"/>
  <c r="V743" i="3" s="1"/>
  <c r="T744" i="3"/>
  <c r="V744" i="3" s="1"/>
  <c r="T745" i="3"/>
  <c r="V745" i="3" s="1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V773" i="3" s="1"/>
  <c r="T774" i="3"/>
  <c r="V774" i="3" s="1"/>
  <c r="T775" i="3"/>
  <c r="V775" i="3" s="1"/>
  <c r="T776" i="3"/>
  <c r="V776" i="3" s="1"/>
  <c r="T777" i="3"/>
  <c r="V777" i="3" s="1"/>
  <c r="T778" i="3"/>
  <c r="V778" i="3" s="1"/>
  <c r="T779" i="3"/>
  <c r="V779" i="3" s="1"/>
  <c r="T780" i="3"/>
  <c r="V780" i="3" s="1"/>
  <c r="T781" i="3"/>
  <c r="V781" i="3" s="1"/>
  <c r="T782" i="3"/>
  <c r="V782" i="3" s="1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V795" i="3" s="1"/>
  <c r="T796" i="3"/>
  <c r="V796" i="3" s="1"/>
  <c r="T797" i="3"/>
  <c r="V797" i="3" s="1"/>
  <c r="T798" i="3"/>
  <c r="V798" i="3" s="1"/>
  <c r="T799" i="3"/>
  <c r="V799" i="3" s="1"/>
  <c r="T800" i="3"/>
  <c r="T801" i="3"/>
  <c r="V801" i="3" s="1"/>
  <c r="T802" i="3"/>
  <c r="V802" i="3" s="1"/>
  <c r="T803" i="3"/>
  <c r="V803" i="3" s="1"/>
  <c r="T804" i="3"/>
  <c r="V804" i="3" s="1"/>
  <c r="T805" i="3"/>
  <c r="V805" i="3" s="1"/>
  <c r="T806" i="3"/>
  <c r="V806" i="3" s="1"/>
  <c r="T807" i="3"/>
  <c r="V807" i="3" s="1"/>
  <c r="T808" i="3"/>
  <c r="V808" i="3" s="1"/>
  <c r="T809" i="3"/>
  <c r="V809" i="3" s="1"/>
  <c r="T810" i="3"/>
  <c r="V810" i="3" s="1"/>
  <c r="T811" i="3"/>
  <c r="V811" i="3" s="1"/>
  <c r="T812" i="3"/>
  <c r="V812" i="3" s="1"/>
  <c r="T813" i="3"/>
  <c r="V813" i="3" s="1"/>
  <c r="T814" i="3"/>
  <c r="V814" i="3" s="1"/>
  <c r="T815" i="3"/>
  <c r="V815" i="3" s="1"/>
  <c r="T816" i="3"/>
  <c r="V816" i="3" s="1"/>
  <c r="T817" i="3"/>
  <c r="V817" i="3" s="1"/>
  <c r="T818" i="3"/>
  <c r="V818" i="3" s="1"/>
  <c r="T819" i="3"/>
  <c r="V819" i="3" s="1"/>
  <c r="T820" i="3"/>
  <c r="T821" i="3"/>
  <c r="V821" i="3" s="1"/>
  <c r="T822" i="3"/>
  <c r="V822" i="3" s="1"/>
  <c r="T823" i="3"/>
  <c r="V823" i="3" s="1"/>
  <c r="T824" i="3"/>
  <c r="V824" i="3" s="1"/>
  <c r="T825" i="3"/>
  <c r="V825" i="3" s="1"/>
  <c r="T826" i="3"/>
  <c r="T827" i="3"/>
  <c r="V827" i="3" s="1"/>
  <c r="T828" i="3"/>
  <c r="V828" i="3" s="1"/>
  <c r="T829" i="3"/>
  <c r="V829" i="3" s="1"/>
  <c r="T830" i="3"/>
  <c r="V830" i="3" s="1"/>
  <c r="T831" i="3"/>
  <c r="T832" i="3"/>
  <c r="V832" i="3" s="1"/>
  <c r="T833" i="3"/>
  <c r="V833" i="3" s="1"/>
  <c r="T834" i="3"/>
  <c r="V834" i="3" s="1"/>
  <c r="T835" i="3"/>
  <c r="T836" i="3"/>
  <c r="V836" i="3" s="1"/>
  <c r="T837" i="3"/>
  <c r="T838" i="3"/>
  <c r="V838" i="3" s="1"/>
  <c r="T839" i="3"/>
  <c r="T840" i="3"/>
  <c r="T841" i="3"/>
  <c r="V841" i="3" s="1"/>
  <c r="T842" i="3"/>
  <c r="T843" i="3"/>
  <c r="V843" i="3" s="1"/>
  <c r="T844" i="3"/>
  <c r="T845" i="3"/>
  <c r="V845" i="3" s="1"/>
  <c r="T846" i="3"/>
  <c r="V846" i="3" s="1"/>
  <c r="T847" i="3"/>
  <c r="V847" i="3" s="1"/>
  <c r="T848" i="3"/>
  <c r="V848" i="3" s="1"/>
  <c r="T849" i="3"/>
  <c r="V849" i="3" s="1"/>
  <c r="T850" i="3"/>
  <c r="V850" i="3" s="1"/>
  <c r="T851" i="3"/>
  <c r="V851" i="3" s="1"/>
  <c r="T852" i="3"/>
  <c r="V852" i="3" s="1"/>
  <c r="T853" i="3"/>
  <c r="V853" i="3" s="1"/>
  <c r="T854" i="3"/>
  <c r="T855" i="3"/>
  <c r="V855" i="3" s="1"/>
  <c r="T856" i="3"/>
  <c r="V856" i="3" s="1"/>
  <c r="T857" i="3"/>
  <c r="V857" i="3" s="1"/>
  <c r="T858" i="3"/>
  <c r="V858" i="3" s="1"/>
  <c r="T859" i="3"/>
  <c r="V859" i="3" s="1"/>
  <c r="T860" i="3"/>
  <c r="T861" i="3"/>
  <c r="V861" i="3" s="1"/>
  <c r="T862" i="3"/>
  <c r="V862" i="3" s="1"/>
  <c r="T863" i="3"/>
  <c r="T864" i="3"/>
  <c r="V864" i="3" s="1"/>
  <c r="T865" i="3"/>
  <c r="T866" i="3"/>
  <c r="V866" i="3" s="1"/>
  <c r="T867" i="3"/>
  <c r="T868" i="3"/>
  <c r="V868" i="3" s="1"/>
  <c r="T869" i="3"/>
  <c r="T870" i="3"/>
  <c r="V870" i="3" s="1"/>
  <c r="T871" i="3"/>
  <c r="T872" i="3"/>
  <c r="V872" i="3" s="1"/>
  <c r="T873" i="3"/>
  <c r="T874" i="3"/>
  <c r="V874" i="3" s="1"/>
  <c r="T875" i="3"/>
  <c r="V875" i="3" s="1"/>
  <c r="T876" i="3"/>
  <c r="T877" i="3"/>
  <c r="V877" i="3" s="1"/>
  <c r="T878" i="3"/>
  <c r="T879" i="3"/>
  <c r="V879" i="3" s="1"/>
  <c r="T880" i="3"/>
  <c r="V880" i="3" s="1"/>
  <c r="T881" i="3"/>
  <c r="V881" i="3" s="1"/>
  <c r="T882" i="3"/>
  <c r="V882" i="3" s="1"/>
  <c r="T883" i="3"/>
  <c r="V883" i="3" s="1"/>
  <c r="T884" i="3"/>
  <c r="V884" i="3" s="1"/>
  <c r="T885" i="3"/>
  <c r="V885" i="3" s="1"/>
  <c r="T886" i="3"/>
  <c r="T887" i="3"/>
  <c r="V887" i="3" s="1"/>
  <c r="T888" i="3"/>
  <c r="T889" i="3"/>
  <c r="V889" i="3" s="1"/>
  <c r="T890" i="3"/>
  <c r="V890" i="3" s="1"/>
  <c r="T891" i="3"/>
  <c r="T892" i="3"/>
  <c r="V892" i="3" s="1"/>
  <c r="T893" i="3"/>
  <c r="T894" i="3"/>
  <c r="V894" i="3" s="1"/>
  <c r="T895" i="3"/>
  <c r="T896" i="3"/>
  <c r="T897" i="3"/>
  <c r="V897" i="3" s="1"/>
  <c r="T898" i="3"/>
  <c r="V898" i="3" s="1"/>
  <c r="T899" i="3"/>
  <c r="V899" i="3" s="1"/>
  <c r="T900" i="3"/>
  <c r="V900" i="3" s="1"/>
  <c r="T901" i="3"/>
  <c r="T902" i="3"/>
  <c r="V902" i="3" s="1"/>
  <c r="T903" i="3"/>
  <c r="V903" i="3" s="1"/>
  <c r="T904" i="3"/>
  <c r="T905" i="3"/>
  <c r="V905" i="3" s="1"/>
  <c r="T906" i="3"/>
  <c r="T907" i="3"/>
  <c r="V907" i="3" s="1"/>
  <c r="T908" i="3"/>
  <c r="V908" i="3" s="1"/>
  <c r="T909" i="3"/>
  <c r="T910" i="3"/>
  <c r="V910" i="3" s="1"/>
  <c r="T911" i="3"/>
  <c r="T912" i="3"/>
  <c r="V912" i="3" s="1"/>
  <c r="T913" i="3"/>
  <c r="T914" i="3"/>
  <c r="V914" i="3" s="1"/>
  <c r="T915" i="3"/>
  <c r="T916" i="3"/>
  <c r="V916" i="3" s="1"/>
  <c r="T917" i="3"/>
  <c r="V917" i="3" s="1"/>
  <c r="T918" i="3"/>
  <c r="T919" i="3"/>
  <c r="V919" i="3" s="1"/>
  <c r="T921" i="3"/>
  <c r="T922" i="3"/>
  <c r="T923" i="3"/>
  <c r="T924" i="3"/>
  <c r="V924" i="3" s="1"/>
  <c r="T925" i="3"/>
  <c r="V925" i="3" s="1"/>
  <c r="T926" i="3"/>
  <c r="V926" i="3" s="1"/>
  <c r="T927" i="3"/>
  <c r="T928" i="3"/>
  <c r="V928" i="3" s="1"/>
  <c r="T929" i="3"/>
  <c r="V929" i="3" s="1"/>
  <c r="T930" i="3"/>
  <c r="T931" i="3"/>
  <c r="T932" i="3"/>
  <c r="V932" i="3" s="1"/>
  <c r="T933" i="3"/>
  <c r="T934" i="3"/>
  <c r="V934" i="3" s="1"/>
  <c r="T935" i="3"/>
  <c r="V935" i="3" s="1"/>
  <c r="T936" i="3"/>
  <c r="V936" i="3" s="1"/>
  <c r="T937" i="3"/>
  <c r="V937" i="3" s="1"/>
  <c r="T938" i="3"/>
  <c r="V938" i="3" s="1"/>
  <c r="T920" i="3"/>
  <c r="V920" i="3" s="1"/>
  <c r="T939" i="3"/>
  <c r="T940" i="3"/>
  <c r="V940" i="3" s="1"/>
  <c r="T941" i="3"/>
  <c r="V941" i="3" s="1"/>
  <c r="T942" i="3"/>
  <c r="V942" i="3" s="1"/>
  <c r="T943" i="3"/>
  <c r="T944" i="3"/>
  <c r="V944" i="3" s="1"/>
  <c r="T945" i="3"/>
  <c r="T946" i="3"/>
  <c r="V946" i="3" s="1"/>
  <c r="T947" i="3"/>
  <c r="T948" i="3"/>
  <c r="V948" i="3" s="1"/>
  <c r="T949" i="3"/>
  <c r="T950" i="3"/>
  <c r="V950" i="3" s="1"/>
  <c r="T951" i="3"/>
  <c r="T952" i="3"/>
  <c r="V952" i="3" s="1"/>
  <c r="T953" i="3"/>
  <c r="T954" i="3"/>
  <c r="V954" i="3" s="1"/>
  <c r="T955" i="3"/>
  <c r="V955" i="3" s="1"/>
  <c r="T956" i="3"/>
  <c r="V956" i="3" s="1"/>
  <c r="T957" i="3"/>
  <c r="T958" i="3"/>
  <c r="V958" i="3" s="1"/>
  <c r="T959" i="3"/>
  <c r="V959" i="3" s="1"/>
  <c r="T960" i="3"/>
  <c r="V960" i="3" s="1"/>
  <c r="T961" i="3"/>
  <c r="T962" i="3"/>
  <c r="V962" i="3" s="1"/>
  <c r="T963" i="3"/>
  <c r="T964" i="3"/>
  <c r="V964" i="3" s="1"/>
  <c r="T965" i="3"/>
  <c r="T966" i="3"/>
  <c r="V966" i="3" s="1"/>
  <c r="T541" i="3"/>
  <c r="T542" i="3"/>
  <c r="V542" i="3" s="1"/>
  <c r="T543" i="3"/>
  <c r="T544" i="3"/>
  <c r="V544" i="3" s="1"/>
  <c r="T545" i="3"/>
  <c r="T546" i="3"/>
  <c r="T547" i="3"/>
  <c r="T548" i="3"/>
  <c r="V548" i="3" s="1"/>
  <c r="T549" i="3"/>
  <c r="V549" i="3" s="1"/>
  <c r="T550" i="3"/>
  <c r="T551" i="3"/>
  <c r="V551" i="3" s="1"/>
  <c r="T552" i="3"/>
  <c r="T553" i="3"/>
  <c r="T554" i="3"/>
  <c r="V554" i="3" s="1"/>
  <c r="T555" i="3"/>
  <c r="V555" i="3" s="1"/>
  <c r="T556" i="3"/>
  <c r="V556" i="3" s="1"/>
  <c r="T557" i="3"/>
  <c r="V557" i="3" s="1"/>
  <c r="T558" i="3"/>
  <c r="V558" i="3" s="1"/>
  <c r="T559" i="3"/>
  <c r="V559" i="3" s="1"/>
  <c r="T560" i="3"/>
  <c r="V560" i="3" s="1"/>
  <c r="T561" i="3"/>
  <c r="V561" i="3" s="1"/>
  <c r="T562" i="3"/>
  <c r="V562" i="3" s="1"/>
  <c r="T563" i="3"/>
  <c r="V563" i="3" s="1"/>
  <c r="T564" i="3"/>
  <c r="V564" i="3" s="1"/>
  <c r="T565" i="3"/>
  <c r="V565" i="3" s="1"/>
  <c r="T566" i="3"/>
  <c r="V566" i="3" s="1"/>
  <c r="T567" i="3"/>
  <c r="V567" i="3" s="1"/>
  <c r="T568" i="3"/>
  <c r="V568" i="3" s="1"/>
  <c r="T569" i="3"/>
  <c r="V569" i="3" s="1"/>
  <c r="T570" i="3"/>
  <c r="V570" i="3" s="1"/>
  <c r="T571" i="3"/>
  <c r="V571" i="3" s="1"/>
  <c r="T572" i="3"/>
  <c r="V572" i="3" s="1"/>
  <c r="T573" i="3"/>
  <c r="V573" i="3" s="1"/>
  <c r="T488" i="3"/>
  <c r="V488" i="3" s="1"/>
  <c r="T489" i="3"/>
  <c r="V489" i="3" s="1"/>
  <c r="T490" i="3"/>
  <c r="V490" i="3" s="1"/>
  <c r="T491" i="3"/>
  <c r="T492" i="3"/>
  <c r="V492" i="3" s="1"/>
  <c r="T493" i="3"/>
  <c r="T494" i="3"/>
  <c r="V494" i="3" s="1"/>
  <c r="T495" i="3"/>
  <c r="T496" i="3"/>
  <c r="V496" i="3" s="1"/>
  <c r="T497" i="3"/>
  <c r="V497" i="3" s="1"/>
  <c r="T498" i="3"/>
  <c r="V498" i="3" s="1"/>
  <c r="T499" i="3"/>
  <c r="V499" i="3" s="1"/>
  <c r="T500" i="3"/>
  <c r="T501" i="3"/>
  <c r="V501" i="3" s="1"/>
  <c r="T502" i="3"/>
  <c r="V502" i="3" s="1"/>
  <c r="T503" i="3"/>
  <c r="V503" i="3" s="1"/>
  <c r="T504" i="3"/>
  <c r="V504" i="3" s="1"/>
  <c r="T505" i="3"/>
  <c r="V505" i="3" s="1"/>
  <c r="T506" i="3"/>
  <c r="T507" i="3"/>
  <c r="V507" i="3" s="1"/>
  <c r="T508" i="3"/>
  <c r="T509" i="3"/>
  <c r="V509" i="3" s="1"/>
  <c r="T510" i="3"/>
  <c r="T511" i="3"/>
  <c r="V511" i="3" s="1"/>
  <c r="T512" i="3"/>
  <c r="T513" i="3"/>
  <c r="T514" i="3"/>
  <c r="V514" i="3" s="1"/>
  <c r="T515" i="3"/>
  <c r="T516" i="3"/>
  <c r="V516" i="3" s="1"/>
  <c r="T517" i="3"/>
  <c r="T518" i="3"/>
  <c r="V518" i="3" s="1"/>
  <c r="T519" i="3"/>
  <c r="T520" i="3"/>
  <c r="V520" i="3" s="1"/>
  <c r="T521" i="3"/>
  <c r="V521" i="3" s="1"/>
  <c r="T522" i="3"/>
  <c r="V522" i="3" s="1"/>
  <c r="T523" i="3"/>
  <c r="V523" i="3" s="1"/>
  <c r="T524" i="3"/>
  <c r="T525" i="3"/>
  <c r="V525" i="3" s="1"/>
  <c r="T526" i="3"/>
  <c r="T527" i="3"/>
  <c r="V527" i="3" s="1"/>
  <c r="T528" i="3"/>
  <c r="V528" i="3" s="1"/>
  <c r="T529" i="3"/>
  <c r="T530" i="3"/>
  <c r="V530" i="3" s="1"/>
  <c r="T531" i="3"/>
  <c r="T532" i="3"/>
  <c r="V532" i="3" s="1"/>
  <c r="T533" i="3"/>
  <c r="V533" i="3" s="1"/>
  <c r="T534" i="3"/>
  <c r="V534" i="3" s="1"/>
  <c r="T535" i="3"/>
  <c r="T536" i="3"/>
  <c r="V536" i="3" s="1"/>
  <c r="T537" i="3"/>
  <c r="T538" i="3"/>
  <c r="T539" i="3"/>
  <c r="T540" i="3"/>
  <c r="T444" i="3"/>
  <c r="V444" i="3" s="1"/>
  <c r="T445" i="3"/>
  <c r="V445" i="3" s="1"/>
  <c r="T446" i="3"/>
  <c r="V446" i="3" s="1"/>
  <c r="T447" i="3"/>
  <c r="V447" i="3" s="1"/>
  <c r="T448" i="3"/>
  <c r="V448" i="3" s="1"/>
  <c r="T449" i="3"/>
  <c r="V449" i="3" s="1"/>
  <c r="T450" i="3"/>
  <c r="V450" i="3" s="1"/>
  <c r="T451" i="3"/>
  <c r="V451" i="3" s="1"/>
  <c r="T452" i="3"/>
  <c r="T453" i="3"/>
  <c r="V453" i="3" s="1"/>
  <c r="T454" i="3"/>
  <c r="T455" i="3"/>
  <c r="V455" i="3" s="1"/>
  <c r="T456" i="3"/>
  <c r="T457" i="3"/>
  <c r="V457" i="3" s="1"/>
  <c r="T458" i="3"/>
  <c r="T459" i="3"/>
  <c r="T460" i="3"/>
  <c r="T461" i="3"/>
  <c r="V461" i="3" s="1"/>
  <c r="T462" i="3"/>
  <c r="T463" i="3"/>
  <c r="V463" i="3" s="1"/>
  <c r="T464" i="3"/>
  <c r="T465" i="3"/>
  <c r="T466" i="3"/>
  <c r="V466" i="3" s="1"/>
  <c r="T467" i="3"/>
  <c r="V467" i="3" s="1"/>
  <c r="T468" i="3"/>
  <c r="T469" i="3"/>
  <c r="V469" i="3" s="1"/>
  <c r="T470" i="3"/>
  <c r="T471" i="3"/>
  <c r="V471" i="3" s="1"/>
  <c r="T472" i="3"/>
  <c r="V472" i="3" s="1"/>
  <c r="T473" i="3"/>
  <c r="V473" i="3" s="1"/>
  <c r="T474" i="3"/>
  <c r="V474" i="3" s="1"/>
  <c r="T475" i="3"/>
  <c r="V475" i="3" s="1"/>
  <c r="T476" i="3"/>
  <c r="V476" i="3" s="1"/>
  <c r="T477" i="3"/>
  <c r="T478" i="3"/>
  <c r="V478" i="3" s="1"/>
  <c r="T479" i="3"/>
  <c r="V479" i="3" s="1"/>
  <c r="T480" i="3"/>
  <c r="V480" i="3" s="1"/>
  <c r="T481" i="3"/>
  <c r="V481" i="3" s="1"/>
  <c r="T482" i="3"/>
  <c r="T483" i="3"/>
  <c r="V483" i="3" s="1"/>
  <c r="T484" i="3"/>
  <c r="V484" i="3" s="1"/>
  <c r="T485" i="3"/>
  <c r="V485" i="3" s="1"/>
  <c r="T486" i="3"/>
  <c r="V486" i="3" s="1"/>
  <c r="T487" i="3"/>
  <c r="V487" i="3" s="1"/>
  <c r="T14" i="3"/>
  <c r="T15" i="3"/>
  <c r="T16" i="3"/>
  <c r="V16" i="3" s="1"/>
  <c r="T17" i="3"/>
  <c r="V17" i="3" s="1"/>
  <c r="T18" i="3"/>
  <c r="V18" i="3" s="1"/>
  <c r="T19" i="3"/>
  <c r="V19" i="3" s="1"/>
  <c r="T20" i="3"/>
  <c r="V20" i="3" s="1"/>
  <c r="T21" i="3"/>
  <c r="V21" i="3" s="1"/>
  <c r="T22" i="3"/>
  <c r="V22" i="3" s="1"/>
  <c r="T23" i="3"/>
  <c r="V23" i="3" s="1"/>
  <c r="T24" i="3"/>
  <c r="V24" i="3" s="1"/>
  <c r="T25" i="3"/>
  <c r="V25" i="3" s="1"/>
  <c r="T26" i="3"/>
  <c r="V26" i="3" s="1"/>
  <c r="T27" i="3"/>
  <c r="V27" i="3" s="1"/>
  <c r="T28" i="3"/>
  <c r="V28" i="3" s="1"/>
  <c r="T29" i="3"/>
  <c r="V29" i="3" s="1"/>
  <c r="T30" i="3"/>
  <c r="V30" i="3" s="1"/>
  <c r="T31" i="3"/>
  <c r="V31" i="3" s="1"/>
  <c r="T32" i="3"/>
  <c r="V32" i="3" s="1"/>
  <c r="T33" i="3"/>
  <c r="V33" i="3" s="1"/>
  <c r="T34" i="3"/>
  <c r="V34" i="3" s="1"/>
  <c r="T35" i="3"/>
  <c r="V35" i="3" s="1"/>
  <c r="T36" i="3"/>
  <c r="T37" i="3"/>
  <c r="V37" i="3" s="1"/>
  <c r="T38" i="3"/>
  <c r="V38" i="3" s="1"/>
  <c r="T39" i="3"/>
  <c r="V39" i="3" s="1"/>
  <c r="T40" i="3"/>
  <c r="V40" i="3" s="1"/>
  <c r="T41" i="3"/>
  <c r="V41" i="3" s="1"/>
  <c r="T42" i="3"/>
  <c r="V42" i="3" s="1"/>
  <c r="T43" i="3"/>
  <c r="V43" i="3" s="1"/>
  <c r="T44" i="3"/>
  <c r="V44" i="3" s="1"/>
  <c r="T45" i="3"/>
  <c r="V45" i="3" s="1"/>
  <c r="T46" i="3"/>
  <c r="V46" i="3" s="1"/>
  <c r="T47" i="3"/>
  <c r="V47" i="3" s="1"/>
  <c r="T48" i="3"/>
  <c r="V48" i="3" s="1"/>
  <c r="T49" i="3"/>
  <c r="V49" i="3" s="1"/>
  <c r="T50" i="3"/>
  <c r="V50" i="3" s="1"/>
  <c r="T51" i="3"/>
  <c r="V51" i="3" s="1"/>
  <c r="T52" i="3"/>
  <c r="V52" i="3" s="1"/>
  <c r="T53" i="3"/>
  <c r="V53" i="3" s="1"/>
  <c r="T54" i="3"/>
  <c r="V54" i="3" s="1"/>
  <c r="T55" i="3"/>
  <c r="V55" i="3" s="1"/>
  <c r="T56" i="3"/>
  <c r="V56" i="3" s="1"/>
  <c r="T57" i="3"/>
  <c r="V57" i="3" s="1"/>
  <c r="T58" i="3"/>
  <c r="V58" i="3" s="1"/>
  <c r="T59" i="3"/>
  <c r="V59" i="3" s="1"/>
  <c r="T60" i="3"/>
  <c r="V60" i="3" s="1"/>
  <c r="T61" i="3"/>
  <c r="V61" i="3" s="1"/>
  <c r="T62" i="3"/>
  <c r="V62" i="3" s="1"/>
  <c r="T63" i="3"/>
  <c r="V63" i="3" s="1"/>
  <c r="T64" i="3"/>
  <c r="V64" i="3" s="1"/>
  <c r="T65" i="3"/>
  <c r="V65" i="3" s="1"/>
  <c r="T66" i="3"/>
  <c r="V66" i="3" s="1"/>
  <c r="T67" i="3"/>
  <c r="V67" i="3" s="1"/>
  <c r="T68" i="3"/>
  <c r="V68" i="3" s="1"/>
  <c r="T69" i="3"/>
  <c r="V69" i="3" s="1"/>
  <c r="T70" i="3"/>
  <c r="V70" i="3" s="1"/>
  <c r="T71" i="3"/>
  <c r="V71" i="3" s="1"/>
  <c r="T72" i="3"/>
  <c r="V72" i="3" s="1"/>
  <c r="T73" i="3"/>
  <c r="V73" i="3" s="1"/>
  <c r="T74" i="3"/>
  <c r="V74" i="3" s="1"/>
  <c r="T75" i="3"/>
  <c r="V75" i="3" s="1"/>
  <c r="T76" i="3"/>
  <c r="V76" i="3" s="1"/>
  <c r="T77" i="3"/>
  <c r="V77" i="3" s="1"/>
  <c r="T78" i="3"/>
  <c r="V78" i="3" s="1"/>
  <c r="T79" i="3"/>
  <c r="V79" i="3" s="1"/>
  <c r="T80" i="3"/>
  <c r="V80" i="3" s="1"/>
  <c r="T81" i="3"/>
  <c r="V81" i="3" s="1"/>
  <c r="T82" i="3"/>
  <c r="V82" i="3" s="1"/>
  <c r="T83" i="3"/>
  <c r="V83" i="3" s="1"/>
  <c r="T84" i="3"/>
  <c r="V84" i="3" s="1"/>
  <c r="T85" i="3"/>
  <c r="V85" i="3" s="1"/>
  <c r="T86" i="3"/>
  <c r="V86" i="3" s="1"/>
  <c r="T87" i="3"/>
  <c r="V87" i="3" s="1"/>
  <c r="T88" i="3"/>
  <c r="V88" i="3" s="1"/>
  <c r="T89" i="3"/>
  <c r="V89" i="3" s="1"/>
  <c r="T90" i="3"/>
  <c r="V90" i="3" s="1"/>
  <c r="T91" i="3"/>
  <c r="V91" i="3" s="1"/>
  <c r="T92" i="3"/>
  <c r="V92" i="3" s="1"/>
  <c r="T93" i="3"/>
  <c r="V93" i="3" s="1"/>
  <c r="T94" i="3"/>
  <c r="V94" i="3" s="1"/>
  <c r="T95" i="3"/>
  <c r="V95" i="3" s="1"/>
  <c r="T96" i="3"/>
  <c r="V96" i="3" s="1"/>
  <c r="T97" i="3"/>
  <c r="V97" i="3" s="1"/>
  <c r="T98" i="3"/>
  <c r="V98" i="3" s="1"/>
  <c r="T99" i="3"/>
  <c r="V99" i="3" s="1"/>
  <c r="T100" i="3"/>
  <c r="V100" i="3" s="1"/>
  <c r="T101" i="3"/>
  <c r="V101" i="3" s="1"/>
  <c r="T102" i="3"/>
  <c r="V102" i="3" s="1"/>
  <c r="T103" i="3"/>
  <c r="V103" i="3" s="1"/>
  <c r="T104" i="3"/>
  <c r="V104" i="3" s="1"/>
  <c r="T105" i="3"/>
  <c r="V105" i="3" s="1"/>
  <c r="T106" i="3"/>
  <c r="V106" i="3" s="1"/>
  <c r="T107" i="3"/>
  <c r="V107" i="3" s="1"/>
  <c r="T108" i="3"/>
  <c r="V108" i="3" s="1"/>
  <c r="T109" i="3"/>
  <c r="V109" i="3" s="1"/>
  <c r="T110" i="3"/>
  <c r="V110" i="3" s="1"/>
  <c r="T111" i="3"/>
  <c r="V111" i="3" s="1"/>
  <c r="T112" i="3"/>
  <c r="V112" i="3" s="1"/>
  <c r="T113" i="3"/>
  <c r="V113" i="3" s="1"/>
  <c r="T114" i="3"/>
  <c r="V114" i="3" s="1"/>
  <c r="T115" i="3"/>
  <c r="V115" i="3" s="1"/>
  <c r="T116" i="3"/>
  <c r="V116" i="3" s="1"/>
  <c r="T117" i="3"/>
  <c r="V117" i="3" s="1"/>
  <c r="T118" i="3"/>
  <c r="V118" i="3" s="1"/>
  <c r="T119" i="3"/>
  <c r="V119" i="3" s="1"/>
  <c r="T120" i="3"/>
  <c r="V120" i="3" s="1"/>
  <c r="T123" i="3"/>
  <c r="T124" i="3"/>
  <c r="V124" i="3" s="1"/>
  <c r="T125" i="3"/>
  <c r="V125" i="3" s="1"/>
  <c r="T126" i="3"/>
  <c r="V126" i="3" s="1"/>
  <c r="T127" i="3"/>
  <c r="T128" i="3"/>
  <c r="V128" i="3" s="1"/>
  <c r="T129" i="3"/>
  <c r="V129" i="3" s="1"/>
  <c r="T130" i="3"/>
  <c r="V130" i="3" s="1"/>
  <c r="T131" i="3"/>
  <c r="V131" i="3" s="1"/>
  <c r="T132" i="3"/>
  <c r="V132" i="3" s="1"/>
  <c r="T133" i="3"/>
  <c r="V133" i="3" s="1"/>
  <c r="T134" i="3"/>
  <c r="V134" i="3" s="1"/>
  <c r="T135" i="3"/>
  <c r="V135" i="3" s="1"/>
  <c r="T136" i="3"/>
  <c r="T137" i="3"/>
  <c r="V137" i="3" s="1"/>
  <c r="T138" i="3"/>
  <c r="V138" i="3" s="1"/>
  <c r="T139" i="3"/>
  <c r="V139" i="3" s="1"/>
  <c r="T140" i="3"/>
  <c r="V140" i="3" s="1"/>
  <c r="T141" i="3"/>
  <c r="V141" i="3" s="1"/>
  <c r="T142" i="3"/>
  <c r="V142" i="3" s="1"/>
  <c r="T143" i="3"/>
  <c r="V143" i="3" s="1"/>
  <c r="T144" i="3"/>
  <c r="V144" i="3" s="1"/>
  <c r="T145" i="3"/>
  <c r="V145" i="3" s="1"/>
  <c r="T146" i="3"/>
  <c r="V146" i="3" s="1"/>
  <c r="T147" i="3"/>
  <c r="V147" i="3" s="1"/>
  <c r="T148" i="3"/>
  <c r="V148" i="3" s="1"/>
  <c r="T149" i="3"/>
  <c r="V149" i="3" s="1"/>
  <c r="T150" i="3"/>
  <c r="V150" i="3" s="1"/>
  <c r="T151" i="3"/>
  <c r="V151" i="3" s="1"/>
  <c r="T152" i="3"/>
  <c r="T153" i="3"/>
  <c r="T154" i="3"/>
  <c r="V154" i="3" s="1"/>
  <c r="T155" i="3"/>
  <c r="T156" i="3"/>
  <c r="V156" i="3" s="1"/>
  <c r="T157" i="3"/>
  <c r="V157" i="3" s="1"/>
  <c r="T158" i="3"/>
  <c r="V158" i="3" s="1"/>
  <c r="T159" i="3"/>
  <c r="V159" i="3" s="1"/>
  <c r="T160" i="3"/>
  <c r="V160" i="3" s="1"/>
  <c r="T161" i="3"/>
  <c r="V161" i="3" s="1"/>
  <c r="T162" i="3"/>
  <c r="V162" i="3" s="1"/>
  <c r="T163" i="3"/>
  <c r="V163" i="3" s="1"/>
  <c r="T164" i="3"/>
  <c r="V164" i="3" s="1"/>
  <c r="T165" i="3"/>
  <c r="V165" i="3" s="1"/>
  <c r="T166" i="3"/>
  <c r="V166" i="3" s="1"/>
  <c r="T167" i="3"/>
  <c r="V167" i="3" s="1"/>
  <c r="T168" i="3"/>
  <c r="V168" i="3" s="1"/>
  <c r="T169" i="3"/>
  <c r="V169" i="3" s="1"/>
  <c r="T170" i="3"/>
  <c r="V170" i="3" s="1"/>
  <c r="T171" i="3"/>
  <c r="V171" i="3" s="1"/>
  <c r="T172" i="3"/>
  <c r="V172" i="3" s="1"/>
  <c r="T173" i="3"/>
  <c r="V173" i="3" s="1"/>
  <c r="T174" i="3"/>
  <c r="V174" i="3" s="1"/>
  <c r="T175" i="3"/>
  <c r="V175" i="3" s="1"/>
  <c r="T176" i="3"/>
  <c r="V176" i="3" s="1"/>
  <c r="T177" i="3"/>
  <c r="V177" i="3" s="1"/>
  <c r="T178" i="3"/>
  <c r="V178" i="3" s="1"/>
  <c r="T179" i="3"/>
  <c r="V179" i="3" s="1"/>
  <c r="T180" i="3"/>
  <c r="V180" i="3" s="1"/>
  <c r="T181" i="3"/>
  <c r="V181" i="3" s="1"/>
  <c r="T182" i="3"/>
  <c r="V182" i="3" s="1"/>
  <c r="T183" i="3"/>
  <c r="V183" i="3" s="1"/>
  <c r="T184" i="3"/>
  <c r="V184" i="3" s="1"/>
  <c r="T185" i="3"/>
  <c r="V185" i="3" s="1"/>
  <c r="T186" i="3"/>
  <c r="T187" i="3"/>
  <c r="V187" i="3" s="1"/>
  <c r="T188" i="3"/>
  <c r="V188" i="3" s="1"/>
  <c r="T189" i="3"/>
  <c r="V189" i="3" s="1"/>
  <c r="T190" i="3"/>
  <c r="V190" i="3" s="1"/>
  <c r="T191" i="3"/>
  <c r="V191" i="3" s="1"/>
  <c r="T192" i="3"/>
  <c r="V192" i="3" s="1"/>
  <c r="T193" i="3"/>
  <c r="V193" i="3" s="1"/>
  <c r="T194" i="3"/>
  <c r="V194" i="3" s="1"/>
  <c r="T197" i="3"/>
  <c r="T198" i="3"/>
  <c r="V198" i="3" s="1"/>
  <c r="T199" i="3"/>
  <c r="V199" i="3" s="1"/>
  <c r="T200" i="3"/>
  <c r="V200" i="3" s="1"/>
  <c r="T201" i="3"/>
  <c r="V201" i="3" s="1"/>
  <c r="T202" i="3"/>
  <c r="V202" i="3" s="1"/>
  <c r="T203" i="3"/>
  <c r="V203" i="3" s="1"/>
  <c r="T204" i="3"/>
  <c r="V204" i="3" s="1"/>
  <c r="T205" i="3"/>
  <c r="V205" i="3" s="1"/>
  <c r="T206" i="3"/>
  <c r="V206" i="3" s="1"/>
  <c r="T207" i="3"/>
  <c r="T208" i="3"/>
  <c r="V208" i="3" s="1"/>
  <c r="T209" i="3"/>
  <c r="V209" i="3" s="1"/>
  <c r="T210" i="3"/>
  <c r="V210" i="3" s="1"/>
  <c r="T211" i="3"/>
  <c r="V211" i="3" s="1"/>
  <c r="T212" i="3"/>
  <c r="V212" i="3" s="1"/>
  <c r="T213" i="3"/>
  <c r="V213" i="3" s="1"/>
  <c r="T214" i="3"/>
  <c r="V214" i="3" s="1"/>
  <c r="T215" i="3"/>
  <c r="V215" i="3" s="1"/>
  <c r="T216" i="3"/>
  <c r="V216" i="3" s="1"/>
  <c r="T217" i="3"/>
  <c r="V217" i="3" s="1"/>
  <c r="T218" i="3"/>
  <c r="V218" i="3" s="1"/>
  <c r="T219" i="3"/>
  <c r="V219" i="3" s="1"/>
  <c r="T220" i="3"/>
  <c r="V220" i="3" s="1"/>
  <c r="T221" i="3"/>
  <c r="V221" i="3" s="1"/>
  <c r="T222" i="3"/>
  <c r="V222" i="3" s="1"/>
  <c r="T223" i="3"/>
  <c r="V223" i="3" s="1"/>
  <c r="T224" i="3"/>
  <c r="V224" i="3" s="1"/>
  <c r="T225" i="3"/>
  <c r="V225" i="3" s="1"/>
  <c r="T226" i="3"/>
  <c r="V226" i="3" s="1"/>
  <c r="T227" i="3"/>
  <c r="V227" i="3" s="1"/>
  <c r="T228" i="3"/>
  <c r="V228" i="3" s="1"/>
  <c r="T229" i="3"/>
  <c r="V229" i="3" s="1"/>
  <c r="T230" i="3"/>
  <c r="V230" i="3" s="1"/>
  <c r="T231" i="3"/>
  <c r="V231" i="3" s="1"/>
  <c r="T232" i="3"/>
  <c r="V232" i="3" s="1"/>
  <c r="T237" i="3"/>
  <c r="T238" i="3"/>
  <c r="V238" i="3" s="1"/>
  <c r="T239" i="3"/>
  <c r="V239" i="3" s="1"/>
  <c r="T240" i="3"/>
  <c r="T241" i="3"/>
  <c r="V241" i="3" s="1"/>
  <c r="T242" i="3"/>
  <c r="V242" i="3" s="1"/>
  <c r="T243" i="3"/>
  <c r="V243" i="3" s="1"/>
  <c r="T244" i="3"/>
  <c r="T245" i="3"/>
  <c r="V245" i="3" s="1"/>
  <c r="T246" i="3"/>
  <c r="V246" i="3" s="1"/>
  <c r="T247" i="3"/>
  <c r="T248" i="3"/>
  <c r="V248" i="3" s="1"/>
  <c r="T249" i="3"/>
  <c r="V249" i="3" s="1"/>
  <c r="T250" i="3"/>
  <c r="V250" i="3" s="1"/>
  <c r="T251" i="3"/>
  <c r="V251" i="3" s="1"/>
  <c r="T252" i="3"/>
  <c r="V252" i="3" s="1"/>
  <c r="T253" i="3"/>
  <c r="V253" i="3" s="1"/>
  <c r="T254" i="3"/>
  <c r="V254" i="3" s="1"/>
  <c r="T255" i="3"/>
  <c r="V255" i="3" s="1"/>
  <c r="T256" i="3"/>
  <c r="V256" i="3" s="1"/>
  <c r="T257" i="3"/>
  <c r="V257" i="3" s="1"/>
  <c r="T258" i="3"/>
  <c r="V258" i="3" s="1"/>
  <c r="T259" i="3"/>
  <c r="V259" i="3" s="1"/>
  <c r="T260" i="3"/>
  <c r="V260" i="3" s="1"/>
  <c r="T261" i="3"/>
  <c r="V261" i="3" s="1"/>
  <c r="T262" i="3"/>
  <c r="V262" i="3" s="1"/>
  <c r="T263" i="3"/>
  <c r="V263" i="3" s="1"/>
  <c r="T264" i="3"/>
  <c r="V264" i="3" s="1"/>
  <c r="T265" i="3"/>
  <c r="V265" i="3" s="1"/>
  <c r="T266" i="3"/>
  <c r="V266" i="3" s="1"/>
  <c r="T267" i="3"/>
  <c r="V267" i="3" s="1"/>
  <c r="T268" i="3"/>
  <c r="V268" i="3" s="1"/>
  <c r="T269" i="3"/>
  <c r="V269" i="3" s="1"/>
  <c r="T270" i="3"/>
  <c r="V270" i="3" s="1"/>
  <c r="T271" i="3"/>
  <c r="T272" i="3"/>
  <c r="V272" i="3" s="1"/>
  <c r="T273" i="3"/>
  <c r="V273" i="3" s="1"/>
  <c r="T274" i="3"/>
  <c r="V274" i="3" s="1"/>
  <c r="T275" i="3"/>
  <c r="V275" i="3" s="1"/>
  <c r="T276" i="3"/>
  <c r="V276" i="3" s="1"/>
  <c r="T277" i="3"/>
  <c r="V277" i="3" s="1"/>
  <c r="T278" i="3"/>
  <c r="T279" i="3"/>
  <c r="V279" i="3" s="1"/>
  <c r="T280" i="3"/>
  <c r="V280" i="3" s="1"/>
  <c r="T281" i="3"/>
  <c r="V281" i="3" s="1"/>
  <c r="T282" i="3"/>
  <c r="V282" i="3" s="1"/>
  <c r="T283" i="3"/>
  <c r="V283" i="3" s="1"/>
  <c r="T284" i="3"/>
  <c r="V284" i="3" s="1"/>
  <c r="T285" i="3"/>
  <c r="T286" i="3"/>
  <c r="V286" i="3" s="1"/>
  <c r="T287" i="3"/>
  <c r="V287" i="3" s="1"/>
  <c r="T288" i="3"/>
  <c r="V288" i="3" s="1"/>
  <c r="T289" i="3"/>
  <c r="V289" i="3" s="1"/>
  <c r="T290" i="3"/>
  <c r="T291" i="3"/>
  <c r="V291" i="3" s="1"/>
  <c r="T292" i="3"/>
  <c r="T293" i="3"/>
  <c r="V293" i="3" s="1"/>
  <c r="T294" i="3"/>
  <c r="V294" i="3" s="1"/>
  <c r="T295" i="3"/>
  <c r="T296" i="3"/>
  <c r="V296" i="3" s="1"/>
  <c r="T297" i="3"/>
  <c r="V297" i="3" s="1"/>
  <c r="T298" i="3"/>
  <c r="V298" i="3" s="1"/>
  <c r="T299" i="3"/>
  <c r="V299" i="3" s="1"/>
  <c r="T300" i="3"/>
  <c r="V300" i="3" s="1"/>
  <c r="T301" i="3"/>
  <c r="T302" i="3"/>
  <c r="V302" i="3" s="1"/>
  <c r="T303" i="3"/>
  <c r="V303" i="3" s="1"/>
  <c r="T304" i="3"/>
  <c r="V304" i="3" s="1"/>
  <c r="T305" i="3"/>
  <c r="T306" i="3"/>
  <c r="V306" i="3" s="1"/>
  <c r="T307" i="3"/>
  <c r="T308" i="3"/>
  <c r="V308" i="3" s="1"/>
  <c r="T309" i="3"/>
  <c r="T310" i="3"/>
  <c r="V310" i="3" s="1"/>
  <c r="T311" i="3"/>
  <c r="V311" i="3" s="1"/>
  <c r="T312" i="3"/>
  <c r="V312" i="3" s="1"/>
  <c r="T313" i="3"/>
  <c r="V313" i="3" s="1"/>
  <c r="T314" i="3"/>
  <c r="V314" i="3" s="1"/>
  <c r="T315" i="3"/>
  <c r="V315" i="3" s="1"/>
  <c r="T316" i="3"/>
  <c r="T317" i="3"/>
  <c r="V317" i="3" s="1"/>
  <c r="T318" i="3"/>
  <c r="V318" i="3" s="1"/>
  <c r="T319" i="3"/>
  <c r="V319" i="3" s="1"/>
  <c r="T320" i="3"/>
  <c r="V320" i="3" s="1"/>
  <c r="T321" i="3"/>
  <c r="V321" i="3" s="1"/>
  <c r="T322" i="3"/>
  <c r="V322" i="3" s="1"/>
  <c r="T323" i="3"/>
  <c r="V323" i="3" s="1"/>
  <c r="T324" i="3"/>
  <c r="V324" i="3" s="1"/>
  <c r="T325" i="3"/>
  <c r="T326" i="3"/>
  <c r="V326" i="3" s="1"/>
  <c r="T327" i="3"/>
  <c r="V327" i="3" s="1"/>
  <c r="T328" i="3"/>
  <c r="V328" i="3" s="1"/>
  <c r="T329" i="3"/>
  <c r="V329" i="3" s="1"/>
  <c r="T330" i="3"/>
  <c r="V330" i="3" s="1"/>
  <c r="T331" i="3"/>
  <c r="V331" i="3" s="1"/>
  <c r="T332" i="3"/>
  <c r="V332" i="3" s="1"/>
  <c r="T333" i="3"/>
  <c r="V333" i="3" s="1"/>
  <c r="T334" i="3"/>
  <c r="V334" i="3" s="1"/>
  <c r="T335" i="3"/>
  <c r="V335" i="3" s="1"/>
  <c r="T336" i="3"/>
  <c r="V336" i="3" s="1"/>
  <c r="T337" i="3"/>
  <c r="V337" i="3" s="1"/>
  <c r="T338" i="3"/>
  <c r="V338" i="3" s="1"/>
  <c r="T339" i="3"/>
  <c r="V339" i="3" s="1"/>
  <c r="T340" i="3"/>
  <c r="V340" i="3" s="1"/>
  <c r="T341" i="3"/>
  <c r="V341" i="3" s="1"/>
  <c r="T342" i="3"/>
  <c r="T343" i="3"/>
  <c r="T344" i="3"/>
  <c r="T345" i="3"/>
  <c r="V345" i="3" s="1"/>
  <c r="T346" i="3"/>
  <c r="V346" i="3" s="1"/>
  <c r="T347" i="3"/>
  <c r="V347" i="3" s="1"/>
  <c r="T348" i="3"/>
  <c r="V348" i="3" s="1"/>
  <c r="T349" i="3"/>
  <c r="T350" i="3"/>
  <c r="V350" i="3" s="1"/>
  <c r="T351" i="3"/>
  <c r="V351" i="3" s="1"/>
  <c r="T352" i="3"/>
  <c r="T353" i="3"/>
  <c r="V353" i="3" s="1"/>
  <c r="T354" i="3"/>
  <c r="T355" i="3"/>
  <c r="T356" i="3"/>
  <c r="T357" i="3"/>
  <c r="V357" i="3" s="1"/>
  <c r="T358" i="3"/>
  <c r="V358" i="3" s="1"/>
  <c r="T359" i="3"/>
  <c r="T360" i="3"/>
  <c r="V360" i="3" s="1"/>
  <c r="T361" i="3"/>
  <c r="V361" i="3" s="1"/>
  <c r="T362" i="3"/>
  <c r="T363" i="3"/>
  <c r="V363" i="3" s="1"/>
  <c r="T364" i="3"/>
  <c r="T365" i="3"/>
  <c r="T366" i="3"/>
  <c r="V366" i="3" s="1"/>
  <c r="T367" i="3"/>
  <c r="V367" i="3" s="1"/>
  <c r="T368" i="3"/>
  <c r="V368" i="3" s="1"/>
  <c r="T369" i="3"/>
  <c r="V369" i="3" s="1"/>
  <c r="T370" i="3"/>
  <c r="V370" i="3" s="1"/>
  <c r="T371" i="3"/>
  <c r="V371" i="3" s="1"/>
  <c r="T372" i="3"/>
  <c r="V372" i="3" s="1"/>
  <c r="T373" i="3"/>
  <c r="V373" i="3" s="1"/>
  <c r="T374" i="3"/>
  <c r="V374" i="3" s="1"/>
  <c r="T375" i="3"/>
  <c r="V375" i="3" s="1"/>
  <c r="T376" i="3"/>
  <c r="V376" i="3" s="1"/>
  <c r="T377" i="3"/>
  <c r="V377" i="3" s="1"/>
  <c r="T378" i="3"/>
  <c r="V378" i="3" s="1"/>
  <c r="T379" i="3"/>
  <c r="V379" i="3" s="1"/>
  <c r="T380" i="3"/>
  <c r="T381" i="3"/>
  <c r="V381" i="3" s="1"/>
  <c r="T382" i="3"/>
  <c r="T383" i="3"/>
  <c r="T384" i="3"/>
  <c r="V384" i="3" s="1"/>
  <c r="T385" i="3"/>
  <c r="T386" i="3"/>
  <c r="V386" i="3" s="1"/>
  <c r="T387" i="3"/>
  <c r="T388" i="3"/>
  <c r="V388" i="3" s="1"/>
  <c r="T389" i="3"/>
  <c r="V389" i="3" s="1"/>
  <c r="T390" i="3"/>
  <c r="T391" i="3"/>
  <c r="T392" i="3"/>
  <c r="T393" i="3"/>
  <c r="V393" i="3" s="1"/>
  <c r="T394" i="3"/>
  <c r="V394" i="3" s="1"/>
  <c r="T395" i="3"/>
  <c r="T396" i="3"/>
  <c r="V396" i="3" s="1"/>
  <c r="T397" i="3"/>
  <c r="T398" i="3"/>
  <c r="V398" i="3" s="1"/>
  <c r="T399" i="3"/>
  <c r="V399" i="3" s="1"/>
  <c r="T400" i="3"/>
  <c r="V400" i="3" s="1"/>
  <c r="T401" i="3"/>
  <c r="T402" i="3"/>
  <c r="T403" i="3"/>
  <c r="V403" i="3" s="1"/>
  <c r="T404" i="3"/>
  <c r="T405" i="3"/>
  <c r="V405" i="3" s="1"/>
  <c r="T406" i="3"/>
  <c r="V406" i="3" s="1"/>
  <c r="T407" i="3"/>
  <c r="V407" i="3" s="1"/>
  <c r="T408" i="3"/>
  <c r="V408" i="3" s="1"/>
  <c r="T409" i="3"/>
  <c r="V409" i="3" s="1"/>
  <c r="T410" i="3"/>
  <c r="T411" i="3"/>
  <c r="V411" i="3" s="1"/>
  <c r="T412" i="3"/>
  <c r="T413" i="3"/>
  <c r="T414" i="3"/>
  <c r="T415" i="3"/>
  <c r="V415" i="3" s="1"/>
  <c r="T416" i="3"/>
  <c r="V416" i="3" s="1"/>
  <c r="T417" i="3"/>
  <c r="V417" i="3" s="1"/>
  <c r="T418" i="3"/>
  <c r="T419" i="3"/>
  <c r="T420" i="3"/>
  <c r="V420" i="3" s="1"/>
  <c r="T421" i="3"/>
  <c r="T422" i="3"/>
  <c r="V422" i="3" s="1"/>
  <c r="T423" i="3"/>
  <c r="V423" i="3" s="1"/>
  <c r="T424" i="3"/>
  <c r="V424" i="3" s="1"/>
  <c r="T425" i="3"/>
  <c r="T426" i="3"/>
  <c r="V426" i="3" s="1"/>
  <c r="T427" i="3"/>
  <c r="V427" i="3" s="1"/>
  <c r="T428" i="3"/>
  <c r="V428" i="3" s="1"/>
  <c r="T429" i="3"/>
  <c r="V429" i="3" s="1"/>
  <c r="T430" i="3"/>
  <c r="V430" i="3" s="1"/>
  <c r="T431" i="3"/>
  <c r="V431" i="3" s="1"/>
  <c r="T432" i="3"/>
  <c r="V432" i="3" s="1"/>
  <c r="T433" i="3"/>
  <c r="T434" i="3"/>
  <c r="V434" i="3" s="1"/>
  <c r="T435" i="3"/>
  <c r="V435" i="3" s="1"/>
  <c r="T436" i="3"/>
  <c r="V436" i="3" s="1"/>
  <c r="T437" i="3"/>
  <c r="V437" i="3" s="1"/>
  <c r="T438" i="3"/>
  <c r="V438" i="3" s="1"/>
  <c r="T439" i="3"/>
  <c r="T440" i="3"/>
  <c r="V440" i="3" s="1"/>
  <c r="T441" i="3"/>
  <c r="V441" i="3" s="1"/>
  <c r="T442" i="3"/>
  <c r="T443" i="3"/>
  <c r="V443" i="3" s="1"/>
  <c r="W413" i="3" l="1"/>
  <c r="V413" i="3" s="1"/>
  <c r="W401" i="3"/>
  <c r="V401" i="3" s="1"/>
  <c r="W391" i="3"/>
  <c r="V391" i="3" s="1"/>
  <c r="W305" i="3"/>
  <c r="V305" i="3" s="1"/>
  <c r="W153" i="3"/>
  <c r="V153" i="3" s="1"/>
  <c r="W468" i="3"/>
  <c r="V468" i="3" s="1"/>
  <c r="W535" i="3"/>
  <c r="V535" i="3" s="1"/>
  <c r="W547" i="3"/>
  <c r="V547" i="3" s="1"/>
  <c r="W545" i="3"/>
  <c r="V545" i="3" s="1"/>
  <c r="W543" i="3"/>
  <c r="V543" i="3" s="1"/>
  <c r="W541" i="3"/>
  <c r="V541" i="3" s="1"/>
  <c r="W896" i="3"/>
  <c r="V896" i="3" s="1"/>
  <c r="W878" i="3"/>
  <c r="V878" i="3" s="1"/>
  <c r="W716" i="3"/>
  <c r="V716" i="3" s="1"/>
  <c r="W714" i="3"/>
  <c r="V714" i="3" s="1"/>
  <c r="W604" i="3"/>
  <c r="V604" i="3" s="1"/>
  <c r="W1109" i="3"/>
  <c r="V1109" i="3" s="1"/>
  <c r="W1075" i="3"/>
  <c r="V1075" i="3" s="1"/>
  <c r="W1055" i="3"/>
  <c r="V1055" i="3" s="1"/>
  <c r="W418" i="3"/>
  <c r="V418" i="3" s="1"/>
  <c r="W390" i="3"/>
  <c r="V390" i="3" s="1"/>
  <c r="W382" i="3"/>
  <c r="V382" i="3" s="1"/>
  <c r="W354" i="3"/>
  <c r="V354" i="3" s="1"/>
  <c r="W344" i="3"/>
  <c r="V344" i="3" s="1"/>
  <c r="W152" i="3"/>
  <c r="V152" i="3" s="1"/>
  <c r="W477" i="3"/>
  <c r="V477" i="3" s="1"/>
  <c r="W465" i="3"/>
  <c r="V465" i="3" s="1"/>
  <c r="W459" i="3"/>
  <c r="V459" i="3" s="1"/>
  <c r="W512" i="3"/>
  <c r="V512" i="3" s="1"/>
  <c r="W930" i="3"/>
  <c r="V930" i="3" s="1"/>
  <c r="W922" i="3"/>
  <c r="V922" i="3" s="1"/>
  <c r="W839" i="3"/>
  <c r="V839" i="3" s="1"/>
  <c r="W715" i="3"/>
  <c r="V715" i="3" s="1"/>
  <c r="W707" i="3"/>
  <c r="V707" i="3" s="1"/>
  <c r="W1076" i="3"/>
  <c r="V1076" i="3" s="1"/>
  <c r="W1074" i="3"/>
  <c r="V1074" i="3" s="1"/>
  <c r="W1060" i="3"/>
  <c r="V1060" i="3" s="1"/>
  <c r="W1248" i="3"/>
  <c r="V1248" i="3" s="1"/>
  <c r="W356" i="3"/>
  <c r="V356" i="3" s="1"/>
  <c r="W316" i="3"/>
  <c r="V316" i="3" s="1"/>
  <c r="W240" i="3"/>
  <c r="V240" i="3" s="1"/>
  <c r="W207" i="3"/>
  <c r="V207" i="3" s="1"/>
  <c r="W186" i="3"/>
  <c r="V186" i="3" s="1"/>
  <c r="W136" i="3"/>
  <c r="V136" i="3" s="1"/>
  <c r="W538" i="3"/>
  <c r="V538" i="3" s="1"/>
  <c r="W793" i="3"/>
  <c r="V793" i="3" s="1"/>
  <c r="W791" i="3"/>
  <c r="V791" i="3" s="1"/>
  <c r="W789" i="3"/>
  <c r="V789" i="3" s="1"/>
  <c r="W787" i="3"/>
  <c r="V787" i="3" s="1"/>
  <c r="W785" i="3"/>
  <c r="V785" i="3" s="1"/>
  <c r="W783" i="3"/>
  <c r="V783" i="3" s="1"/>
  <c r="W771" i="3"/>
  <c r="V771" i="3" s="1"/>
  <c r="W769" i="3"/>
  <c r="V769" i="3" s="1"/>
  <c r="W767" i="3"/>
  <c r="V767" i="3" s="1"/>
  <c r="W765" i="3"/>
  <c r="V765" i="3" s="1"/>
  <c r="W763" i="3"/>
  <c r="V763" i="3" s="1"/>
  <c r="W761" i="3"/>
  <c r="V761" i="3" s="1"/>
  <c r="W759" i="3"/>
  <c r="V759" i="3" s="1"/>
  <c r="W757" i="3"/>
  <c r="V757" i="3" s="1"/>
  <c r="W755" i="3"/>
  <c r="V755" i="3" s="1"/>
  <c r="W753" i="3"/>
  <c r="V753" i="3" s="1"/>
  <c r="W751" i="3"/>
  <c r="V751" i="3" s="1"/>
  <c r="W749" i="3"/>
  <c r="V749" i="3" s="1"/>
  <c r="W747" i="3"/>
  <c r="V747" i="3" s="1"/>
  <c r="W683" i="3"/>
  <c r="V683" i="3" s="1"/>
  <c r="W681" i="3"/>
  <c r="V681" i="3" s="1"/>
  <c r="W679" i="3"/>
  <c r="V679" i="3" s="1"/>
  <c r="W677" i="3"/>
  <c r="V677" i="3" s="1"/>
  <c r="W675" i="3"/>
  <c r="V675" i="3" s="1"/>
  <c r="W673" i="3"/>
  <c r="V673" i="3" s="1"/>
  <c r="W671" i="3"/>
  <c r="V671" i="3" s="1"/>
  <c r="W669" i="3"/>
  <c r="V669" i="3" s="1"/>
  <c r="W667" i="3"/>
  <c r="V667" i="3" s="1"/>
  <c r="W665" i="3"/>
  <c r="V665" i="3" s="1"/>
  <c r="W663" i="3"/>
  <c r="V663" i="3" s="1"/>
  <c r="W661" i="3"/>
  <c r="V661" i="3" s="1"/>
  <c r="W659" i="3"/>
  <c r="V659" i="3" s="1"/>
  <c r="W657" i="3"/>
  <c r="V657" i="3" s="1"/>
  <c r="W655" i="3"/>
  <c r="V655" i="3" s="1"/>
  <c r="W653" i="3"/>
  <c r="V653" i="3" s="1"/>
  <c r="W651" i="3"/>
  <c r="V651" i="3" s="1"/>
  <c r="W649" i="3"/>
  <c r="V649" i="3" s="1"/>
  <c r="W647" i="3"/>
  <c r="V647" i="3" s="1"/>
  <c r="W645" i="3"/>
  <c r="V645" i="3" s="1"/>
  <c r="W643" i="3"/>
  <c r="V643" i="3" s="1"/>
  <c r="W641" i="3"/>
  <c r="V641" i="3" s="1"/>
  <c r="W639" i="3"/>
  <c r="V639" i="3" s="1"/>
  <c r="W637" i="3"/>
  <c r="V637" i="3" s="1"/>
  <c r="W635" i="3"/>
  <c r="V635" i="3" s="1"/>
  <c r="W633" i="3"/>
  <c r="V633" i="3" s="1"/>
  <c r="W631" i="3"/>
  <c r="V631" i="3" s="1"/>
  <c r="W629" i="3"/>
  <c r="V629" i="3" s="1"/>
  <c r="W627" i="3"/>
  <c r="V627" i="3" s="1"/>
  <c r="W625" i="3"/>
  <c r="V625" i="3" s="1"/>
  <c r="W623" i="3"/>
  <c r="V623" i="3" s="1"/>
  <c r="W365" i="3"/>
  <c r="V365" i="3" s="1"/>
  <c r="W343" i="3"/>
  <c r="V343" i="3" s="1"/>
  <c r="W247" i="3"/>
  <c r="V247" i="3" s="1"/>
  <c r="W127" i="3"/>
  <c r="V127" i="3" s="1"/>
  <c r="W36" i="3"/>
  <c r="V36" i="3" s="1"/>
  <c r="W539" i="3"/>
  <c r="V539" i="3" s="1"/>
  <c r="W537" i="3"/>
  <c r="V537" i="3" s="1"/>
  <c r="W519" i="3"/>
  <c r="V519" i="3" s="1"/>
  <c r="W792" i="3"/>
  <c r="V792" i="3" s="1"/>
  <c r="W790" i="3"/>
  <c r="V790" i="3" s="1"/>
  <c r="W788" i="3"/>
  <c r="V788" i="3" s="1"/>
  <c r="W786" i="3"/>
  <c r="V786" i="3" s="1"/>
  <c r="W784" i="3"/>
  <c r="V784" i="3" s="1"/>
  <c r="W770" i="3"/>
  <c r="V770" i="3" s="1"/>
  <c r="W768" i="3"/>
  <c r="V768" i="3" s="1"/>
  <c r="W766" i="3"/>
  <c r="V766" i="3" s="1"/>
  <c r="W764" i="3"/>
  <c r="V764" i="3" s="1"/>
  <c r="W762" i="3"/>
  <c r="V762" i="3" s="1"/>
  <c r="W760" i="3"/>
  <c r="V760" i="3" s="1"/>
  <c r="W758" i="3"/>
  <c r="V758" i="3" s="1"/>
  <c r="W756" i="3"/>
  <c r="V756" i="3" s="1"/>
  <c r="W754" i="3"/>
  <c r="V754" i="3" s="1"/>
  <c r="W752" i="3"/>
  <c r="V752" i="3" s="1"/>
  <c r="W750" i="3"/>
  <c r="V750" i="3" s="1"/>
  <c r="W748" i="3"/>
  <c r="V748" i="3" s="1"/>
  <c r="W746" i="3"/>
  <c r="V746" i="3" s="1"/>
  <c r="W682" i="3"/>
  <c r="V682" i="3" s="1"/>
  <c r="W680" i="3"/>
  <c r="V680" i="3" s="1"/>
  <c r="W678" i="3"/>
  <c r="V678" i="3" s="1"/>
  <c r="W676" i="3"/>
  <c r="V676" i="3" s="1"/>
  <c r="W674" i="3"/>
  <c r="V674" i="3" s="1"/>
  <c r="W672" i="3"/>
  <c r="V672" i="3" s="1"/>
  <c r="W670" i="3"/>
  <c r="V670" i="3" s="1"/>
  <c r="W668" i="3"/>
  <c r="V668" i="3" s="1"/>
  <c r="W666" i="3"/>
  <c r="V666" i="3" s="1"/>
  <c r="W664" i="3"/>
  <c r="V664" i="3" s="1"/>
  <c r="W662" i="3"/>
  <c r="V662" i="3" s="1"/>
  <c r="W660" i="3"/>
  <c r="V660" i="3" s="1"/>
  <c r="W658" i="3"/>
  <c r="V658" i="3" s="1"/>
  <c r="W656" i="3"/>
  <c r="V656" i="3" s="1"/>
  <c r="W654" i="3"/>
  <c r="V654" i="3" s="1"/>
  <c r="W652" i="3"/>
  <c r="V652" i="3" s="1"/>
  <c r="W650" i="3"/>
  <c r="V650" i="3" s="1"/>
  <c r="W648" i="3"/>
  <c r="V648" i="3" s="1"/>
  <c r="W646" i="3"/>
  <c r="V646" i="3" s="1"/>
  <c r="W644" i="3"/>
  <c r="V644" i="3" s="1"/>
  <c r="W642" i="3"/>
  <c r="V642" i="3" s="1"/>
  <c r="W640" i="3"/>
  <c r="V640" i="3" s="1"/>
  <c r="W638" i="3"/>
  <c r="V638" i="3" s="1"/>
  <c r="W636" i="3"/>
  <c r="V636" i="3" s="1"/>
  <c r="W634" i="3"/>
  <c r="V634" i="3" s="1"/>
  <c r="W632" i="3"/>
  <c r="V632" i="3" s="1"/>
  <c r="W630" i="3"/>
  <c r="V630" i="3" s="1"/>
  <c r="W628" i="3"/>
  <c r="V628" i="3" s="1"/>
  <c r="W626" i="3"/>
  <c r="V626" i="3" s="1"/>
  <c r="W624" i="3"/>
  <c r="V624" i="3" s="1"/>
  <c r="S13" i="3"/>
  <c r="AC1204" i="7"/>
  <c r="G840" i="7" l="1"/>
  <c r="AC840" i="7" s="1"/>
  <c r="P21" i="9" l="1"/>
  <c r="B21" i="9"/>
  <c r="L237" i="7" l="1"/>
  <c r="F203" i="5"/>
  <c r="E203" i="5"/>
  <c r="D203" i="5"/>
  <c r="C203" i="5"/>
  <c r="B569" i="7"/>
  <c r="B570" i="7"/>
  <c r="B571" i="7"/>
  <c r="B125" i="7"/>
  <c r="B126" i="7"/>
  <c r="AC839" i="7"/>
  <c r="D839" i="7" s="1"/>
  <c r="B839" i="7"/>
  <c r="AE945" i="7"/>
  <c r="AD945" i="7"/>
  <c r="AB945" i="7"/>
  <c r="AA945" i="7"/>
  <c r="Z945" i="7"/>
  <c r="Y945" i="7"/>
  <c r="X945" i="7"/>
  <c r="W945" i="7"/>
  <c r="V945" i="7"/>
  <c r="U945" i="7"/>
  <c r="T945" i="7"/>
  <c r="S945" i="7"/>
  <c r="R945" i="7"/>
  <c r="Q945" i="7"/>
  <c r="P945" i="7"/>
  <c r="O945" i="7"/>
  <c r="N945" i="7"/>
  <c r="M945" i="7"/>
  <c r="L945" i="7"/>
  <c r="K945" i="7"/>
  <c r="J945" i="7"/>
  <c r="I945" i="7"/>
  <c r="H945" i="7"/>
  <c r="G945" i="7"/>
  <c r="F945" i="7"/>
  <c r="E945" i="7"/>
  <c r="AC947" i="7"/>
  <c r="D947" i="7" s="1"/>
  <c r="B947" i="7"/>
  <c r="AC788" i="7"/>
  <c r="D788" i="7" s="1"/>
  <c r="B788" i="7"/>
  <c r="CD787" i="7"/>
  <c r="AC787" i="7"/>
  <c r="D787" i="7" s="1"/>
  <c r="B787" i="7"/>
  <c r="N278" i="7"/>
  <c r="B830" i="7"/>
  <c r="B831" i="7"/>
  <c r="N830" i="7"/>
  <c r="AC830" i="7" s="1"/>
  <c r="D830" i="7" s="1"/>
  <c r="B1123" i="7"/>
  <c r="AC1123" i="7"/>
  <c r="D1123" i="7" s="1"/>
  <c r="AC981" i="7"/>
  <c r="D981" i="7" s="1"/>
  <c r="B981" i="7"/>
  <c r="AE980" i="7"/>
  <c r="AD980" i="7"/>
  <c r="AB980" i="7"/>
  <c r="AA980" i="7"/>
  <c r="Z980" i="7"/>
  <c r="Y980" i="7"/>
  <c r="X980" i="7"/>
  <c r="W980" i="7"/>
  <c r="V980" i="7"/>
  <c r="U980" i="7"/>
  <c r="T980" i="7"/>
  <c r="S980" i="7"/>
  <c r="R980" i="7"/>
  <c r="Q980" i="7"/>
  <c r="P980" i="7"/>
  <c r="O980" i="7"/>
  <c r="N980" i="7"/>
  <c r="M980" i="7"/>
  <c r="L980" i="7"/>
  <c r="K980" i="7"/>
  <c r="J980" i="7"/>
  <c r="I980" i="7"/>
  <c r="H980" i="7"/>
  <c r="G980" i="7"/>
  <c r="F980" i="7"/>
  <c r="E980" i="7"/>
  <c r="B1048" i="7"/>
  <c r="B1049" i="7"/>
  <c r="B1050" i="7"/>
  <c r="B1051" i="7"/>
  <c r="B1052" i="7"/>
  <c r="B1053" i="7"/>
  <c r="B1054" i="7"/>
  <c r="D1054" i="7"/>
  <c r="D1053" i="7"/>
  <c r="D1052" i="7"/>
  <c r="AE559" i="7"/>
  <c r="AD559" i="7"/>
  <c r="AC559" i="7"/>
  <c r="AB559" i="7"/>
  <c r="AA559" i="7"/>
  <c r="Z559" i="7"/>
  <c r="Y559" i="7"/>
  <c r="X559" i="7"/>
  <c r="W559" i="7"/>
  <c r="V559" i="7"/>
  <c r="U559" i="7"/>
  <c r="T559" i="7"/>
  <c r="S559" i="7"/>
  <c r="R559" i="7"/>
  <c r="Q559" i="7"/>
  <c r="P559" i="7"/>
  <c r="O559" i="7"/>
  <c r="N559" i="7"/>
  <c r="M559" i="7"/>
  <c r="L559" i="7"/>
  <c r="K559" i="7"/>
  <c r="J559" i="7"/>
  <c r="I559" i="7"/>
  <c r="H559" i="7"/>
  <c r="G559" i="7"/>
  <c r="F559" i="7"/>
  <c r="E559" i="7"/>
  <c r="D687" i="7"/>
  <c r="B687" i="7"/>
  <c r="V974" i="3" l="1"/>
  <c r="AC980" i="7"/>
  <c r="D980" i="7"/>
  <c r="L780" i="7" l="1"/>
  <c r="L786" i="7"/>
  <c r="L783" i="7"/>
  <c r="B620" i="7" l="1"/>
  <c r="B621" i="7"/>
  <c r="B622" i="7"/>
  <c r="B623" i="7"/>
  <c r="B624" i="7"/>
  <c r="B625" i="7"/>
  <c r="B805" i="7"/>
  <c r="R245" i="7"/>
  <c r="L249" i="7" l="1"/>
  <c r="N384" i="7"/>
  <c r="AE982" i="7"/>
  <c r="AD982" i="7"/>
  <c r="AB982" i="7"/>
  <c r="AA982" i="7"/>
  <c r="Z982" i="7"/>
  <c r="Y982" i="7"/>
  <c r="X982" i="7"/>
  <c r="W982" i="7"/>
  <c r="V982" i="7"/>
  <c r="U982" i="7"/>
  <c r="T982" i="7"/>
  <c r="S982" i="7"/>
  <c r="R982" i="7"/>
  <c r="Q982" i="7"/>
  <c r="P982" i="7"/>
  <c r="O982" i="7"/>
  <c r="N982" i="7"/>
  <c r="M982" i="7"/>
  <c r="L982" i="7"/>
  <c r="K982" i="7"/>
  <c r="J982" i="7"/>
  <c r="I982" i="7"/>
  <c r="H982" i="7"/>
  <c r="F982" i="7"/>
  <c r="E982" i="7"/>
  <c r="N392" i="7"/>
  <c r="B708" i="7"/>
  <c r="B709" i="7"/>
  <c r="B710" i="7"/>
  <c r="B711" i="7"/>
  <c r="B712" i="7"/>
  <c r="B713" i="7"/>
  <c r="N274" i="7"/>
  <c r="R509" i="7"/>
  <c r="E429" i="7"/>
  <c r="E427" i="7" s="1"/>
  <c r="AE427" i="7"/>
  <c r="AD427" i="7"/>
  <c r="AB427" i="7"/>
  <c r="AA427" i="7"/>
  <c r="Z427" i="7"/>
  <c r="Y427" i="7"/>
  <c r="X427" i="7"/>
  <c r="W427" i="7"/>
  <c r="V427" i="7"/>
  <c r="U427" i="7"/>
  <c r="T427" i="7"/>
  <c r="S427" i="7"/>
  <c r="R427" i="7"/>
  <c r="Q427" i="7"/>
  <c r="P427" i="7"/>
  <c r="O427" i="7"/>
  <c r="M427" i="7"/>
  <c r="L427" i="7"/>
  <c r="K427" i="7"/>
  <c r="J427" i="7"/>
  <c r="I427" i="7"/>
  <c r="H427" i="7"/>
  <c r="G427" i="7"/>
  <c r="F427" i="7"/>
  <c r="N320" i="7"/>
  <c r="G154" i="7" l="1"/>
  <c r="B829" i="7"/>
  <c r="B932" i="7"/>
  <c r="N932" i="7"/>
  <c r="AC932" i="7" s="1"/>
  <c r="B437" i="7"/>
  <c r="B828" i="7"/>
  <c r="AC828" i="7"/>
  <c r="D828" i="7" s="1"/>
  <c r="AC831" i="7"/>
  <c r="D831" i="7" s="1"/>
  <c r="AE355" i="7"/>
  <c r="AD355" i="7"/>
  <c r="AB355" i="7"/>
  <c r="AA355" i="7"/>
  <c r="Z355" i="7"/>
  <c r="Y355" i="7"/>
  <c r="X355" i="7"/>
  <c r="W355" i="7"/>
  <c r="V355" i="7"/>
  <c r="U355" i="7"/>
  <c r="T355" i="7"/>
  <c r="S355" i="7"/>
  <c r="R355" i="7"/>
  <c r="Q355" i="7"/>
  <c r="P355" i="7"/>
  <c r="O355" i="7"/>
  <c r="N355" i="7"/>
  <c r="M355" i="7"/>
  <c r="L355" i="7"/>
  <c r="K355" i="7"/>
  <c r="J355" i="7"/>
  <c r="I355" i="7"/>
  <c r="H355" i="7"/>
  <c r="G355" i="7"/>
  <c r="F355" i="7"/>
  <c r="E355" i="7"/>
  <c r="AE866" i="7"/>
  <c r="AD866" i="7"/>
  <c r="AB866" i="7"/>
  <c r="AA866" i="7"/>
  <c r="Z866" i="7"/>
  <c r="Y866" i="7"/>
  <c r="X866" i="7"/>
  <c r="W866" i="7"/>
  <c r="V866" i="7"/>
  <c r="U866" i="7"/>
  <c r="T866" i="7"/>
  <c r="S866" i="7"/>
  <c r="R866" i="7"/>
  <c r="Q866" i="7"/>
  <c r="P866" i="7"/>
  <c r="O866" i="7"/>
  <c r="N866" i="7"/>
  <c r="M866" i="7"/>
  <c r="L866" i="7"/>
  <c r="K866" i="7"/>
  <c r="J866" i="7"/>
  <c r="I866" i="7"/>
  <c r="H866" i="7"/>
  <c r="G866" i="7"/>
  <c r="F866" i="7"/>
  <c r="E866" i="7"/>
  <c r="AC865" i="7"/>
  <c r="B868" i="7"/>
  <c r="B857" i="7"/>
  <c r="B858" i="7"/>
  <c r="B859" i="7"/>
  <c r="N861" i="7"/>
  <c r="N360" i="7"/>
  <c r="G367" i="7"/>
  <c r="N881" i="7"/>
  <c r="B891" i="7"/>
  <c r="AC890" i="7"/>
  <c r="D890" i="7" s="1"/>
  <c r="B890" i="7"/>
  <c r="AC891" i="7"/>
  <c r="D891" i="7" s="1"/>
  <c r="N397" i="7"/>
  <c r="U396" i="7"/>
  <c r="D932" i="7" l="1"/>
  <c r="R404" i="7" l="1"/>
  <c r="N415" i="7"/>
  <c r="AE912" i="7" l="1"/>
  <c r="AD912" i="7"/>
  <c r="AB912" i="7"/>
  <c r="AA912" i="7"/>
  <c r="Z912" i="7"/>
  <c r="Y912" i="7"/>
  <c r="X912" i="7"/>
  <c r="W912" i="7"/>
  <c r="V912" i="7"/>
  <c r="U912" i="7"/>
  <c r="T912" i="7"/>
  <c r="S912" i="7"/>
  <c r="R912" i="7"/>
  <c r="Q912" i="7"/>
  <c r="P912" i="7"/>
  <c r="O912" i="7"/>
  <c r="M912" i="7"/>
  <c r="L912" i="7"/>
  <c r="K912" i="7"/>
  <c r="J912" i="7"/>
  <c r="I912" i="7"/>
  <c r="H912" i="7"/>
  <c r="G912" i="7"/>
  <c r="F912" i="7"/>
  <c r="E912" i="7"/>
  <c r="B914" i="7"/>
  <c r="CD914" i="7"/>
  <c r="N914" i="7"/>
  <c r="AC914" i="7" s="1"/>
  <c r="D914" i="7" s="1"/>
  <c r="U424" i="7"/>
  <c r="AC424" i="7" s="1"/>
  <c r="N426" i="7"/>
  <c r="B923" i="7"/>
  <c r="AE921" i="7"/>
  <c r="AD921" i="7"/>
  <c r="AB921" i="7"/>
  <c r="AA921" i="7"/>
  <c r="Z921" i="7"/>
  <c r="Y921" i="7"/>
  <c r="X921" i="7"/>
  <c r="W921" i="7"/>
  <c r="V921" i="7"/>
  <c r="U921" i="7"/>
  <c r="T921" i="7"/>
  <c r="S921" i="7"/>
  <c r="R921" i="7"/>
  <c r="Q921" i="7"/>
  <c r="P921" i="7"/>
  <c r="O921" i="7"/>
  <c r="N921" i="7"/>
  <c r="M921" i="7"/>
  <c r="L921" i="7"/>
  <c r="K921" i="7"/>
  <c r="J921" i="7"/>
  <c r="I921" i="7"/>
  <c r="H921" i="7"/>
  <c r="G921" i="7"/>
  <c r="F921" i="7"/>
  <c r="E921" i="7"/>
  <c r="H936" i="7"/>
  <c r="AC936" i="7" s="1"/>
  <c r="D936" i="7" s="1"/>
  <c r="B936" i="7"/>
  <c r="AC935" i="7"/>
  <c r="D935" i="7" s="1"/>
  <c r="B935" i="7"/>
  <c r="AC447" i="7"/>
  <c r="N912" i="7" l="1"/>
  <c r="N465" i="7"/>
  <c r="U471" i="7" l="1"/>
  <c r="E480" i="7" l="1"/>
  <c r="R510" i="7" l="1"/>
  <c r="N968" i="7"/>
  <c r="H518" i="7"/>
  <c r="I522" i="7"/>
  <c r="AE973" i="7"/>
  <c r="AB973" i="7"/>
  <c r="AA973" i="7"/>
  <c r="Z973" i="7"/>
  <c r="Y973" i="7"/>
  <c r="X973" i="7"/>
  <c r="W973" i="7"/>
  <c r="V973" i="7"/>
  <c r="U973" i="7"/>
  <c r="T973" i="7"/>
  <c r="S973" i="7"/>
  <c r="R973" i="7"/>
  <c r="Q973" i="7"/>
  <c r="P973" i="7"/>
  <c r="O973" i="7"/>
  <c r="M973" i="7"/>
  <c r="L973" i="7"/>
  <c r="K973" i="7"/>
  <c r="J973" i="7"/>
  <c r="I973" i="7"/>
  <c r="H973" i="7"/>
  <c r="G973" i="7"/>
  <c r="F973" i="7"/>
  <c r="E973" i="7"/>
  <c r="B976" i="7"/>
  <c r="B977" i="7"/>
  <c r="AC976" i="7"/>
  <c r="D976" i="7" s="1"/>
  <c r="AC977" i="7"/>
  <c r="D977" i="7" s="1"/>
  <c r="AD973" i="7"/>
  <c r="N524" i="7"/>
  <c r="G542" i="7" l="1"/>
  <c r="G539" i="7"/>
  <c r="H551" i="7"/>
  <c r="H547" i="7"/>
  <c r="N991" i="7" l="1"/>
  <c r="B984" i="7"/>
  <c r="B985" i="7"/>
  <c r="B986" i="7"/>
  <c r="B987" i="7"/>
  <c r="AC987" i="7"/>
  <c r="D987" i="7" s="1"/>
  <c r="G986" i="7"/>
  <c r="G985" i="7"/>
  <c r="AE879" i="7"/>
  <c r="AB879" i="7"/>
  <c r="AA879" i="7"/>
  <c r="Z879" i="7"/>
  <c r="Y879" i="7"/>
  <c r="X879" i="7"/>
  <c r="W879" i="7"/>
  <c r="V879" i="7"/>
  <c r="U879" i="7"/>
  <c r="T879" i="7"/>
  <c r="S879" i="7"/>
  <c r="R879" i="7"/>
  <c r="Q879" i="7"/>
  <c r="P879" i="7"/>
  <c r="O879" i="7"/>
  <c r="N879" i="7"/>
  <c r="M879" i="7"/>
  <c r="L879" i="7"/>
  <c r="K879" i="7"/>
  <c r="J879" i="7"/>
  <c r="I879" i="7"/>
  <c r="H879" i="7"/>
  <c r="G879" i="7"/>
  <c r="F879" i="7"/>
  <c r="E879" i="7"/>
  <c r="B881" i="7"/>
  <c r="CD881" i="7"/>
  <c r="AC881" i="7"/>
  <c r="D881" i="7" s="1"/>
  <c r="G804" i="7"/>
  <c r="AC804" i="7" s="1"/>
  <c r="D804" i="7" s="1"/>
  <c r="B804" i="7"/>
  <c r="AC805" i="7"/>
  <c r="D805" i="7" s="1"/>
  <c r="N859" i="7"/>
  <c r="AC859" i="7" s="1"/>
  <c r="D859" i="7" s="1"/>
  <c r="AC856" i="7"/>
  <c r="D856" i="7" s="1"/>
  <c r="B856" i="7"/>
  <c r="N849" i="7"/>
  <c r="I310" i="7"/>
  <c r="R302" i="7"/>
  <c r="AC985" i="7" l="1"/>
  <c r="D985" i="7" s="1"/>
  <c r="G982" i="7"/>
  <c r="AC986" i="7"/>
  <c r="D986" i="7" s="1"/>
  <c r="V296" i="7" l="1"/>
  <c r="R285" i="7"/>
  <c r="N285" i="7"/>
  <c r="N290" i="7"/>
  <c r="B505" i="7"/>
  <c r="B504" i="7"/>
  <c r="B503" i="7"/>
  <c r="B502" i="7"/>
  <c r="N505" i="7"/>
  <c r="N504" i="7"/>
  <c r="AC504" i="7" s="1"/>
  <c r="N503" i="7"/>
  <c r="AC503" i="7" s="1"/>
  <c r="D503" i="7" s="1"/>
  <c r="N502" i="7"/>
  <c r="AE501" i="7"/>
  <c r="AD501" i="7"/>
  <c r="AB501" i="7"/>
  <c r="AA501" i="7"/>
  <c r="Z501" i="7"/>
  <c r="Y501" i="7"/>
  <c r="X501" i="7"/>
  <c r="W501" i="7"/>
  <c r="V501" i="7"/>
  <c r="U501" i="7"/>
  <c r="T501" i="7"/>
  <c r="S501" i="7"/>
  <c r="R501" i="7"/>
  <c r="Q501" i="7"/>
  <c r="P501" i="7"/>
  <c r="O501" i="7"/>
  <c r="M501" i="7"/>
  <c r="L501" i="7"/>
  <c r="K501" i="7"/>
  <c r="J501" i="7"/>
  <c r="I501" i="7"/>
  <c r="H501" i="7"/>
  <c r="G501" i="7"/>
  <c r="F501" i="7"/>
  <c r="E501" i="7"/>
  <c r="B825" i="7"/>
  <c r="T824" i="7"/>
  <c r="R824" i="7"/>
  <c r="B824" i="7"/>
  <c r="N275" i="7"/>
  <c r="N264" i="7"/>
  <c r="N263" i="7"/>
  <c r="N261" i="7"/>
  <c r="N260" i="7"/>
  <c r="N259" i="7"/>
  <c r="U252" i="7"/>
  <c r="G271" i="7"/>
  <c r="D504" i="7" l="1"/>
  <c r="AC502" i="7"/>
  <c r="D502" i="7" s="1"/>
  <c r="N501" i="7"/>
  <c r="AC505" i="7"/>
  <c r="AC824" i="7"/>
  <c r="D824" i="7" s="1"/>
  <c r="N1238" i="7"/>
  <c r="R1237" i="7"/>
  <c r="P1236" i="7"/>
  <c r="N492" i="7"/>
  <c r="G496" i="7"/>
  <c r="AC803" i="7"/>
  <c r="D803" i="7" s="1"/>
  <c r="B803" i="7"/>
  <c r="AC501" i="7" l="1"/>
  <c r="D505" i="7"/>
  <c r="D501" i="7" l="1"/>
  <c r="B749" i="7" l="1"/>
  <c r="B750" i="7"/>
  <c r="B751" i="7"/>
  <c r="T750" i="7"/>
  <c r="AC750" i="7" s="1"/>
  <c r="D750" i="7" s="1"/>
  <c r="D125" i="7"/>
  <c r="D799" i="7" l="1"/>
  <c r="B799" i="7"/>
  <c r="N319" i="7"/>
  <c r="N318" i="7"/>
  <c r="B234" i="7" l="1"/>
  <c r="B235" i="7"/>
  <c r="B236" i="7"/>
  <c r="B237" i="7"/>
  <c r="AC236" i="7"/>
  <c r="D236" i="7" s="1"/>
  <c r="L207" i="7"/>
  <c r="P215" i="9" l="1"/>
  <c r="P213" i="9"/>
  <c r="P212" i="9"/>
  <c r="P211" i="9"/>
  <c r="P208" i="9"/>
  <c r="P207" i="9"/>
  <c r="P206" i="9"/>
  <c r="P204" i="9"/>
  <c r="P202" i="9"/>
  <c r="P201" i="9"/>
  <c r="P200" i="9"/>
  <c r="P199" i="9"/>
  <c r="P198" i="9"/>
  <c r="P197" i="9"/>
  <c r="P196" i="9"/>
  <c r="P192" i="9"/>
  <c r="L190" i="9"/>
  <c r="K190" i="9"/>
  <c r="J190" i="9"/>
  <c r="I190" i="9"/>
  <c r="P190" i="9" s="1"/>
  <c r="P188" i="9"/>
  <c r="P186" i="9"/>
  <c r="P183" i="9"/>
  <c r="L182" i="9"/>
  <c r="K182" i="9"/>
  <c r="J182" i="9"/>
  <c r="I182" i="9"/>
  <c r="P182" i="9" s="1"/>
  <c r="P179" i="9"/>
  <c r="L176" i="9"/>
  <c r="K176" i="9"/>
  <c r="J176" i="9"/>
  <c r="I176" i="9"/>
  <c r="P176" i="9" s="1"/>
  <c r="P174" i="9"/>
  <c r="P169" i="9"/>
  <c r="P167" i="9"/>
  <c r="P165" i="9"/>
  <c r="L164" i="9"/>
  <c r="K164" i="9"/>
  <c r="J164" i="9"/>
  <c r="I164" i="9"/>
  <c r="P164" i="9" s="1"/>
  <c r="P161" i="9"/>
  <c r="P155" i="9"/>
  <c r="P150" i="9"/>
  <c r="P149" i="9"/>
  <c r="P147" i="9"/>
  <c r="P145" i="9"/>
  <c r="P144" i="9"/>
  <c r="P143" i="9"/>
  <c r="P142" i="9"/>
  <c r="P141" i="9"/>
  <c r="P140" i="9"/>
  <c r="L139" i="9"/>
  <c r="K139" i="9"/>
  <c r="J139" i="9"/>
  <c r="I139" i="9"/>
  <c r="P139" i="9" s="1"/>
  <c r="P133" i="9"/>
  <c r="P132" i="9"/>
  <c r="P127" i="9"/>
  <c r="P126" i="9"/>
  <c r="P125" i="9"/>
  <c r="P121" i="9"/>
  <c r="P120" i="9"/>
  <c r="P119" i="9"/>
  <c r="P117" i="9"/>
  <c r="P116" i="9"/>
  <c r="P115" i="9"/>
  <c r="P114" i="9"/>
  <c r="P113" i="9"/>
  <c r="P112" i="9"/>
  <c r="P111" i="9"/>
  <c r="P110" i="9"/>
  <c r="L108" i="9"/>
  <c r="K108" i="9"/>
  <c r="J108" i="9"/>
  <c r="I108" i="9"/>
  <c r="P108" i="9" s="1"/>
  <c r="P107" i="9"/>
  <c r="P106" i="9"/>
  <c r="P105" i="9"/>
  <c r="P104" i="9"/>
  <c r="P103" i="9"/>
  <c r="P101" i="9"/>
  <c r="P100" i="9"/>
  <c r="P99" i="9"/>
  <c r="P97" i="9"/>
  <c r="P96" i="9"/>
  <c r="L95" i="9"/>
  <c r="K95" i="9"/>
  <c r="J95" i="9"/>
  <c r="I95" i="9"/>
  <c r="P95" i="9" s="1"/>
  <c r="P93" i="9"/>
  <c r="P92" i="9"/>
  <c r="P91" i="9"/>
  <c r="P90" i="9"/>
  <c r="P88" i="9"/>
  <c r="P87" i="9"/>
  <c r="P85" i="9"/>
  <c r="P83" i="9"/>
  <c r="P82" i="9"/>
  <c r="P81" i="9"/>
  <c r="P80" i="9"/>
  <c r="P79" i="9"/>
  <c r="L78" i="9"/>
  <c r="K78" i="9"/>
  <c r="J78" i="9"/>
  <c r="I78" i="9"/>
  <c r="P78" i="9" s="1"/>
  <c r="L74" i="9"/>
  <c r="K74" i="9"/>
  <c r="J74" i="9"/>
  <c r="I74" i="9"/>
  <c r="P71" i="9"/>
  <c r="P69" i="9"/>
  <c r="P68" i="9"/>
  <c r="P67" i="9"/>
  <c r="AE217" i="8"/>
  <c r="F217" i="8" s="1"/>
  <c r="F216" i="8" s="1"/>
  <c r="AG216" i="8"/>
  <c r="AF216" i="8"/>
  <c r="AD216" i="8"/>
  <c r="AC216" i="8"/>
  <c r="AB216" i="8"/>
  <c r="AA216" i="8"/>
  <c r="Z216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E216" i="8"/>
  <c r="AE215" i="8"/>
  <c r="F215" i="8" s="1"/>
  <c r="F214" i="8" s="1"/>
  <c r="AG214" i="8"/>
  <c r="AF214" i="8"/>
  <c r="AD214" i="8"/>
  <c r="AC214" i="8"/>
  <c r="AB214" i="8"/>
  <c r="AA214" i="8"/>
  <c r="Z214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AE213" i="8"/>
  <c r="F213" i="8" s="1"/>
  <c r="F212" i="8" s="1"/>
  <c r="AG212" i="8"/>
  <c r="AF212" i="8"/>
  <c r="AD212" i="8"/>
  <c r="AC212" i="8"/>
  <c r="AB212" i="8"/>
  <c r="AA212" i="8"/>
  <c r="Z212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E212" i="8"/>
  <c r="AE211" i="8"/>
  <c r="F211" i="8" s="1"/>
  <c r="AE210" i="8"/>
  <c r="F210" i="8" s="1"/>
  <c r="AG209" i="8"/>
  <c r="AF209" i="8"/>
  <c r="AD209" i="8"/>
  <c r="AC209" i="8"/>
  <c r="AB209" i="8"/>
  <c r="AA209" i="8"/>
  <c r="Z209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E209" i="8"/>
  <c r="AE208" i="8"/>
  <c r="F208" i="8" s="1"/>
  <c r="F207" i="8" s="1"/>
  <c r="AG207" i="8"/>
  <c r="AF207" i="8"/>
  <c r="AD207" i="8"/>
  <c r="AC207" i="8"/>
  <c r="AB207" i="8"/>
  <c r="AA207" i="8"/>
  <c r="Z207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E207" i="8"/>
  <c r="AE206" i="8"/>
  <c r="F206" i="8" s="1"/>
  <c r="F205" i="8" s="1"/>
  <c r="AG205" i="8"/>
  <c r="AF205" i="8"/>
  <c r="AD205" i="8"/>
  <c r="AC205" i="8"/>
  <c r="AB205" i="8"/>
  <c r="AA205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E205" i="8"/>
  <c r="AE204" i="8"/>
  <c r="F204" i="8" s="1"/>
  <c r="F203" i="8" s="1"/>
  <c r="AG203" i="8"/>
  <c r="AF203" i="8"/>
  <c r="AD203" i="8"/>
  <c r="AC203" i="8"/>
  <c r="AB203" i="8"/>
  <c r="AA203" i="8"/>
  <c r="Z203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E203" i="8"/>
  <c r="AE202" i="8"/>
  <c r="AE201" i="8" s="1"/>
  <c r="AG201" i="8"/>
  <c r="AF201" i="8"/>
  <c r="AD201" i="8"/>
  <c r="AC201" i="8"/>
  <c r="AB201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E201" i="8"/>
  <c r="F200" i="8"/>
  <c r="F199" i="8" s="1"/>
  <c r="AG199" i="8"/>
  <c r="AF199" i="8"/>
  <c r="AE199" i="8"/>
  <c r="AD199" i="8"/>
  <c r="AC199" i="8"/>
  <c r="AB199" i="8"/>
  <c r="AA199" i="8"/>
  <c r="Z199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E199" i="8"/>
  <c r="F198" i="8"/>
  <c r="F197" i="8" s="1"/>
  <c r="AG197" i="8"/>
  <c r="AF197" i="8"/>
  <c r="AE197" i="8"/>
  <c r="AD197" i="8"/>
  <c r="AC197" i="8"/>
  <c r="AB197" i="8"/>
  <c r="AA197" i="8"/>
  <c r="Z197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E197" i="8"/>
  <c r="AE196" i="8"/>
  <c r="F196" i="8" s="1"/>
  <c r="AE195" i="8"/>
  <c r="F195" i="8" s="1"/>
  <c r="AE194" i="8"/>
  <c r="F194" i="8" s="1"/>
  <c r="AG193" i="8"/>
  <c r="AF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E193" i="8"/>
  <c r="AE192" i="8"/>
  <c r="F192" i="8" s="1"/>
  <c r="AE190" i="8"/>
  <c r="AE189" i="8" s="1"/>
  <c r="AG189" i="8"/>
  <c r="AF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E189" i="8"/>
  <c r="AE188" i="8"/>
  <c r="F188" i="8" s="1"/>
  <c r="F187" i="8" s="1"/>
  <c r="AG187" i="8"/>
  <c r="AF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E187" i="8"/>
  <c r="AE186" i="8"/>
  <c r="F186" i="8" s="1"/>
  <c r="AE185" i="8"/>
  <c r="AE184" i="8"/>
  <c r="F184" i="8" s="1"/>
  <c r="AG183" i="8"/>
  <c r="AF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E183" i="8"/>
  <c r="AE182" i="8"/>
  <c r="F182" i="8" s="1"/>
  <c r="AE181" i="8"/>
  <c r="F181" i="8" s="1"/>
  <c r="AG180" i="8"/>
  <c r="AF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E180" i="8"/>
  <c r="AE179" i="8"/>
  <c r="F179" i="8" s="1"/>
  <c r="AE178" i="8"/>
  <c r="F178" i="8" s="1"/>
  <c r="AG177" i="8"/>
  <c r="AF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E177" i="8"/>
  <c r="F176" i="8"/>
  <c r="F175" i="8" s="1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E175" i="8"/>
  <c r="AE174" i="8"/>
  <c r="F174" i="8" s="1"/>
  <c r="AE173" i="8"/>
  <c r="F173" i="8" s="1"/>
  <c r="AE172" i="8"/>
  <c r="F172" i="8" s="1"/>
  <c r="AE171" i="8"/>
  <c r="F171" i="8" s="1"/>
  <c r="AG170" i="8"/>
  <c r="AF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E170" i="8"/>
  <c r="AE169" i="8"/>
  <c r="F169" i="8" s="1"/>
  <c r="F168" i="8" s="1"/>
  <c r="AG168" i="8"/>
  <c r="AF168" i="8"/>
  <c r="AD168" i="8"/>
  <c r="AC168" i="8"/>
  <c r="AB168" i="8"/>
  <c r="AA168" i="8"/>
  <c r="Z168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E168" i="8"/>
  <c r="AE167" i="8"/>
  <c r="F167" i="8" s="1"/>
  <c r="AE166" i="8"/>
  <c r="F166" i="8" s="1"/>
  <c r="AG165" i="8"/>
  <c r="AF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E165" i="8"/>
  <c r="F164" i="8"/>
  <c r="F163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E162" i="8"/>
  <c r="AE161" i="8"/>
  <c r="F161" i="8" s="1"/>
  <c r="AE160" i="8"/>
  <c r="F160" i="8" s="1"/>
  <c r="AE159" i="8"/>
  <c r="F159" i="8" s="1"/>
  <c r="AE158" i="8"/>
  <c r="F158" i="8" s="1"/>
  <c r="AE157" i="8"/>
  <c r="F157" i="8" s="1"/>
  <c r="AG156" i="8"/>
  <c r="AF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E156" i="8"/>
  <c r="AE155" i="8"/>
  <c r="F155" i="8" s="1"/>
  <c r="AE154" i="8"/>
  <c r="F154" i="8" s="1"/>
  <c r="AE153" i="8"/>
  <c r="F153" i="8" s="1"/>
  <c r="AE152" i="8"/>
  <c r="F152" i="8" s="1"/>
  <c r="AE151" i="8"/>
  <c r="F151" i="8" s="1"/>
  <c r="F150" i="8"/>
  <c r="AE149" i="8"/>
  <c r="F149" i="8" s="1"/>
  <c r="F148" i="8"/>
  <c r="AE147" i="8"/>
  <c r="F147" i="8" s="1"/>
  <c r="F146" i="8"/>
  <c r="F145" i="8"/>
  <c r="AE144" i="8"/>
  <c r="F144" i="8" s="1"/>
  <c r="F143" i="8"/>
  <c r="AE142" i="8"/>
  <c r="F142" i="8" s="1"/>
  <c r="F141" i="8"/>
  <c r="AG140" i="8"/>
  <c r="AF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E140" i="8"/>
  <c r="AE139" i="8"/>
  <c r="F139" i="8" s="1"/>
  <c r="AE138" i="8"/>
  <c r="F138" i="8" s="1"/>
  <c r="AE137" i="8"/>
  <c r="F137" i="8" s="1"/>
  <c r="AE136" i="8"/>
  <c r="F136" i="8" s="1"/>
  <c r="AE135" i="8"/>
  <c r="F135" i="8" s="1"/>
  <c r="AE134" i="8"/>
  <c r="F134" i="8" s="1"/>
  <c r="AE133" i="8"/>
  <c r="F133" i="8" s="1"/>
  <c r="AE132" i="8"/>
  <c r="F132" i="8" s="1"/>
  <c r="AE131" i="8"/>
  <c r="F131" i="8" s="1"/>
  <c r="AE130" i="8"/>
  <c r="F130" i="8" s="1"/>
  <c r="AE129" i="8"/>
  <c r="F129" i="8" s="1"/>
  <c r="AE128" i="8"/>
  <c r="F128" i="8" s="1"/>
  <c r="AE127" i="8"/>
  <c r="F127" i="8" s="1"/>
  <c r="AE126" i="8"/>
  <c r="F126" i="8" s="1"/>
  <c r="AE125" i="8"/>
  <c r="F125" i="8" s="1"/>
  <c r="AE124" i="8"/>
  <c r="F124" i="8" s="1"/>
  <c r="AE123" i="8"/>
  <c r="F123" i="8" s="1"/>
  <c r="AE122" i="8"/>
  <c r="F122" i="8" s="1"/>
  <c r="AE121" i="8"/>
  <c r="F121" i="8" s="1"/>
  <c r="AE120" i="8"/>
  <c r="F120" i="8" s="1"/>
  <c r="AE119" i="8"/>
  <c r="F119" i="8" s="1"/>
  <c r="AE118" i="8"/>
  <c r="F118" i="8" s="1"/>
  <c r="AE117" i="8"/>
  <c r="F117" i="8" s="1"/>
  <c r="AE116" i="8"/>
  <c r="F116" i="8" s="1"/>
  <c r="AE115" i="8"/>
  <c r="F115" i="8" s="1"/>
  <c r="AE114" i="8"/>
  <c r="F114" i="8" s="1"/>
  <c r="AE113" i="8"/>
  <c r="F113" i="8" s="1"/>
  <c r="AE112" i="8"/>
  <c r="F112" i="8" s="1"/>
  <c r="AE111" i="8"/>
  <c r="F111" i="8" s="1"/>
  <c r="AE110" i="8"/>
  <c r="F110" i="8" s="1"/>
  <c r="AG109" i="8"/>
  <c r="AF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E109" i="8"/>
  <c r="AE108" i="8"/>
  <c r="F108" i="8" s="1"/>
  <c r="AE107" i="8"/>
  <c r="F107" i="8" s="1"/>
  <c r="AE106" i="8"/>
  <c r="F106" i="8" s="1"/>
  <c r="AE105" i="8"/>
  <c r="F105" i="8" s="1"/>
  <c r="AG104" i="8"/>
  <c r="AF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E104" i="8"/>
  <c r="AE103" i="8"/>
  <c r="F103" i="8" s="1"/>
  <c r="AE102" i="8"/>
  <c r="F102" i="8" s="1"/>
  <c r="AE101" i="8"/>
  <c r="F101" i="8" s="1"/>
  <c r="AE100" i="8"/>
  <c r="F100" i="8" s="1"/>
  <c r="AE99" i="8"/>
  <c r="F99" i="8" s="1"/>
  <c r="AE98" i="8"/>
  <c r="F98" i="8" s="1"/>
  <c r="AE97" i="8"/>
  <c r="F97" i="8" s="1"/>
  <c r="AG96" i="8"/>
  <c r="AF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E96" i="8"/>
  <c r="AE95" i="8"/>
  <c r="F95" i="8" s="1"/>
  <c r="AE94" i="8"/>
  <c r="F94" i="8" s="1"/>
  <c r="AE93" i="8"/>
  <c r="F93" i="8" s="1"/>
  <c r="AE92" i="8"/>
  <c r="F92" i="8" s="1"/>
  <c r="AE91" i="8"/>
  <c r="F91" i="8" s="1"/>
  <c r="AE90" i="8"/>
  <c r="F90" i="8" s="1"/>
  <c r="AE89" i="8"/>
  <c r="F89" i="8" s="1"/>
  <c r="AE88" i="8"/>
  <c r="F88" i="8" s="1"/>
  <c r="AE87" i="8"/>
  <c r="F87" i="8" s="1"/>
  <c r="AE86" i="8"/>
  <c r="F86" i="8" s="1"/>
  <c r="AE85" i="8"/>
  <c r="F85" i="8" s="1"/>
  <c r="AE84" i="8"/>
  <c r="F84" i="8" s="1"/>
  <c r="AE83" i="8"/>
  <c r="F83" i="8" s="1"/>
  <c r="AE82" i="8"/>
  <c r="F82" i="8" s="1"/>
  <c r="AE81" i="8"/>
  <c r="F81" i="8" s="1"/>
  <c r="AE80" i="8"/>
  <c r="AG79" i="8"/>
  <c r="AF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E79" i="8"/>
  <c r="AE78" i="8"/>
  <c r="F78" i="8" s="1"/>
  <c r="AE77" i="8"/>
  <c r="F77" i="8" s="1"/>
  <c r="B77" i="8"/>
  <c r="AE76" i="8"/>
  <c r="F76" i="8" s="1"/>
  <c r="B76" i="8"/>
  <c r="AG75" i="8"/>
  <c r="AF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E75" i="8"/>
  <c r="AE74" i="8"/>
  <c r="F74" i="8" s="1"/>
  <c r="B74" i="8"/>
  <c r="AE73" i="8"/>
  <c r="F73" i="8" s="1"/>
  <c r="B73" i="8"/>
  <c r="AE72" i="8"/>
  <c r="F72" i="8" s="1"/>
  <c r="B72" i="8"/>
  <c r="AE71" i="8"/>
  <c r="F71" i="8" s="1"/>
  <c r="B71" i="8"/>
  <c r="AE70" i="8"/>
  <c r="F70" i="8" s="1"/>
  <c r="B70" i="8"/>
  <c r="AE69" i="8"/>
  <c r="F69" i="8" s="1"/>
  <c r="B69" i="8"/>
  <c r="AG68" i="8"/>
  <c r="AF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E68" i="8"/>
  <c r="J66" i="9" l="1"/>
  <c r="K66" i="9"/>
  <c r="L66" i="9"/>
  <c r="I66" i="9"/>
  <c r="AE79" i="8"/>
  <c r="F162" i="8"/>
  <c r="F190" i="8"/>
  <c r="F189" i="8" s="1"/>
  <c r="F165" i="8"/>
  <c r="F177" i="8"/>
  <c r="N67" i="8"/>
  <c r="V67" i="8"/>
  <c r="Z67" i="8"/>
  <c r="AD67" i="8"/>
  <c r="F104" i="8"/>
  <c r="AE168" i="8"/>
  <c r="J67" i="8"/>
  <c r="R67" i="8"/>
  <c r="G67" i="8"/>
  <c r="W67" i="8"/>
  <c r="AA67" i="8"/>
  <c r="AE183" i="8"/>
  <c r="AE205" i="8"/>
  <c r="K67" i="8"/>
  <c r="S67" i="8"/>
  <c r="AE75" i="8"/>
  <c r="AG67" i="8"/>
  <c r="AE187" i="8"/>
  <c r="AE212" i="8"/>
  <c r="F68" i="8"/>
  <c r="I67" i="8"/>
  <c r="M67" i="8"/>
  <c r="Q67" i="8"/>
  <c r="U67" i="8"/>
  <c r="Y67" i="8"/>
  <c r="AC67" i="8"/>
  <c r="AE104" i="8"/>
  <c r="F109" i="8"/>
  <c r="AF67" i="8"/>
  <c r="F156" i="8"/>
  <c r="F170" i="8"/>
  <c r="F193" i="8"/>
  <c r="AE209" i="8"/>
  <c r="AE216" i="8"/>
  <c r="O67" i="8"/>
  <c r="F75" i="8"/>
  <c r="F140" i="8"/>
  <c r="AE207" i="8"/>
  <c r="F80" i="8"/>
  <c r="F79" i="8" s="1"/>
  <c r="H67" i="8"/>
  <c r="L67" i="8"/>
  <c r="P67" i="8"/>
  <c r="T67" i="8"/>
  <c r="X67" i="8"/>
  <c r="AB67" i="8"/>
  <c r="F180" i="8"/>
  <c r="F209" i="8"/>
  <c r="AE177" i="8"/>
  <c r="F185" i="8"/>
  <c r="F183" i="8" s="1"/>
  <c r="F202" i="8"/>
  <c r="F201" i="8" s="1"/>
  <c r="P74" i="9"/>
  <c r="P66" i="9" s="1"/>
  <c r="F96" i="8"/>
  <c r="AE156" i="8"/>
  <c r="AE96" i="8"/>
  <c r="AE109" i="8"/>
  <c r="AE165" i="8"/>
  <c r="AE170" i="8"/>
  <c r="AE180" i="8"/>
  <c r="AE193" i="8"/>
  <c r="AE203" i="8"/>
  <c r="AE214" i="8"/>
  <c r="AE68" i="8"/>
  <c r="AE140" i="8"/>
  <c r="F67" i="8" l="1"/>
  <c r="AE67" i="8"/>
  <c r="AC1279" i="7" l="1"/>
  <c r="AE1276" i="7" l="1"/>
  <c r="AD1276" i="7"/>
  <c r="AB1276" i="7"/>
  <c r="AA1276" i="7"/>
  <c r="Z1276" i="7"/>
  <c r="Y1276" i="7"/>
  <c r="X1276" i="7"/>
  <c r="W1276" i="7"/>
  <c r="V1276" i="7"/>
  <c r="U1276" i="7"/>
  <c r="T1276" i="7"/>
  <c r="S1276" i="7"/>
  <c r="R1276" i="7"/>
  <c r="Q1276" i="7"/>
  <c r="P1276" i="7"/>
  <c r="O1276" i="7"/>
  <c r="N1276" i="7"/>
  <c r="M1276" i="7"/>
  <c r="L1276" i="7"/>
  <c r="K1276" i="7"/>
  <c r="J1276" i="7"/>
  <c r="I1276" i="7"/>
  <c r="H1276" i="7"/>
  <c r="G1276" i="7"/>
  <c r="F1276" i="7"/>
  <c r="E1276" i="7"/>
  <c r="D1279" i="7"/>
  <c r="AC1278" i="7"/>
  <c r="D1278" i="7" s="1"/>
  <c r="AC1281" i="7" l="1"/>
  <c r="AC1277" i="7"/>
  <c r="D1277" i="7" l="1"/>
  <c r="D1276" i="7" s="1"/>
  <c r="AC1276" i="7"/>
  <c r="D628" i="7" l="1"/>
  <c r="B628" i="7"/>
  <c r="D42" i="7" l="1"/>
  <c r="CB42" i="7"/>
  <c r="AR42" i="7"/>
  <c r="B42" i="7"/>
  <c r="B748" i="7" l="1"/>
  <c r="AC749" i="7"/>
  <c r="D749" i="7" s="1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AC200" i="7"/>
  <c r="D200" i="7" s="1"/>
  <c r="AC751" i="7"/>
  <c r="D751" i="7" l="1"/>
  <c r="D6" i="12" l="1"/>
  <c r="E6" i="12" s="1"/>
  <c r="D165" i="12"/>
  <c r="B165" i="12"/>
  <c r="D164" i="12"/>
  <c r="B164" i="12"/>
  <c r="AA163" i="12"/>
  <c r="Z163" i="12"/>
  <c r="Y163" i="12"/>
  <c r="X163" i="12"/>
  <c r="W163" i="12"/>
  <c r="V163" i="12"/>
  <c r="U163" i="12"/>
  <c r="T163" i="12"/>
  <c r="S163" i="12"/>
  <c r="R163" i="12"/>
  <c r="Q163" i="12"/>
  <c r="P163" i="12"/>
  <c r="O163" i="12"/>
  <c r="N163" i="12"/>
  <c r="M163" i="12"/>
  <c r="L163" i="12"/>
  <c r="K163" i="12"/>
  <c r="J163" i="12"/>
  <c r="I163" i="12"/>
  <c r="H163" i="12"/>
  <c r="G163" i="12"/>
  <c r="F163" i="12"/>
  <c r="E163" i="12"/>
  <c r="D162" i="12"/>
  <c r="D161" i="12" s="1"/>
  <c r="B162" i="12"/>
  <c r="AA161" i="12"/>
  <c r="Z161" i="12"/>
  <c r="Y161" i="12"/>
  <c r="X161" i="12"/>
  <c r="W161" i="12"/>
  <c r="V161" i="12"/>
  <c r="U161" i="12"/>
  <c r="T161" i="12"/>
  <c r="S161" i="12"/>
  <c r="R161" i="12"/>
  <c r="Q161" i="12"/>
  <c r="P161" i="12"/>
  <c r="O161" i="12"/>
  <c r="N161" i="12"/>
  <c r="M161" i="12"/>
  <c r="L161" i="12"/>
  <c r="K161" i="12"/>
  <c r="J161" i="12"/>
  <c r="I161" i="12"/>
  <c r="H161" i="12"/>
  <c r="G161" i="12"/>
  <c r="F161" i="12"/>
  <c r="E161" i="12"/>
  <c r="D160" i="12"/>
  <c r="B160" i="12"/>
  <c r="D159" i="12"/>
  <c r="B159" i="12"/>
  <c r="D158" i="12"/>
  <c r="B158" i="12"/>
  <c r="AA157" i="12"/>
  <c r="Z157" i="12"/>
  <c r="Y157" i="12"/>
  <c r="X157" i="12"/>
  <c r="W157" i="12"/>
  <c r="V157" i="12"/>
  <c r="U157" i="12"/>
  <c r="T157" i="12"/>
  <c r="S157" i="12"/>
  <c r="R157" i="12"/>
  <c r="Q157" i="12"/>
  <c r="P157" i="12"/>
  <c r="O157" i="12"/>
  <c r="N157" i="12"/>
  <c r="M157" i="12"/>
  <c r="L157" i="12"/>
  <c r="K157" i="12"/>
  <c r="J157" i="12"/>
  <c r="I157" i="12"/>
  <c r="H157" i="12"/>
  <c r="G157" i="12"/>
  <c r="F157" i="12"/>
  <c r="E157" i="12"/>
  <c r="D156" i="12"/>
  <c r="B156" i="12"/>
  <c r="D155" i="12"/>
  <c r="B155" i="12"/>
  <c r="D154" i="12"/>
  <c r="B154" i="12"/>
  <c r="D153" i="12"/>
  <c r="B153" i="12"/>
  <c r="D152" i="12"/>
  <c r="B152" i="12"/>
  <c r="D151" i="12"/>
  <c r="B151" i="12"/>
  <c r="D150" i="12"/>
  <c r="B150" i="12"/>
  <c r="D149" i="12"/>
  <c r="B149" i="12"/>
  <c r="D148" i="12"/>
  <c r="B148" i="12"/>
  <c r="D147" i="12"/>
  <c r="B147" i="12"/>
  <c r="D146" i="12"/>
  <c r="B146" i="12"/>
  <c r="D145" i="12"/>
  <c r="B145" i="12"/>
  <c r="D144" i="12"/>
  <c r="B144" i="12"/>
  <c r="D143" i="12"/>
  <c r="B143" i="12"/>
  <c r="D142" i="12"/>
  <c r="B142" i="12"/>
  <c r="D141" i="12"/>
  <c r="B141" i="12"/>
  <c r="D140" i="12"/>
  <c r="B140" i="12"/>
  <c r="D139" i="12"/>
  <c r="B139" i="12"/>
  <c r="AA138" i="12"/>
  <c r="Z138" i="12"/>
  <c r="Y138" i="12"/>
  <c r="X138" i="12"/>
  <c r="W138" i="12"/>
  <c r="V138" i="12"/>
  <c r="U138" i="12"/>
  <c r="T138" i="12"/>
  <c r="S138" i="12"/>
  <c r="R138" i="12"/>
  <c r="Q138" i="12"/>
  <c r="P138" i="12"/>
  <c r="O138" i="12"/>
  <c r="N138" i="12"/>
  <c r="M138" i="12"/>
  <c r="L138" i="12"/>
  <c r="K138" i="12"/>
  <c r="J138" i="12"/>
  <c r="I138" i="12"/>
  <c r="H138" i="12"/>
  <c r="G138" i="12"/>
  <c r="F138" i="12"/>
  <c r="E138" i="12"/>
  <c r="D137" i="12"/>
  <c r="B137" i="12"/>
  <c r="D136" i="12"/>
  <c r="B136" i="12"/>
  <c r="D135" i="12"/>
  <c r="B135" i="12"/>
  <c r="D134" i="12"/>
  <c r="B134" i="12"/>
  <c r="D133" i="12"/>
  <c r="B133" i="12"/>
  <c r="D132" i="12"/>
  <c r="B132" i="12"/>
  <c r="D131" i="12"/>
  <c r="B131" i="12"/>
  <c r="D130" i="12"/>
  <c r="B130" i="12"/>
  <c r="D129" i="12"/>
  <c r="B129" i="12"/>
  <c r="D128" i="12"/>
  <c r="B128" i="12"/>
  <c r="D127" i="12"/>
  <c r="B127" i="12"/>
  <c r="D126" i="12"/>
  <c r="B126" i="12"/>
  <c r="D125" i="12"/>
  <c r="B125" i="12"/>
  <c r="D124" i="12"/>
  <c r="B124" i="12"/>
  <c r="AA123" i="12"/>
  <c r="Z123" i="12"/>
  <c r="Y123" i="12"/>
  <c r="X123" i="12"/>
  <c r="W123" i="12"/>
  <c r="V123" i="12"/>
  <c r="U123" i="12"/>
  <c r="T123" i="12"/>
  <c r="S123" i="12"/>
  <c r="R123" i="12"/>
  <c r="Q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D122" i="12"/>
  <c r="D121" i="12" s="1"/>
  <c r="B122" i="12"/>
  <c r="AA121" i="12"/>
  <c r="Z121" i="12"/>
  <c r="Y121" i="12"/>
  <c r="X121" i="12"/>
  <c r="W121" i="12"/>
  <c r="V121" i="12"/>
  <c r="U121" i="12"/>
  <c r="T121" i="12"/>
  <c r="S121" i="12"/>
  <c r="R121" i="12"/>
  <c r="Q121" i="12"/>
  <c r="P121" i="12"/>
  <c r="O121" i="12"/>
  <c r="N121" i="12"/>
  <c r="M121" i="12"/>
  <c r="L121" i="12"/>
  <c r="K121" i="12"/>
  <c r="J121" i="12"/>
  <c r="I121" i="12"/>
  <c r="H121" i="12"/>
  <c r="G121" i="12"/>
  <c r="F121" i="12"/>
  <c r="E121" i="12"/>
  <c r="D120" i="12"/>
  <c r="B120" i="12"/>
  <c r="D119" i="12"/>
  <c r="B119" i="12"/>
  <c r="D118" i="12"/>
  <c r="B118" i="12"/>
  <c r="D117" i="12"/>
  <c r="B117" i="12"/>
  <c r="AA116" i="12"/>
  <c r="Z116" i="12"/>
  <c r="Y116" i="12"/>
  <c r="X116" i="12"/>
  <c r="W116" i="12"/>
  <c r="V116" i="12"/>
  <c r="U116" i="12"/>
  <c r="T116" i="12"/>
  <c r="S116" i="12"/>
  <c r="R116" i="12"/>
  <c r="Q116" i="12"/>
  <c r="P116" i="12"/>
  <c r="O116" i="12"/>
  <c r="N116" i="12"/>
  <c r="M116" i="12"/>
  <c r="L116" i="12"/>
  <c r="K116" i="12"/>
  <c r="J116" i="12"/>
  <c r="I116" i="12"/>
  <c r="H116" i="12"/>
  <c r="G116" i="12"/>
  <c r="F116" i="12"/>
  <c r="E116" i="12"/>
  <c r="D115" i="12"/>
  <c r="B115" i="12"/>
  <c r="D114" i="12"/>
  <c r="B114" i="12"/>
  <c r="D113" i="12"/>
  <c r="B113" i="12"/>
  <c r="D112" i="12"/>
  <c r="B112" i="12"/>
  <c r="D111" i="12"/>
  <c r="B111" i="12"/>
  <c r="D110" i="12"/>
  <c r="B110" i="12"/>
  <c r="D109" i="12"/>
  <c r="B109" i="12"/>
  <c r="D108" i="12"/>
  <c r="B108" i="12"/>
  <c r="D107" i="12"/>
  <c r="B107" i="12"/>
  <c r="D106" i="12"/>
  <c r="B106" i="12"/>
  <c r="D105" i="12"/>
  <c r="B105" i="12"/>
  <c r="L104" i="12"/>
  <c r="D104" i="12" s="1"/>
  <c r="B104" i="12"/>
  <c r="D103" i="12"/>
  <c r="B103" i="12"/>
  <c r="D102" i="12"/>
  <c r="B102" i="12"/>
  <c r="D101" i="12"/>
  <c r="B101" i="12"/>
  <c r="L100" i="12"/>
  <c r="D100" i="12" s="1"/>
  <c r="B100" i="12"/>
  <c r="D99" i="12"/>
  <c r="B99" i="12"/>
  <c r="D98" i="12"/>
  <c r="B98" i="12"/>
  <c r="D97" i="12"/>
  <c r="B97" i="12"/>
  <c r="L96" i="12"/>
  <c r="D96" i="12" s="1"/>
  <c r="B96" i="12"/>
  <c r="D95" i="12"/>
  <c r="B95" i="12"/>
  <c r="D94" i="12"/>
  <c r="B94" i="12"/>
  <c r="D93" i="12"/>
  <c r="B93" i="12"/>
  <c r="AA92" i="12"/>
  <c r="Z92" i="12"/>
  <c r="Y92" i="12"/>
  <c r="X92" i="12"/>
  <c r="W92" i="12"/>
  <c r="V92" i="12"/>
  <c r="U92" i="12"/>
  <c r="T92" i="12"/>
  <c r="S92" i="12"/>
  <c r="R92" i="12"/>
  <c r="Q92" i="12"/>
  <c r="P92" i="12"/>
  <c r="O92" i="12"/>
  <c r="N92" i="12"/>
  <c r="M92" i="12"/>
  <c r="K92" i="12"/>
  <c r="J92" i="12"/>
  <c r="I92" i="12"/>
  <c r="H92" i="12"/>
  <c r="G92" i="12"/>
  <c r="F92" i="12"/>
  <c r="E92" i="12"/>
  <c r="D91" i="12"/>
  <c r="B91" i="12"/>
  <c r="D90" i="12"/>
  <c r="B90" i="12"/>
  <c r="D89" i="12"/>
  <c r="B89" i="12"/>
  <c r="D88" i="12"/>
  <c r="B88" i="12"/>
  <c r="AA87" i="12"/>
  <c r="Z87" i="12"/>
  <c r="Y87" i="12"/>
  <c r="X87" i="12"/>
  <c r="W87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E87" i="12"/>
  <c r="D86" i="12"/>
  <c r="B86" i="12"/>
  <c r="D85" i="12"/>
  <c r="B85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3" i="12"/>
  <c r="B83" i="12"/>
  <c r="D82" i="12"/>
  <c r="B82" i="12"/>
  <c r="D81" i="12"/>
  <c r="B81" i="12"/>
  <c r="D80" i="12"/>
  <c r="B80" i="12"/>
  <c r="D79" i="12"/>
  <c r="B79" i="12"/>
  <c r="D78" i="12"/>
  <c r="B78" i="12"/>
  <c r="D77" i="12"/>
  <c r="B77" i="12"/>
  <c r="D76" i="12"/>
  <c r="B76" i="12"/>
  <c r="D75" i="12"/>
  <c r="B75" i="12"/>
  <c r="D74" i="12"/>
  <c r="B74" i="12"/>
  <c r="D73" i="12"/>
  <c r="B73" i="12"/>
  <c r="D72" i="12"/>
  <c r="B72" i="12"/>
  <c r="D71" i="12"/>
  <c r="B71" i="12"/>
  <c r="D70" i="12"/>
  <c r="B70" i="12"/>
  <c r="D69" i="12"/>
  <c r="B69" i="12"/>
  <c r="D68" i="12"/>
  <c r="B68" i="12"/>
  <c r="D67" i="12"/>
  <c r="B67" i="12"/>
  <c r="D66" i="12"/>
  <c r="B66" i="12"/>
  <c r="D65" i="12"/>
  <c r="B65" i="12"/>
  <c r="D64" i="12"/>
  <c r="B64" i="12"/>
  <c r="D63" i="12"/>
  <c r="B63" i="12"/>
  <c r="D62" i="12"/>
  <c r="B62" i="12"/>
  <c r="D61" i="12"/>
  <c r="B61" i="12"/>
  <c r="D60" i="12"/>
  <c r="B60" i="12"/>
  <c r="D59" i="12"/>
  <c r="B59" i="12"/>
  <c r="D58" i="12"/>
  <c r="B58" i="12"/>
  <c r="D57" i="12"/>
  <c r="B57" i="12"/>
  <c r="D56" i="12"/>
  <c r="B56" i="12"/>
  <c r="D55" i="12"/>
  <c r="B55" i="12"/>
  <c r="D54" i="12"/>
  <c r="B54" i="12"/>
  <c r="D53" i="12"/>
  <c r="B53" i="12"/>
  <c r="D52" i="12"/>
  <c r="B52" i="12"/>
  <c r="D51" i="12"/>
  <c r="B51" i="12"/>
  <c r="B50" i="12"/>
  <c r="D49" i="12"/>
  <c r="B49" i="12"/>
  <c r="D48" i="12"/>
  <c r="B48" i="12"/>
  <c r="D47" i="12"/>
  <c r="B47" i="12"/>
  <c r="D46" i="12"/>
  <c r="B46" i="12"/>
  <c r="D45" i="12"/>
  <c r="B45" i="12"/>
  <c r="D44" i="12"/>
  <c r="B44" i="12"/>
  <c r="D43" i="12"/>
  <c r="B43" i="12"/>
  <c r="D42" i="12"/>
  <c r="B42" i="12"/>
  <c r="D41" i="12"/>
  <c r="B41" i="12"/>
  <c r="D40" i="12"/>
  <c r="B40" i="12"/>
  <c r="D39" i="12"/>
  <c r="B39" i="12"/>
  <c r="D38" i="12"/>
  <c r="B38" i="12"/>
  <c r="D37" i="12"/>
  <c r="B37" i="12"/>
  <c r="D36" i="12"/>
  <c r="B36" i="12"/>
  <c r="D35" i="12"/>
  <c r="B35" i="12"/>
  <c r="D34" i="12"/>
  <c r="B34" i="12"/>
  <c r="D33" i="12"/>
  <c r="B33" i="12"/>
  <c r="D32" i="12"/>
  <c r="B32" i="12"/>
  <c r="D31" i="12"/>
  <c r="B31" i="12"/>
  <c r="L30" i="12"/>
  <c r="D30" i="12" s="1"/>
  <c r="B30" i="12"/>
  <c r="G29" i="12"/>
  <c r="D29" i="12" s="1"/>
  <c r="B29" i="12"/>
  <c r="D28" i="12"/>
  <c r="B28" i="12"/>
  <c r="L27" i="12"/>
  <c r="D27" i="12" s="1"/>
  <c r="B27" i="12"/>
  <c r="D26" i="12"/>
  <c r="B26" i="12"/>
  <c r="L25" i="12"/>
  <c r="D25" i="12" s="1"/>
  <c r="B25" i="12"/>
  <c r="D24" i="12"/>
  <c r="B24" i="12"/>
  <c r="L23" i="12"/>
  <c r="B23" i="12"/>
  <c r="D22" i="12"/>
  <c r="B22" i="12"/>
  <c r="D21" i="12"/>
  <c r="B21" i="12"/>
  <c r="D20" i="12"/>
  <c r="B20" i="12"/>
  <c r="D19" i="12"/>
  <c r="B19" i="12"/>
  <c r="D18" i="12"/>
  <c r="B18" i="12"/>
  <c r="D17" i="12"/>
  <c r="B17" i="12"/>
  <c r="D16" i="12"/>
  <c r="B16" i="12"/>
  <c r="D15" i="12"/>
  <c r="B15" i="12"/>
  <c r="D14" i="12"/>
  <c r="B14" i="12"/>
  <c r="D13" i="12"/>
  <c r="B13" i="12"/>
  <c r="D12" i="12"/>
  <c r="B12" i="12"/>
  <c r="D11" i="12"/>
  <c r="B11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K10" i="12"/>
  <c r="J10" i="12"/>
  <c r="I10" i="12"/>
  <c r="H10" i="12"/>
  <c r="F10" i="12"/>
  <c r="E10" i="12"/>
  <c r="D9" i="12"/>
  <c r="D8" i="12" s="1"/>
  <c r="B9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138" i="12" l="1"/>
  <c r="W7" i="12"/>
  <c r="D123" i="12"/>
  <c r="O7" i="12"/>
  <c r="D157" i="12"/>
  <c r="E7" i="12"/>
  <c r="S7" i="12"/>
  <c r="AA7" i="12"/>
  <c r="D87" i="12"/>
  <c r="D163" i="12"/>
  <c r="K7" i="12"/>
  <c r="D84" i="12"/>
  <c r="I7" i="12"/>
  <c r="N7" i="12"/>
  <c r="R7" i="12"/>
  <c r="V7" i="12"/>
  <c r="Z7" i="12"/>
  <c r="L10" i="12"/>
  <c r="L92" i="12"/>
  <c r="J7" i="12"/>
  <c r="F7" i="12"/>
  <c r="H7" i="12"/>
  <c r="P7" i="12"/>
  <c r="T7" i="12"/>
  <c r="X7" i="12"/>
  <c r="M7" i="12"/>
  <c r="Q7" i="12"/>
  <c r="U7" i="12"/>
  <c r="Y7" i="12"/>
  <c r="D23" i="12"/>
  <c r="D10" i="12" s="1"/>
  <c r="D92" i="12"/>
  <c r="D116" i="12"/>
  <c r="G10" i="12"/>
  <c r="G7" i="12" s="1"/>
  <c r="D7" i="12" l="1"/>
  <c r="L7" i="12"/>
  <c r="AE22" i="8" l="1"/>
  <c r="F22" i="8" s="1"/>
  <c r="B22" i="8"/>
  <c r="Y12" i="11"/>
  <c r="Y11" i="11" s="1"/>
  <c r="X12" i="11"/>
  <c r="X11" i="11" s="1"/>
  <c r="W12" i="11"/>
  <c r="W11" i="11" s="1"/>
  <c r="V12" i="11"/>
  <c r="V11" i="11" s="1"/>
  <c r="U12" i="11"/>
  <c r="U11" i="11" s="1"/>
  <c r="T12" i="11"/>
  <c r="T11" i="11" s="1"/>
  <c r="S12" i="11"/>
  <c r="S11" i="11" s="1"/>
  <c r="R12" i="11"/>
  <c r="R11" i="11" s="1"/>
  <c r="E14" i="11"/>
  <c r="AB13" i="11"/>
  <c r="AB12" i="11" s="1"/>
  <c r="AB11" i="11" s="1"/>
  <c r="AA13" i="11"/>
  <c r="AA12" i="11" s="1"/>
  <c r="AA11" i="11" s="1"/>
  <c r="Z13" i="11"/>
  <c r="Z12" i="11" s="1"/>
  <c r="Z11" i="11" s="1"/>
  <c r="Q13" i="11"/>
  <c r="Q12" i="11" s="1"/>
  <c r="Q11" i="11" s="1"/>
  <c r="P13" i="11"/>
  <c r="P12" i="11" s="1"/>
  <c r="P11" i="11" s="1"/>
  <c r="O13" i="11"/>
  <c r="O12" i="11" s="1"/>
  <c r="O11" i="11" s="1"/>
  <c r="N13" i="11"/>
  <c r="N12" i="11" s="1"/>
  <c r="N11" i="11" s="1"/>
  <c r="M13" i="11"/>
  <c r="M12" i="11" s="1"/>
  <c r="M11" i="11" s="1"/>
  <c r="L13" i="11"/>
  <c r="L12" i="11" s="1"/>
  <c r="L11" i="11" s="1"/>
  <c r="K13" i="11"/>
  <c r="K12" i="11" s="1"/>
  <c r="K11" i="11" s="1"/>
  <c r="J13" i="11"/>
  <c r="J12" i="11" s="1"/>
  <c r="J11" i="11" s="1"/>
  <c r="I13" i="11"/>
  <c r="I12" i="11" s="1"/>
  <c r="I11" i="11" s="1"/>
  <c r="H13" i="11"/>
  <c r="H12" i="11" s="1"/>
  <c r="H11" i="11" s="1"/>
  <c r="G13" i="11"/>
  <c r="G12" i="11" s="1"/>
  <c r="G11" i="11" s="1"/>
  <c r="F13" i="11"/>
  <c r="F12" i="11" s="1"/>
  <c r="F11" i="11" s="1"/>
  <c r="E10" i="11"/>
  <c r="F10" i="11" s="1"/>
  <c r="K44" i="9"/>
  <c r="K43" i="9" s="1"/>
  <c r="P44" i="9"/>
  <c r="B44" i="9"/>
  <c r="L43" i="9"/>
  <c r="J43" i="9"/>
  <c r="I43" i="9"/>
  <c r="P43" i="9" s="1"/>
  <c r="AE45" i="8"/>
  <c r="F45" i="8" s="1"/>
  <c r="F44" i="8" s="1"/>
  <c r="B45" i="8"/>
  <c r="AG44" i="8"/>
  <c r="AF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E44" i="8"/>
  <c r="AE1280" i="7"/>
  <c r="AE1275" i="7" s="1"/>
  <c r="AD1280" i="7"/>
  <c r="AD1275" i="7" s="1"/>
  <c r="AB1280" i="7"/>
  <c r="AB1275" i="7" s="1"/>
  <c r="AA1280" i="7"/>
  <c r="AA1275" i="7" s="1"/>
  <c r="Z1280" i="7"/>
  <c r="Z1275" i="7" s="1"/>
  <c r="Y1280" i="7"/>
  <c r="Y1275" i="7" s="1"/>
  <c r="X1280" i="7"/>
  <c r="X1275" i="7" s="1"/>
  <c r="W1280" i="7"/>
  <c r="W1275" i="7" s="1"/>
  <c r="V1280" i="7"/>
  <c r="V1275" i="7" s="1"/>
  <c r="U1280" i="7"/>
  <c r="U1275" i="7" s="1"/>
  <c r="T1280" i="7"/>
  <c r="T1275" i="7" s="1"/>
  <c r="S1280" i="7"/>
  <c r="S1275" i="7" s="1"/>
  <c r="R1280" i="7"/>
  <c r="R1275" i="7" s="1"/>
  <c r="Q1280" i="7"/>
  <c r="Q1275" i="7" s="1"/>
  <c r="P1280" i="7"/>
  <c r="P1275" i="7" s="1"/>
  <c r="O1280" i="7"/>
  <c r="O1275" i="7" s="1"/>
  <c r="N1280" i="7"/>
  <c r="N1275" i="7" s="1"/>
  <c r="M1280" i="7"/>
  <c r="M1275" i="7" s="1"/>
  <c r="L1280" i="7"/>
  <c r="L1275" i="7" s="1"/>
  <c r="K1280" i="7"/>
  <c r="K1275" i="7" s="1"/>
  <c r="J1280" i="7"/>
  <c r="J1275" i="7" s="1"/>
  <c r="I1280" i="7"/>
  <c r="I1275" i="7" s="1"/>
  <c r="H1280" i="7"/>
  <c r="H1275" i="7" s="1"/>
  <c r="G1280" i="7"/>
  <c r="G1275" i="7" s="1"/>
  <c r="F1280" i="7"/>
  <c r="F1275" i="7" s="1"/>
  <c r="E1280" i="7"/>
  <c r="E1275" i="7" s="1"/>
  <c r="AC1280" i="7" l="1"/>
  <c r="AC1275" i="7" s="1"/>
  <c r="D1281" i="7"/>
  <c r="D1280" i="7" s="1"/>
  <c r="D1275" i="7" s="1"/>
  <c r="C38" i="4" s="1"/>
  <c r="C42" i="4" s="1"/>
  <c r="E13" i="11"/>
  <c r="E12" i="11" s="1"/>
  <c r="E11" i="11" s="1"/>
  <c r="AE44" i="8"/>
  <c r="N854" i="7" l="1"/>
  <c r="N328" i="7"/>
  <c r="L321" i="7"/>
  <c r="B160" i="7"/>
  <c r="AC713" i="7"/>
  <c r="D713" i="7" s="1"/>
  <c r="N707" i="7"/>
  <c r="B707" i="7"/>
  <c r="G711" i="7"/>
  <c r="AC711" i="7" s="1"/>
  <c r="D711" i="7" s="1"/>
  <c r="AC710" i="7"/>
  <c r="D710" i="7" s="1"/>
  <c r="G709" i="7"/>
  <c r="AC709" i="7" s="1"/>
  <c r="D709" i="7" s="1"/>
  <c r="G708" i="7"/>
  <c r="AC708" i="7" s="1"/>
  <c r="D708" i="7" s="1"/>
  <c r="N131" i="7"/>
  <c r="N134" i="7"/>
  <c r="N137" i="7"/>
  <c r="R145" i="7"/>
  <c r="R148" i="7"/>
  <c r="R160" i="7"/>
  <c r="N375" i="7"/>
  <c r="AE49" i="8"/>
  <c r="D1049" i="7"/>
  <c r="D1051" i="7"/>
  <c r="D1050" i="7"/>
  <c r="D685" i="7"/>
  <c r="B685" i="7"/>
  <c r="D684" i="7"/>
  <c r="B684" i="7"/>
  <c r="D626" i="7"/>
  <c r="B626" i="7"/>
  <c r="D627" i="7"/>
  <c r="B627" i="7"/>
  <c r="AC707" i="7" l="1"/>
  <c r="D707" i="7" s="1"/>
  <c r="M84" i="7"/>
  <c r="B117" i="7" l="1"/>
  <c r="B118" i="7"/>
  <c r="B119" i="7"/>
  <c r="B120" i="7"/>
  <c r="B121" i="7"/>
  <c r="B122" i="7"/>
  <c r="B123" i="7"/>
  <c r="B124" i="7"/>
  <c r="D117" i="7"/>
  <c r="AC143" i="7" l="1"/>
  <c r="N1167" i="7" l="1"/>
  <c r="F215" i="5" l="1"/>
  <c r="AD706" i="7"/>
  <c r="AC706" i="7"/>
  <c r="B706" i="7"/>
  <c r="D706" i="7" l="1"/>
  <c r="AC1273" i="7"/>
  <c r="AC1271" i="7"/>
  <c r="AC1270" i="7" s="1"/>
  <c r="AE1270" i="7"/>
  <c r="AD1270" i="7"/>
  <c r="AB1270" i="7"/>
  <c r="AA1270" i="7"/>
  <c r="Z1270" i="7"/>
  <c r="Y1270" i="7"/>
  <c r="X1270" i="7"/>
  <c r="W1270" i="7"/>
  <c r="V1270" i="7"/>
  <c r="U1270" i="7"/>
  <c r="T1270" i="7"/>
  <c r="S1270" i="7"/>
  <c r="R1270" i="7"/>
  <c r="Q1270" i="7"/>
  <c r="P1270" i="7"/>
  <c r="O1270" i="7"/>
  <c r="N1270" i="7"/>
  <c r="M1270" i="7"/>
  <c r="L1270" i="7"/>
  <c r="K1270" i="7"/>
  <c r="J1270" i="7"/>
  <c r="I1270" i="7"/>
  <c r="H1270" i="7"/>
  <c r="G1270" i="7"/>
  <c r="F1270" i="7"/>
  <c r="E1270" i="7"/>
  <c r="D1270" i="7"/>
  <c r="N1160" i="7" l="1"/>
  <c r="N1158" i="7" s="1"/>
  <c r="AE1158" i="7"/>
  <c r="AD1158" i="7"/>
  <c r="AB1158" i="7"/>
  <c r="AA1158" i="7"/>
  <c r="Z1158" i="7"/>
  <c r="Y1158" i="7"/>
  <c r="X1158" i="7"/>
  <c r="W1158" i="7"/>
  <c r="V1158" i="7"/>
  <c r="U1158" i="7"/>
  <c r="T1158" i="7"/>
  <c r="S1158" i="7"/>
  <c r="R1158" i="7"/>
  <c r="Q1158" i="7"/>
  <c r="P1158" i="7"/>
  <c r="O1158" i="7"/>
  <c r="M1158" i="7"/>
  <c r="L1158" i="7"/>
  <c r="K1158" i="7"/>
  <c r="J1158" i="7"/>
  <c r="I1158" i="7"/>
  <c r="H1158" i="7"/>
  <c r="G1158" i="7"/>
  <c r="F1158" i="7"/>
  <c r="E1158" i="7"/>
  <c r="AC1159" i="7"/>
  <c r="D1159" i="7" s="1"/>
  <c r="B1159" i="7"/>
  <c r="E79" i="5"/>
  <c r="V454" i="3" l="1"/>
  <c r="V458" i="3"/>
  <c r="V513" i="3"/>
  <c r="V918" i="3"/>
  <c r="V949" i="3"/>
  <c r="V385" i="3"/>
  <c r="V410" i="3"/>
  <c r="V460" i="3"/>
  <c r="V904" i="3"/>
  <c r="V921" i="3"/>
  <c r="V1131" i="3"/>
  <c r="V1247" i="3"/>
  <c r="V1251" i="3"/>
  <c r="C15" i="4"/>
  <c r="E11" i="5"/>
  <c r="E138" i="5"/>
  <c r="V1178" i="3"/>
  <c r="V412" i="3"/>
  <c r="V290" i="3"/>
  <c r="V923" i="3"/>
  <c r="V515" i="3"/>
  <c r="V869" i="3"/>
  <c r="V835" i="3"/>
  <c r="V1158" i="3"/>
  <c r="V493" i="3"/>
  <c r="V891" i="3"/>
  <c r="V278" i="3"/>
  <c r="V309" i="3"/>
  <c r="V491" i="3"/>
  <c r="V362" i="3"/>
  <c r="V840" i="3"/>
  <c r="V1187" i="3"/>
  <c r="V1219" i="3"/>
  <c r="V1195" i="3"/>
  <c r="V295" i="3"/>
  <c r="V364" i="3"/>
  <c r="V292" i="3"/>
  <c r="V1257" i="3"/>
  <c r="V155" i="3"/>
  <c r="V402" i="3"/>
  <c r="V439" i="3"/>
  <c r="V482" i="3"/>
  <c r="V500" i="3"/>
  <c r="V237" i="3"/>
  <c r="V421" i="3"/>
  <c r="V1238" i="3"/>
  <c r="V197" i="3"/>
  <c r="V301" i="3"/>
  <c r="V307" i="3"/>
  <c r="V355" i="3"/>
  <c r="V342" i="3"/>
  <c r="V271" i="3"/>
  <c r="V285" i="3"/>
  <c r="V325" i="3"/>
  <c r="V352" i="3"/>
  <c r="V380" i="3"/>
  <c r="V387" i="3"/>
  <c r="V529" i="3"/>
  <c r="V395" i="3"/>
  <c r="V425" i="3"/>
  <c r="V442" i="3"/>
  <c r="V452" i="3"/>
  <c r="V462" i="3"/>
  <c r="V526" i="3"/>
  <c r="V837" i="3"/>
  <c r="V888" i="3"/>
  <c r="V893" i="3"/>
  <c r="V392" i="3"/>
  <c r="V397" i="3"/>
  <c r="V433" i="3"/>
  <c r="V508" i="3"/>
  <c r="V510" i="3"/>
  <c r="V531" i="3"/>
  <c r="V404" i="3"/>
  <c r="V506" i="3"/>
  <c r="V546" i="3"/>
  <c r="V550" i="3"/>
  <c r="V794" i="3"/>
  <c r="V831" i="3"/>
  <c r="V865" i="3"/>
  <c r="V860" i="3"/>
  <c r="V876" i="3"/>
  <c r="V886" i="3"/>
  <c r="V909" i="3"/>
  <c r="V972" i="3"/>
  <c r="V976" i="3"/>
  <c r="V820" i="3"/>
  <c r="V873" i="3"/>
  <c r="V895" i="3"/>
  <c r="V772" i="3"/>
  <c r="V867" i="3"/>
  <c r="V911" i="3"/>
  <c r="V927" i="3"/>
  <c r="V933" i="3"/>
  <c r="V945" i="3"/>
  <c r="V1164" i="3"/>
  <c r="V800" i="3"/>
  <c r="V931" i="3"/>
  <c r="V842" i="3"/>
  <c r="V854" i="3"/>
  <c r="V863" i="3"/>
  <c r="V871" i="3"/>
  <c r="V906" i="3"/>
  <c r="V915" i="3"/>
  <c r="V982" i="3"/>
  <c r="V984" i="3"/>
  <c r="V947" i="3"/>
  <c r="V951" i="3"/>
  <c r="V943" i="3"/>
  <c r="V961" i="3"/>
  <c r="V963" i="3"/>
  <c r="V965" i="3"/>
  <c r="V1160" i="3"/>
  <c r="V1181" i="3"/>
  <c r="V1193" i="3"/>
  <c r="V1106" i="3"/>
  <c r="V1133" i="3"/>
  <c r="V1091" i="3"/>
  <c r="V1103" i="3"/>
  <c r="V1115" i="3"/>
  <c r="V1126" i="3"/>
  <c r="V1128" i="3"/>
  <c r="V1143" i="3"/>
  <c r="V1146" i="3"/>
  <c r="V1148" i="3"/>
  <c r="V1152" i="3"/>
  <c r="V1155" i="3"/>
  <c r="V1203" i="3"/>
  <c r="V1213" i="3"/>
  <c r="V1225" i="3"/>
  <c r="V1229" i="3"/>
  <c r="V1233" i="3"/>
  <c r="V1189" i="3"/>
  <c r="V1205" i="3"/>
  <c r="V1207" i="3"/>
  <c r="V1215" i="3"/>
  <c r="V1240" i="3"/>
  <c r="V1183" i="3"/>
  <c r="V1197" i="3"/>
  <c r="V1217" i="3"/>
  <c r="V1222" i="3"/>
  <c r="V1236" i="3"/>
  <c r="V1243" i="3"/>
  <c r="V1253" i="3"/>
  <c r="V957" i="3" l="1"/>
  <c r="V901" i="3"/>
  <c r="V464" i="3"/>
  <c r="D79" i="5"/>
  <c r="V470" i="3"/>
  <c r="V684" i="3"/>
  <c r="E10" i="5"/>
  <c r="V495" i="3"/>
  <c r="V1049" i="3"/>
  <c r="V826" i="3"/>
  <c r="V383" i="3"/>
  <c r="V844" i="3"/>
  <c r="V1199" i="3"/>
  <c r="V1162" i="3"/>
  <c r="V708" i="3"/>
  <c r="V1209" i="3"/>
  <c r="V1135" i="3"/>
  <c r="V540" i="3"/>
  <c r="V123" i="3"/>
  <c r="V1171" i="3"/>
  <c r="V1150" i="3"/>
  <c r="V939" i="3"/>
  <c r="V244" i="3"/>
  <c r="V517" i="3"/>
  <c r="V913" i="3"/>
  <c r="V1064" i="3"/>
  <c r="V1121" i="3"/>
  <c r="V1191" i="3"/>
  <c r="V524" i="3"/>
  <c r="V1118" i="3"/>
  <c r="V967" i="3"/>
  <c r="V1174" i="3"/>
  <c r="V1124" i="3"/>
  <c r="V987" i="3"/>
  <c r="V953" i="3"/>
  <c r="V553" i="3"/>
  <c r="V552" i="3" l="1"/>
  <c r="C19" i="4"/>
  <c r="C12" i="4"/>
  <c r="F198" i="5"/>
  <c r="E198" i="5"/>
  <c r="AC1272" i="7"/>
  <c r="AE1272" i="7"/>
  <c r="AD1272" i="7"/>
  <c r="AB1272" i="7"/>
  <c r="AA1272" i="7"/>
  <c r="Z1272" i="7"/>
  <c r="Y1272" i="7"/>
  <c r="X1272" i="7"/>
  <c r="W1272" i="7"/>
  <c r="V1272" i="7"/>
  <c r="U1272" i="7"/>
  <c r="T1272" i="7"/>
  <c r="S1272" i="7"/>
  <c r="R1272" i="7"/>
  <c r="Q1272" i="7"/>
  <c r="P1272" i="7"/>
  <c r="O1272" i="7"/>
  <c r="N1272" i="7"/>
  <c r="M1272" i="7"/>
  <c r="L1272" i="7"/>
  <c r="K1272" i="7"/>
  <c r="J1272" i="7"/>
  <c r="I1272" i="7"/>
  <c r="H1272" i="7"/>
  <c r="G1272" i="7"/>
  <c r="F1272" i="7"/>
  <c r="E1272" i="7"/>
  <c r="D1272" i="7"/>
  <c r="AC1269" i="7"/>
  <c r="AC1268" i="7" s="1"/>
  <c r="AE1268" i="7"/>
  <c r="AD1268" i="7"/>
  <c r="AB1268" i="7"/>
  <c r="AA1268" i="7"/>
  <c r="Z1268" i="7"/>
  <c r="Y1268" i="7"/>
  <c r="X1268" i="7"/>
  <c r="X1267" i="7" s="1"/>
  <c r="W1268" i="7"/>
  <c r="W1267" i="7" s="1"/>
  <c r="V1268" i="7"/>
  <c r="U1268" i="7"/>
  <c r="U1267" i="7" s="1"/>
  <c r="T1268" i="7"/>
  <c r="S1268" i="7"/>
  <c r="R1268" i="7"/>
  <c r="Q1268" i="7"/>
  <c r="P1268" i="7"/>
  <c r="P1267" i="7" s="1"/>
  <c r="O1268" i="7"/>
  <c r="N1268" i="7"/>
  <c r="M1268" i="7"/>
  <c r="L1268" i="7"/>
  <c r="L1267" i="7" s="1"/>
  <c r="K1268" i="7"/>
  <c r="J1268" i="7"/>
  <c r="J1267" i="7" s="1"/>
  <c r="I1268" i="7"/>
  <c r="I1267" i="7" s="1"/>
  <c r="H1268" i="7"/>
  <c r="G1268" i="7"/>
  <c r="F1268" i="7"/>
  <c r="F1267" i="7" s="1"/>
  <c r="E1268" i="7"/>
  <c r="D1268" i="7"/>
  <c r="EU1265" i="7"/>
  <c r="CK1265" i="7"/>
  <c r="CH1265" i="7"/>
  <c r="N1267" i="7" l="1"/>
  <c r="AA1267" i="7"/>
  <c r="Y1267" i="7"/>
  <c r="O1267" i="7"/>
  <c r="S1267" i="7"/>
  <c r="Z1267" i="7"/>
  <c r="M1267" i="7"/>
  <c r="K1267" i="7"/>
  <c r="E1267" i="7"/>
  <c r="Q1267" i="7"/>
  <c r="R1267" i="7"/>
  <c r="AD1267" i="7"/>
  <c r="T1267" i="7"/>
  <c r="G1267" i="7"/>
  <c r="AE1267" i="7"/>
  <c r="V1267" i="7"/>
  <c r="H1267" i="7"/>
  <c r="AB1267" i="7"/>
  <c r="D201" i="5"/>
  <c r="D198" i="5" s="1"/>
  <c r="C201" i="5"/>
  <c r="C198" i="5" s="1"/>
  <c r="AC1267" i="7"/>
  <c r="D1267" i="7"/>
  <c r="V414" i="3" l="1"/>
  <c r="C29" i="4"/>
  <c r="C27" i="4"/>
  <c r="C28" i="4"/>
  <c r="N390" i="7"/>
  <c r="H388" i="7"/>
  <c r="N299" i="7"/>
  <c r="E311" i="7"/>
  <c r="V359" i="3" l="1"/>
  <c r="B865" i="7"/>
  <c r="N746" i="7"/>
  <c r="V349" i="3" l="1"/>
  <c r="D619" i="7"/>
  <c r="B619" i="7"/>
  <c r="D682" i="7"/>
  <c r="B682" i="7"/>
  <c r="D681" i="7"/>
  <c r="B681" i="7"/>
  <c r="D1047" i="7"/>
  <c r="B1047" i="7"/>
  <c r="D1046" i="7"/>
  <c r="B1046" i="7"/>
  <c r="D625" i="7" l="1"/>
  <c r="AC928" i="7"/>
  <c r="D928" i="7" s="1"/>
  <c r="B928" i="7"/>
  <c r="AE927" i="7"/>
  <c r="AD927" i="7"/>
  <c r="AB927" i="7"/>
  <c r="AA927" i="7"/>
  <c r="Z927" i="7"/>
  <c r="Y927" i="7"/>
  <c r="X927" i="7"/>
  <c r="W927" i="7"/>
  <c r="V927" i="7"/>
  <c r="U927" i="7"/>
  <c r="T927" i="7"/>
  <c r="S927" i="7"/>
  <c r="R927" i="7"/>
  <c r="Q927" i="7"/>
  <c r="P927" i="7"/>
  <c r="O927" i="7"/>
  <c r="N927" i="7"/>
  <c r="M927" i="7"/>
  <c r="L927" i="7"/>
  <c r="K927" i="7"/>
  <c r="J927" i="7"/>
  <c r="I927" i="7"/>
  <c r="H927" i="7"/>
  <c r="G927" i="7"/>
  <c r="F927" i="7"/>
  <c r="E927" i="7"/>
  <c r="E458" i="7"/>
  <c r="F458" i="7"/>
  <c r="G458" i="7"/>
  <c r="H458" i="7"/>
  <c r="I458" i="7"/>
  <c r="J458" i="7"/>
  <c r="K458" i="7"/>
  <c r="L458" i="7"/>
  <c r="M458" i="7"/>
  <c r="N458" i="7"/>
  <c r="O458" i="7"/>
  <c r="P458" i="7"/>
  <c r="Q458" i="7"/>
  <c r="R458" i="7"/>
  <c r="S458" i="7"/>
  <c r="T458" i="7"/>
  <c r="U458" i="7"/>
  <c r="V458" i="7"/>
  <c r="W458" i="7"/>
  <c r="X458" i="7"/>
  <c r="Y458" i="7"/>
  <c r="Z458" i="7"/>
  <c r="AA458" i="7"/>
  <c r="AB458" i="7"/>
  <c r="AC458" i="7"/>
  <c r="AD458" i="7"/>
  <c r="AE458" i="7"/>
  <c r="N451" i="7"/>
  <c r="N449" i="7"/>
  <c r="N428" i="7"/>
  <c r="N427" i="7" s="1"/>
  <c r="G437" i="7"/>
  <c r="D927" i="7" l="1"/>
  <c r="AC927" i="7"/>
  <c r="L816" i="7" l="1"/>
  <c r="T1210" i="7"/>
  <c r="AE933" i="7"/>
  <c r="AD933" i="7"/>
  <c r="AB933" i="7"/>
  <c r="AA933" i="7"/>
  <c r="Z933" i="7"/>
  <c r="Y933" i="7"/>
  <c r="X933" i="7"/>
  <c r="W933" i="7"/>
  <c r="V933" i="7"/>
  <c r="U933" i="7"/>
  <c r="T933" i="7"/>
  <c r="S933" i="7"/>
  <c r="R933" i="7"/>
  <c r="Q933" i="7"/>
  <c r="P933" i="7"/>
  <c r="O933" i="7"/>
  <c r="N933" i="7"/>
  <c r="M933" i="7"/>
  <c r="L933" i="7"/>
  <c r="K933" i="7"/>
  <c r="J933" i="7"/>
  <c r="I933" i="7"/>
  <c r="H933" i="7"/>
  <c r="G933" i="7"/>
  <c r="F933" i="7"/>
  <c r="E933" i="7"/>
  <c r="AC934" i="7"/>
  <c r="D934" i="7" s="1"/>
  <c r="B934" i="7"/>
  <c r="B966" i="7"/>
  <c r="AC966" i="7"/>
  <c r="AE963" i="7"/>
  <c r="AD963" i="7"/>
  <c r="AB963" i="7"/>
  <c r="AA963" i="7"/>
  <c r="Z963" i="7"/>
  <c r="Y963" i="7"/>
  <c r="X963" i="7"/>
  <c r="W963" i="7"/>
  <c r="V963" i="7"/>
  <c r="U963" i="7"/>
  <c r="T963" i="7"/>
  <c r="S963" i="7"/>
  <c r="R963" i="7"/>
  <c r="Q963" i="7"/>
  <c r="P963" i="7"/>
  <c r="O963" i="7"/>
  <c r="N963" i="7"/>
  <c r="M963" i="7"/>
  <c r="L963" i="7"/>
  <c r="K963" i="7"/>
  <c r="J963" i="7"/>
  <c r="I963" i="7"/>
  <c r="H963" i="7"/>
  <c r="G963" i="7"/>
  <c r="F963" i="7"/>
  <c r="E963" i="7"/>
  <c r="AC965" i="7"/>
  <c r="D965" i="7" s="1"/>
  <c r="B965" i="7"/>
  <c r="D966" i="7" l="1"/>
  <c r="AC864" i="7" l="1"/>
  <c r="D864" i="7" s="1"/>
  <c r="B864" i="7"/>
  <c r="B349" i="7"/>
  <c r="AC349" i="7"/>
  <c r="D349" i="7" s="1"/>
  <c r="E12" i="8" l="1"/>
  <c r="E14" i="8"/>
  <c r="E24" i="8"/>
  <c r="E26" i="8"/>
  <c r="E28" i="8"/>
  <c r="E30" i="8"/>
  <c r="E33" i="8"/>
  <c r="E40" i="8"/>
  <c r="E36" i="8" s="1"/>
  <c r="E42" i="8"/>
  <c r="E46" i="8"/>
  <c r="E50" i="8"/>
  <c r="E52" i="8"/>
  <c r="E54" i="8"/>
  <c r="E56" i="8"/>
  <c r="E60" i="8"/>
  <c r="E62" i="8"/>
  <c r="E64" i="8"/>
  <c r="E11" i="8" l="1"/>
  <c r="N1115" i="7" l="1"/>
  <c r="AC1115" i="7" s="1"/>
  <c r="AD160" i="7"/>
  <c r="N279" i="7" l="1"/>
  <c r="AC1237" i="7" l="1"/>
  <c r="N962" i="7"/>
  <c r="AC962" i="7" s="1"/>
  <c r="B906" i="7"/>
  <c r="N902" i="7"/>
  <c r="AC906" i="7" l="1"/>
  <c r="D906" i="7" s="1"/>
  <c r="AC905" i="7"/>
  <c r="D905" i="7" s="1"/>
  <c r="B905" i="7"/>
  <c r="D786" i="7"/>
  <c r="B786" i="7"/>
  <c r="AC746" i="7" l="1"/>
  <c r="D746" i="7" s="1"/>
  <c r="B746" i="7"/>
  <c r="AC747" i="7"/>
  <c r="D747" i="7" s="1"/>
  <c r="B747" i="7"/>
  <c r="B744" i="7" l="1"/>
  <c r="B745" i="7"/>
  <c r="R378" i="7" l="1"/>
  <c r="AC1172" i="7"/>
  <c r="AC884" i="7"/>
  <c r="E959" i="7"/>
  <c r="F959" i="7"/>
  <c r="G959" i="7"/>
  <c r="H959" i="7"/>
  <c r="I959" i="7"/>
  <c r="J959" i="7"/>
  <c r="K959" i="7"/>
  <c r="L959" i="7"/>
  <c r="M959" i="7"/>
  <c r="N959" i="7"/>
  <c r="O959" i="7"/>
  <c r="P959" i="7"/>
  <c r="Q959" i="7"/>
  <c r="R959" i="7"/>
  <c r="S959" i="7"/>
  <c r="T959" i="7"/>
  <c r="U959" i="7"/>
  <c r="V959" i="7"/>
  <c r="W959" i="7"/>
  <c r="X959" i="7"/>
  <c r="Y959" i="7"/>
  <c r="Z959" i="7"/>
  <c r="AA959" i="7"/>
  <c r="AB959" i="7"/>
  <c r="AD959" i="7"/>
  <c r="AE959" i="7"/>
  <c r="B1237" i="7"/>
  <c r="B1238" i="7"/>
  <c r="D1237" i="7"/>
  <c r="B962" i="7" l="1"/>
  <c r="D962" i="7"/>
  <c r="U549" i="7" l="1"/>
  <c r="F49" i="8"/>
  <c r="E806" i="7" l="1"/>
  <c r="F806" i="7"/>
  <c r="G806" i="7"/>
  <c r="H806" i="7"/>
  <c r="I806" i="7"/>
  <c r="J806" i="7"/>
  <c r="K806" i="7"/>
  <c r="L806" i="7"/>
  <c r="M806" i="7"/>
  <c r="O806" i="7"/>
  <c r="P806" i="7"/>
  <c r="Q806" i="7"/>
  <c r="S806" i="7"/>
  <c r="U806" i="7"/>
  <c r="V806" i="7"/>
  <c r="W806" i="7"/>
  <c r="X806" i="7"/>
  <c r="Y806" i="7"/>
  <c r="Z806" i="7"/>
  <c r="AA806" i="7"/>
  <c r="AB806" i="7"/>
  <c r="AD806" i="7"/>
  <c r="AE806" i="7"/>
  <c r="N1202" i="7" l="1"/>
  <c r="N417" i="7"/>
  <c r="R409" i="7"/>
  <c r="N399" i="7"/>
  <c r="R395" i="7"/>
  <c r="N402" i="7"/>
  <c r="U407" i="7"/>
  <c r="AE63" i="8"/>
  <c r="F63" i="8" s="1"/>
  <c r="F62" i="8" s="1"/>
  <c r="T806" i="7" l="1"/>
  <c r="R806" i="7"/>
  <c r="AC253" i="7"/>
  <c r="N1105" i="7" l="1"/>
  <c r="AC1105" i="7" s="1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784" i="7"/>
  <c r="B785" i="7"/>
  <c r="B789" i="7"/>
  <c r="AC785" i="7"/>
  <c r="N785" i="7"/>
  <c r="D785" i="7" l="1"/>
  <c r="D235" i="7" l="1"/>
  <c r="AC735" i="7" l="1"/>
  <c r="AC736" i="7"/>
  <c r="AC734" i="7"/>
  <c r="E30" i="10" l="1"/>
  <c r="D30" i="10"/>
  <c r="C30" i="10"/>
  <c r="E9" i="10"/>
  <c r="D9" i="10"/>
  <c r="C9" i="10"/>
  <c r="P64" i="9"/>
  <c r="B64" i="9"/>
  <c r="L63" i="9"/>
  <c r="K63" i="9"/>
  <c r="J63" i="9"/>
  <c r="I63" i="9"/>
  <c r="P63" i="9" s="1"/>
  <c r="P62" i="9"/>
  <c r="B62" i="9"/>
  <c r="L61" i="9"/>
  <c r="K61" i="9"/>
  <c r="J61" i="9"/>
  <c r="I61" i="9"/>
  <c r="P61" i="9" s="1"/>
  <c r="P60" i="9"/>
  <c r="K60" i="9"/>
  <c r="K59" i="9" s="1"/>
  <c r="B60" i="9"/>
  <c r="L59" i="9"/>
  <c r="J59" i="9"/>
  <c r="I59" i="9"/>
  <c r="P59" i="9" s="1"/>
  <c r="P58" i="9"/>
  <c r="B58" i="9"/>
  <c r="P57" i="9"/>
  <c r="K57" i="9"/>
  <c r="K55" i="9" s="1"/>
  <c r="B57" i="9"/>
  <c r="P56" i="9"/>
  <c r="B56" i="9"/>
  <c r="L55" i="9"/>
  <c r="J55" i="9"/>
  <c r="I55" i="9"/>
  <c r="P55" i="9" s="1"/>
  <c r="P54" i="9"/>
  <c r="K54" i="9"/>
  <c r="K53" i="9" s="1"/>
  <c r="B54" i="9"/>
  <c r="L53" i="9"/>
  <c r="J53" i="9"/>
  <c r="I53" i="9"/>
  <c r="P53" i="9" s="1"/>
  <c r="P52" i="9"/>
  <c r="K52" i="9"/>
  <c r="K51" i="9" s="1"/>
  <c r="B52" i="9"/>
  <c r="L51" i="9"/>
  <c r="J51" i="9"/>
  <c r="I51" i="9"/>
  <c r="P51" i="9" s="1"/>
  <c r="P50" i="9"/>
  <c r="K50" i="9"/>
  <c r="K49" i="9" s="1"/>
  <c r="B50" i="9"/>
  <c r="L49" i="9"/>
  <c r="J49" i="9"/>
  <c r="I49" i="9"/>
  <c r="P49" i="9" s="1"/>
  <c r="P48" i="9"/>
  <c r="K48" i="9"/>
  <c r="B48" i="9"/>
  <c r="P47" i="9"/>
  <c r="K47" i="9"/>
  <c r="B47" i="9"/>
  <c r="P46" i="9"/>
  <c r="K46" i="9"/>
  <c r="B46" i="9"/>
  <c r="L45" i="9"/>
  <c r="J45" i="9"/>
  <c r="I45" i="9"/>
  <c r="P45" i="9" s="1"/>
  <c r="P42" i="9"/>
  <c r="K42" i="9"/>
  <c r="K41" i="9" s="1"/>
  <c r="B42" i="9"/>
  <c r="L41" i="9"/>
  <c r="J41" i="9"/>
  <c r="I41" i="9"/>
  <c r="P41" i="9" s="1"/>
  <c r="P40" i="9"/>
  <c r="K40" i="9"/>
  <c r="K39" i="9" s="1"/>
  <c r="B40" i="9"/>
  <c r="L39" i="9"/>
  <c r="J39" i="9"/>
  <c r="I39" i="9"/>
  <c r="P39" i="9" s="1"/>
  <c r="P38" i="9"/>
  <c r="K38" i="9"/>
  <c r="B38" i="9"/>
  <c r="P37" i="9"/>
  <c r="K37" i="9"/>
  <c r="B37" i="9"/>
  <c r="P36" i="9"/>
  <c r="K36" i="9"/>
  <c r="B36" i="9"/>
  <c r="L35" i="9"/>
  <c r="J35" i="9"/>
  <c r="I35" i="9"/>
  <c r="P35" i="9" s="1"/>
  <c r="P34" i="9"/>
  <c r="B34" i="9"/>
  <c r="P33" i="9"/>
  <c r="K33" i="9"/>
  <c r="K32" i="9" s="1"/>
  <c r="B33" i="9"/>
  <c r="L32" i="9"/>
  <c r="J32" i="9"/>
  <c r="I32" i="9"/>
  <c r="P32" i="9" s="1"/>
  <c r="P31" i="9"/>
  <c r="K31" i="9"/>
  <c r="B31" i="9"/>
  <c r="P30" i="9"/>
  <c r="K30" i="9"/>
  <c r="B30" i="9"/>
  <c r="L29" i="9"/>
  <c r="J29" i="9"/>
  <c r="I29" i="9"/>
  <c r="P29" i="9" s="1"/>
  <c r="P28" i="9"/>
  <c r="K28" i="9"/>
  <c r="K27" i="9" s="1"/>
  <c r="B28" i="9"/>
  <c r="L27" i="9"/>
  <c r="J27" i="9"/>
  <c r="I27" i="9"/>
  <c r="P27" i="9" s="1"/>
  <c r="P26" i="9"/>
  <c r="K26" i="9"/>
  <c r="K25" i="9" s="1"/>
  <c r="B26" i="9"/>
  <c r="L25" i="9"/>
  <c r="J25" i="9"/>
  <c r="I25" i="9"/>
  <c r="P25" i="9" s="1"/>
  <c r="P24" i="9"/>
  <c r="K24" i="9"/>
  <c r="K23" i="9" s="1"/>
  <c r="B24" i="9"/>
  <c r="L23" i="9"/>
  <c r="J23" i="9"/>
  <c r="I23" i="9"/>
  <c r="P23" i="9" s="1"/>
  <c r="P22" i="9"/>
  <c r="B22" i="9"/>
  <c r="P20" i="9"/>
  <c r="B20" i="9"/>
  <c r="P19" i="9"/>
  <c r="B19" i="9"/>
  <c r="P18" i="9"/>
  <c r="K18" i="9"/>
  <c r="B18" i="9"/>
  <c r="P17" i="9"/>
  <c r="K17" i="9"/>
  <c r="B17" i="9"/>
  <c r="P16" i="9"/>
  <c r="K16" i="9"/>
  <c r="B16" i="9"/>
  <c r="P15" i="9"/>
  <c r="K15" i="9"/>
  <c r="B15" i="9"/>
  <c r="P14" i="9"/>
  <c r="K14" i="9"/>
  <c r="B14" i="9"/>
  <c r="L13" i="9"/>
  <c r="J13" i="9"/>
  <c r="I13" i="9"/>
  <c r="P13" i="9" s="1"/>
  <c r="P12" i="9"/>
  <c r="K12" i="9"/>
  <c r="K11" i="9" s="1"/>
  <c r="B12" i="9"/>
  <c r="L11" i="9"/>
  <c r="J11" i="9"/>
  <c r="I11" i="9"/>
  <c r="F65" i="8"/>
  <c r="F64" i="8" s="1"/>
  <c r="B65" i="8"/>
  <c r="AG64" i="8"/>
  <c r="AF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B63" i="8"/>
  <c r="AG62" i="8"/>
  <c r="AF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AE61" i="8"/>
  <c r="F61" i="8" s="1"/>
  <c r="F60" i="8" s="1"/>
  <c r="B61" i="8"/>
  <c r="AG60" i="8"/>
  <c r="AF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AE59" i="8"/>
  <c r="F59" i="8" s="1"/>
  <c r="B59" i="8"/>
  <c r="AE58" i="8"/>
  <c r="P58" i="8"/>
  <c r="B58" i="8"/>
  <c r="AE57" i="8"/>
  <c r="F57" i="8" s="1"/>
  <c r="B57" i="8"/>
  <c r="AG56" i="8"/>
  <c r="AF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O56" i="8"/>
  <c r="N56" i="8"/>
  <c r="M56" i="8"/>
  <c r="L56" i="8"/>
  <c r="K56" i="8"/>
  <c r="J56" i="8"/>
  <c r="I56" i="8"/>
  <c r="H56" i="8"/>
  <c r="G56" i="8"/>
  <c r="F55" i="8"/>
  <c r="F54" i="8" s="1"/>
  <c r="B55" i="8"/>
  <c r="AG54" i="8"/>
  <c r="AF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AE53" i="8"/>
  <c r="F53" i="8" s="1"/>
  <c r="F52" i="8" s="1"/>
  <c r="B53" i="8"/>
  <c r="AG52" i="8"/>
  <c r="AF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AE51" i="8"/>
  <c r="F51" i="8" s="1"/>
  <c r="F50" i="8" s="1"/>
  <c r="B51" i="8"/>
  <c r="AG50" i="8"/>
  <c r="AF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B49" i="8"/>
  <c r="F48" i="8"/>
  <c r="B48" i="8"/>
  <c r="F47" i="8"/>
  <c r="B47" i="8"/>
  <c r="AG46" i="8"/>
  <c r="AF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AE43" i="8"/>
  <c r="F43" i="8" s="1"/>
  <c r="F42" i="8" s="1"/>
  <c r="B43" i="8"/>
  <c r="AG42" i="8"/>
  <c r="AF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AE41" i="8"/>
  <c r="F41" i="8" s="1"/>
  <c r="F40" i="8" s="1"/>
  <c r="B41" i="8"/>
  <c r="AG40" i="8"/>
  <c r="AF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AE39" i="8"/>
  <c r="F39" i="8" s="1"/>
  <c r="B39" i="8"/>
  <c r="AE38" i="8"/>
  <c r="F38" i="8" s="1"/>
  <c r="B38" i="8"/>
  <c r="AE37" i="8"/>
  <c r="F37" i="8" s="1"/>
  <c r="B37" i="8"/>
  <c r="AG36" i="8"/>
  <c r="AF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AE35" i="8"/>
  <c r="F35" i="8" s="1"/>
  <c r="B35" i="8"/>
  <c r="AE34" i="8"/>
  <c r="F34" i="8" s="1"/>
  <c r="B34" i="8"/>
  <c r="AG33" i="8"/>
  <c r="AF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AE32" i="8"/>
  <c r="F32" i="8" s="1"/>
  <c r="B32" i="8"/>
  <c r="AE31" i="8"/>
  <c r="F31" i="8" s="1"/>
  <c r="B31" i="8"/>
  <c r="AG30" i="8"/>
  <c r="AF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AE29" i="8"/>
  <c r="F29" i="8" s="1"/>
  <c r="F28" i="8" s="1"/>
  <c r="B29" i="8"/>
  <c r="AG28" i="8"/>
  <c r="AF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AE27" i="8"/>
  <c r="F27" i="8" s="1"/>
  <c r="F26" i="8" s="1"/>
  <c r="B27" i="8"/>
  <c r="AG26" i="8"/>
  <c r="AF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AE25" i="8"/>
  <c r="F25" i="8" s="1"/>
  <c r="F24" i="8" s="1"/>
  <c r="B25" i="8"/>
  <c r="AG24" i="8"/>
  <c r="AF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AE23" i="8"/>
  <c r="F23" i="8" s="1"/>
  <c r="B23" i="8"/>
  <c r="AE21" i="8"/>
  <c r="F21" i="8" s="1"/>
  <c r="B21" i="8"/>
  <c r="AE20" i="8"/>
  <c r="F20" i="8" s="1"/>
  <c r="B20" i="8"/>
  <c r="AE19" i="8"/>
  <c r="F19" i="8" s="1"/>
  <c r="B19" i="8"/>
  <c r="AE18" i="8"/>
  <c r="F18" i="8" s="1"/>
  <c r="B18" i="8"/>
  <c r="AE17" i="8"/>
  <c r="F17" i="8" s="1"/>
  <c r="B17" i="8"/>
  <c r="AE16" i="8"/>
  <c r="F16" i="8" s="1"/>
  <c r="B16" i="8"/>
  <c r="AE15" i="8"/>
  <c r="F15" i="8" s="1"/>
  <c r="B15" i="8"/>
  <c r="AG14" i="8"/>
  <c r="AF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AE13" i="8"/>
  <c r="F13" i="8" s="1"/>
  <c r="F12" i="8" s="1"/>
  <c r="B13" i="8"/>
  <c r="AG12" i="8"/>
  <c r="AF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O12" i="8"/>
  <c r="N12" i="8"/>
  <c r="M12" i="8"/>
  <c r="L12" i="8"/>
  <c r="K12" i="8"/>
  <c r="J12" i="8"/>
  <c r="I12" i="8"/>
  <c r="H12" i="8"/>
  <c r="G12" i="8"/>
  <c r="D138" i="5"/>
  <c r="C138" i="5"/>
  <c r="C79" i="5"/>
  <c r="D11" i="5"/>
  <c r="C11" i="5"/>
  <c r="AT1264" i="7"/>
  <c r="AC1264" i="7"/>
  <c r="D1264" i="7" s="1"/>
  <c r="B1264" i="7"/>
  <c r="AE1263" i="7"/>
  <c r="AD1263" i="7"/>
  <c r="AB1263" i="7"/>
  <c r="AA1263" i="7"/>
  <c r="Z1263" i="7"/>
  <c r="Y1263" i="7"/>
  <c r="X1263" i="7"/>
  <c r="W1263" i="7"/>
  <c r="V1263" i="7"/>
  <c r="U1263" i="7"/>
  <c r="T1263" i="7"/>
  <c r="S1263" i="7"/>
  <c r="R1263" i="7"/>
  <c r="Q1263" i="7"/>
  <c r="P1263" i="7"/>
  <c r="O1263" i="7"/>
  <c r="N1263" i="7"/>
  <c r="M1263" i="7"/>
  <c r="L1263" i="7"/>
  <c r="K1263" i="7"/>
  <c r="J1263" i="7"/>
  <c r="I1263" i="7"/>
  <c r="H1263" i="7"/>
  <c r="G1263" i="7"/>
  <c r="F1263" i="7"/>
  <c r="E1263" i="7"/>
  <c r="AC1262" i="7"/>
  <c r="D1262" i="7" s="1"/>
  <c r="B1262" i="7"/>
  <c r="AC1261" i="7"/>
  <c r="D1261" i="7" s="1"/>
  <c r="B1261" i="7"/>
  <c r="AC1260" i="7"/>
  <c r="D1260" i="7" s="1"/>
  <c r="B1260" i="7"/>
  <c r="AE1259" i="7"/>
  <c r="AD1259" i="7"/>
  <c r="AB1259" i="7"/>
  <c r="AA1259" i="7"/>
  <c r="Z1259" i="7"/>
  <c r="Y1259" i="7"/>
  <c r="X1259" i="7"/>
  <c r="W1259" i="7"/>
  <c r="V1259" i="7"/>
  <c r="U1259" i="7"/>
  <c r="T1259" i="7"/>
  <c r="S1259" i="7"/>
  <c r="R1259" i="7"/>
  <c r="Q1259" i="7"/>
  <c r="P1259" i="7"/>
  <c r="O1259" i="7"/>
  <c r="N1259" i="7"/>
  <c r="M1259" i="7"/>
  <c r="L1259" i="7"/>
  <c r="K1259" i="7"/>
  <c r="J1259" i="7"/>
  <c r="I1259" i="7"/>
  <c r="H1259" i="7"/>
  <c r="G1259" i="7"/>
  <c r="F1259" i="7"/>
  <c r="E1259" i="7"/>
  <c r="N1258" i="7"/>
  <c r="AC1258" i="7" s="1"/>
  <c r="D1258" i="7" s="1"/>
  <c r="B1258" i="7"/>
  <c r="AE1257" i="7"/>
  <c r="AD1257" i="7"/>
  <c r="AB1257" i="7"/>
  <c r="AA1257" i="7"/>
  <c r="Z1257" i="7"/>
  <c r="Y1257" i="7"/>
  <c r="X1257" i="7"/>
  <c r="W1257" i="7"/>
  <c r="V1257" i="7"/>
  <c r="U1257" i="7"/>
  <c r="T1257" i="7"/>
  <c r="S1257" i="7"/>
  <c r="R1257" i="7"/>
  <c r="Q1257" i="7"/>
  <c r="P1257" i="7"/>
  <c r="O1257" i="7"/>
  <c r="M1257" i="7"/>
  <c r="L1257" i="7"/>
  <c r="K1257" i="7"/>
  <c r="J1257" i="7"/>
  <c r="I1257" i="7"/>
  <c r="H1257" i="7"/>
  <c r="G1257" i="7"/>
  <c r="F1257" i="7"/>
  <c r="E1257" i="7"/>
  <c r="AC1256" i="7"/>
  <c r="D1256" i="7" s="1"/>
  <c r="D1255" i="7" s="1"/>
  <c r="B1256" i="7"/>
  <c r="AE1255" i="7"/>
  <c r="AD1255" i="7"/>
  <c r="AB1255" i="7"/>
  <c r="AA1255" i="7"/>
  <c r="Z1255" i="7"/>
  <c r="Y1255" i="7"/>
  <c r="X1255" i="7"/>
  <c r="W1255" i="7"/>
  <c r="V1255" i="7"/>
  <c r="U1255" i="7"/>
  <c r="T1255" i="7"/>
  <c r="S1255" i="7"/>
  <c r="R1255" i="7"/>
  <c r="Q1255" i="7"/>
  <c r="P1255" i="7"/>
  <c r="O1255" i="7"/>
  <c r="N1255" i="7"/>
  <c r="M1255" i="7"/>
  <c r="L1255" i="7"/>
  <c r="K1255" i="7"/>
  <c r="J1255" i="7"/>
  <c r="I1255" i="7"/>
  <c r="H1255" i="7"/>
  <c r="G1255" i="7"/>
  <c r="F1255" i="7"/>
  <c r="E1255" i="7"/>
  <c r="N1253" i="7"/>
  <c r="B1254" i="7"/>
  <c r="AE1253" i="7"/>
  <c r="AD1253" i="7"/>
  <c r="AB1253" i="7"/>
  <c r="AA1253" i="7"/>
  <c r="Z1253" i="7"/>
  <c r="Y1253" i="7"/>
  <c r="X1253" i="7"/>
  <c r="W1253" i="7"/>
  <c r="V1253" i="7"/>
  <c r="U1253" i="7"/>
  <c r="T1253" i="7"/>
  <c r="S1253" i="7"/>
  <c r="R1253" i="7"/>
  <c r="Q1253" i="7"/>
  <c r="P1253" i="7"/>
  <c r="O1253" i="7"/>
  <c r="M1253" i="7"/>
  <c r="L1253" i="7"/>
  <c r="K1253" i="7"/>
  <c r="J1253" i="7"/>
  <c r="I1253" i="7"/>
  <c r="H1253" i="7"/>
  <c r="G1253" i="7"/>
  <c r="F1253" i="7"/>
  <c r="E1253" i="7"/>
  <c r="AC1252" i="7"/>
  <c r="D1252" i="7" s="1"/>
  <c r="B1252" i="7"/>
  <c r="AC1251" i="7"/>
  <c r="D1251" i="7" s="1"/>
  <c r="B1251" i="7"/>
  <c r="AC1250" i="7"/>
  <c r="B1250" i="7"/>
  <c r="AE1249" i="7"/>
  <c r="AD1249" i="7"/>
  <c r="AB1249" i="7"/>
  <c r="AA1249" i="7"/>
  <c r="Z1249" i="7"/>
  <c r="Y1249" i="7"/>
  <c r="X1249" i="7"/>
  <c r="W1249" i="7"/>
  <c r="V1249" i="7"/>
  <c r="U1249" i="7"/>
  <c r="T1249" i="7"/>
  <c r="S1249" i="7"/>
  <c r="R1249" i="7"/>
  <c r="Q1249" i="7"/>
  <c r="P1249" i="7"/>
  <c r="O1249" i="7"/>
  <c r="N1249" i="7"/>
  <c r="M1249" i="7"/>
  <c r="L1249" i="7"/>
  <c r="K1249" i="7"/>
  <c r="J1249" i="7"/>
  <c r="I1249" i="7"/>
  <c r="H1249" i="7"/>
  <c r="G1249" i="7"/>
  <c r="F1249" i="7"/>
  <c r="E1249" i="7"/>
  <c r="AC1248" i="7"/>
  <c r="B1248" i="7"/>
  <c r="AC1247" i="7"/>
  <c r="D1247" i="7" s="1"/>
  <c r="B1247" i="7"/>
  <c r="AE1246" i="7"/>
  <c r="AD1246" i="7"/>
  <c r="AB1246" i="7"/>
  <c r="AA1246" i="7"/>
  <c r="Z1246" i="7"/>
  <c r="Y1246" i="7"/>
  <c r="X1246" i="7"/>
  <c r="W1246" i="7"/>
  <c r="V1246" i="7"/>
  <c r="U1246" i="7"/>
  <c r="T1246" i="7"/>
  <c r="S1246" i="7"/>
  <c r="R1246" i="7"/>
  <c r="Q1246" i="7"/>
  <c r="P1246" i="7"/>
  <c r="O1246" i="7"/>
  <c r="N1246" i="7"/>
  <c r="M1246" i="7"/>
  <c r="L1246" i="7"/>
  <c r="K1246" i="7"/>
  <c r="J1246" i="7"/>
  <c r="I1246" i="7"/>
  <c r="H1246" i="7"/>
  <c r="G1246" i="7"/>
  <c r="F1246" i="7"/>
  <c r="E1246" i="7"/>
  <c r="AC1245" i="7"/>
  <c r="D1245" i="7" s="1"/>
  <c r="B1245" i="7"/>
  <c r="AE1244" i="7"/>
  <c r="AD1244" i="7"/>
  <c r="AB1244" i="7"/>
  <c r="AA1244" i="7"/>
  <c r="Z1244" i="7"/>
  <c r="Y1244" i="7"/>
  <c r="X1244" i="7"/>
  <c r="W1244" i="7"/>
  <c r="V1244" i="7"/>
  <c r="U1244" i="7"/>
  <c r="T1244" i="7"/>
  <c r="S1244" i="7"/>
  <c r="R1244" i="7"/>
  <c r="Q1244" i="7"/>
  <c r="P1244" i="7"/>
  <c r="O1244" i="7"/>
  <c r="N1244" i="7"/>
  <c r="M1244" i="7"/>
  <c r="L1244" i="7"/>
  <c r="K1244" i="7"/>
  <c r="J1244" i="7"/>
  <c r="I1244" i="7"/>
  <c r="H1244" i="7"/>
  <c r="G1244" i="7"/>
  <c r="F1244" i="7"/>
  <c r="E1244" i="7"/>
  <c r="AC1243" i="7"/>
  <c r="B1243" i="7"/>
  <c r="AE1242" i="7"/>
  <c r="AD1242" i="7"/>
  <c r="AB1242" i="7"/>
  <c r="AA1242" i="7"/>
  <c r="Z1242" i="7"/>
  <c r="Y1242" i="7"/>
  <c r="X1242" i="7"/>
  <c r="W1242" i="7"/>
  <c r="V1242" i="7"/>
  <c r="U1242" i="7"/>
  <c r="T1242" i="7"/>
  <c r="S1242" i="7"/>
  <c r="R1242" i="7"/>
  <c r="Q1242" i="7"/>
  <c r="P1242" i="7"/>
  <c r="O1242" i="7"/>
  <c r="N1242" i="7"/>
  <c r="M1242" i="7"/>
  <c r="L1242" i="7"/>
  <c r="K1242" i="7"/>
  <c r="J1242" i="7"/>
  <c r="I1242" i="7"/>
  <c r="H1242" i="7"/>
  <c r="G1242" i="7"/>
  <c r="F1242" i="7"/>
  <c r="E1242" i="7"/>
  <c r="AC1241" i="7"/>
  <c r="D1241" i="7" s="1"/>
  <c r="B1241" i="7"/>
  <c r="AC1240" i="7"/>
  <c r="B1240" i="7"/>
  <c r="AE1239" i="7"/>
  <c r="AD1239" i="7"/>
  <c r="AB1239" i="7"/>
  <c r="AA1239" i="7"/>
  <c r="Z1239" i="7"/>
  <c r="Y1239" i="7"/>
  <c r="X1239" i="7"/>
  <c r="W1239" i="7"/>
  <c r="V1239" i="7"/>
  <c r="U1239" i="7"/>
  <c r="T1239" i="7"/>
  <c r="S1239" i="7"/>
  <c r="R1239" i="7"/>
  <c r="Q1239" i="7"/>
  <c r="P1239" i="7"/>
  <c r="O1239" i="7"/>
  <c r="N1239" i="7"/>
  <c r="M1239" i="7"/>
  <c r="L1239" i="7"/>
  <c r="K1239" i="7"/>
  <c r="J1239" i="7"/>
  <c r="I1239" i="7"/>
  <c r="H1239" i="7"/>
  <c r="G1239" i="7"/>
  <c r="F1239" i="7"/>
  <c r="E1239" i="7"/>
  <c r="AT1238" i="7"/>
  <c r="AC1238" i="7"/>
  <c r="D1238" i="7" s="1"/>
  <c r="AC1236" i="7"/>
  <c r="D1236" i="7" s="1"/>
  <c r="B1236" i="7"/>
  <c r="AE1235" i="7"/>
  <c r="AD1235" i="7"/>
  <c r="AB1235" i="7"/>
  <c r="AA1235" i="7"/>
  <c r="Z1235" i="7"/>
  <c r="Y1235" i="7"/>
  <c r="X1235" i="7"/>
  <c r="W1235" i="7"/>
  <c r="V1235" i="7"/>
  <c r="U1235" i="7"/>
  <c r="T1235" i="7"/>
  <c r="S1235" i="7"/>
  <c r="R1235" i="7"/>
  <c r="Q1235" i="7"/>
  <c r="P1235" i="7"/>
  <c r="O1235" i="7"/>
  <c r="N1235" i="7"/>
  <c r="M1235" i="7"/>
  <c r="L1235" i="7"/>
  <c r="K1235" i="7"/>
  <c r="J1235" i="7"/>
  <c r="I1235" i="7"/>
  <c r="H1235" i="7"/>
  <c r="G1235" i="7"/>
  <c r="F1235" i="7"/>
  <c r="E1235" i="7"/>
  <c r="AC1234" i="7"/>
  <c r="D1234" i="7" s="1"/>
  <c r="B1234" i="7"/>
  <c r="AC1233" i="7"/>
  <c r="D1233" i="7" s="1"/>
  <c r="B1233" i="7"/>
  <c r="AC1232" i="7"/>
  <c r="B1232" i="7"/>
  <c r="AE1231" i="7"/>
  <c r="AD1231" i="7"/>
  <c r="AB1231" i="7"/>
  <c r="AA1231" i="7"/>
  <c r="Z1231" i="7"/>
  <c r="Y1231" i="7"/>
  <c r="X1231" i="7"/>
  <c r="W1231" i="7"/>
  <c r="V1231" i="7"/>
  <c r="U1231" i="7"/>
  <c r="T1231" i="7"/>
  <c r="S1231" i="7"/>
  <c r="R1231" i="7"/>
  <c r="Q1231" i="7"/>
  <c r="P1231" i="7"/>
  <c r="O1231" i="7"/>
  <c r="N1231" i="7"/>
  <c r="M1231" i="7"/>
  <c r="L1231" i="7"/>
  <c r="K1231" i="7"/>
  <c r="J1231" i="7"/>
  <c r="I1231" i="7"/>
  <c r="H1231" i="7"/>
  <c r="G1231" i="7"/>
  <c r="F1231" i="7"/>
  <c r="E1231" i="7"/>
  <c r="AC1230" i="7"/>
  <c r="D1230" i="7" s="1"/>
  <c r="B1230" i="7"/>
  <c r="AC1229" i="7"/>
  <c r="D1229" i="7" s="1"/>
  <c r="B1229" i="7"/>
  <c r="AE1228" i="7"/>
  <c r="AD1228" i="7"/>
  <c r="AB1228" i="7"/>
  <c r="AA1228" i="7"/>
  <c r="Z1228" i="7"/>
  <c r="Y1228" i="7"/>
  <c r="X1228" i="7"/>
  <c r="W1228" i="7"/>
  <c r="V1228" i="7"/>
  <c r="U1228" i="7"/>
  <c r="T1228" i="7"/>
  <c r="S1228" i="7"/>
  <c r="R1228" i="7"/>
  <c r="Q1228" i="7"/>
  <c r="P1228" i="7"/>
  <c r="O1228" i="7"/>
  <c r="N1228" i="7"/>
  <c r="M1228" i="7"/>
  <c r="L1228" i="7"/>
  <c r="K1228" i="7"/>
  <c r="J1228" i="7"/>
  <c r="I1228" i="7"/>
  <c r="H1228" i="7"/>
  <c r="G1228" i="7"/>
  <c r="F1228" i="7"/>
  <c r="E1228" i="7"/>
  <c r="AC1227" i="7"/>
  <c r="D1227" i="7" s="1"/>
  <c r="B1227" i="7"/>
  <c r="AC1226" i="7"/>
  <c r="B1226" i="7"/>
  <c r="AE1225" i="7"/>
  <c r="AD1225" i="7"/>
  <c r="AB1225" i="7"/>
  <c r="AA1225" i="7"/>
  <c r="Z1225" i="7"/>
  <c r="Y1225" i="7"/>
  <c r="X1225" i="7"/>
  <c r="W1225" i="7"/>
  <c r="V1225" i="7"/>
  <c r="U1225" i="7"/>
  <c r="T1225" i="7"/>
  <c r="S1225" i="7"/>
  <c r="R1225" i="7"/>
  <c r="Q1225" i="7"/>
  <c r="P1225" i="7"/>
  <c r="O1225" i="7"/>
  <c r="N1225" i="7"/>
  <c r="M1225" i="7"/>
  <c r="L1225" i="7"/>
  <c r="K1225" i="7"/>
  <c r="J1225" i="7"/>
  <c r="I1225" i="7"/>
  <c r="H1225" i="7"/>
  <c r="G1225" i="7"/>
  <c r="F1225" i="7"/>
  <c r="E1225" i="7"/>
  <c r="AC1224" i="7"/>
  <c r="D1224" i="7" s="1"/>
  <c r="B1224" i="7"/>
  <c r="AE1223" i="7"/>
  <c r="AD1223" i="7"/>
  <c r="AB1223" i="7"/>
  <c r="AA1223" i="7"/>
  <c r="Z1223" i="7"/>
  <c r="Y1223" i="7"/>
  <c r="X1223" i="7"/>
  <c r="W1223" i="7"/>
  <c r="V1223" i="7"/>
  <c r="U1223" i="7"/>
  <c r="T1223" i="7"/>
  <c r="S1223" i="7"/>
  <c r="R1223" i="7"/>
  <c r="Q1223" i="7"/>
  <c r="P1223" i="7"/>
  <c r="O1223" i="7"/>
  <c r="N1223" i="7"/>
  <c r="M1223" i="7"/>
  <c r="L1223" i="7"/>
  <c r="K1223" i="7"/>
  <c r="J1223" i="7"/>
  <c r="I1223" i="7"/>
  <c r="H1223" i="7"/>
  <c r="G1223" i="7"/>
  <c r="F1223" i="7"/>
  <c r="E1223" i="7"/>
  <c r="AC1222" i="7"/>
  <c r="D1222" i="7" s="1"/>
  <c r="B1222" i="7"/>
  <c r="AE1221" i="7"/>
  <c r="AD1221" i="7"/>
  <c r="AB1221" i="7"/>
  <c r="AA1221" i="7"/>
  <c r="Z1221" i="7"/>
  <c r="Y1221" i="7"/>
  <c r="X1221" i="7"/>
  <c r="W1221" i="7"/>
  <c r="V1221" i="7"/>
  <c r="U1221" i="7"/>
  <c r="T1221" i="7"/>
  <c r="S1221" i="7"/>
  <c r="R1221" i="7"/>
  <c r="Q1221" i="7"/>
  <c r="P1221" i="7"/>
  <c r="O1221" i="7"/>
  <c r="N1221" i="7"/>
  <c r="M1221" i="7"/>
  <c r="L1221" i="7"/>
  <c r="K1221" i="7"/>
  <c r="J1221" i="7"/>
  <c r="I1221" i="7"/>
  <c r="H1221" i="7"/>
  <c r="G1221" i="7"/>
  <c r="F1221" i="7"/>
  <c r="E1221" i="7"/>
  <c r="AC1220" i="7"/>
  <c r="D1220" i="7" s="1"/>
  <c r="B1220" i="7"/>
  <c r="AE1219" i="7"/>
  <c r="AD1219" i="7"/>
  <c r="AB1219" i="7"/>
  <c r="AA1219" i="7"/>
  <c r="Z1219" i="7"/>
  <c r="Y1219" i="7"/>
  <c r="X1219" i="7"/>
  <c r="W1219" i="7"/>
  <c r="V1219" i="7"/>
  <c r="U1219" i="7"/>
  <c r="T1219" i="7"/>
  <c r="S1219" i="7"/>
  <c r="R1219" i="7"/>
  <c r="Q1219" i="7"/>
  <c r="P1219" i="7"/>
  <c r="O1219" i="7"/>
  <c r="N1219" i="7"/>
  <c r="M1219" i="7"/>
  <c r="L1219" i="7"/>
  <c r="K1219" i="7"/>
  <c r="J1219" i="7"/>
  <c r="I1219" i="7"/>
  <c r="H1219" i="7"/>
  <c r="G1219" i="7"/>
  <c r="F1219" i="7"/>
  <c r="E1219" i="7"/>
  <c r="AC1218" i="7"/>
  <c r="D1218" i="7" s="1"/>
  <c r="B1218" i="7"/>
  <c r="AC1217" i="7"/>
  <c r="D1217" i="7" s="1"/>
  <c r="B1217" i="7"/>
  <c r="AC1216" i="7"/>
  <c r="B1216" i="7"/>
  <c r="AE1215" i="7"/>
  <c r="AD1215" i="7"/>
  <c r="AB1215" i="7"/>
  <c r="AA1215" i="7"/>
  <c r="Z1215" i="7"/>
  <c r="Y1215" i="7"/>
  <c r="X1215" i="7"/>
  <c r="W1215" i="7"/>
  <c r="V1215" i="7"/>
  <c r="U1215" i="7"/>
  <c r="T1215" i="7"/>
  <c r="S1215" i="7"/>
  <c r="R1215" i="7"/>
  <c r="Q1215" i="7"/>
  <c r="P1215" i="7"/>
  <c r="O1215" i="7"/>
  <c r="N1215" i="7"/>
  <c r="M1215" i="7"/>
  <c r="L1215" i="7"/>
  <c r="K1215" i="7"/>
  <c r="J1215" i="7"/>
  <c r="I1215" i="7"/>
  <c r="H1215" i="7"/>
  <c r="G1215" i="7"/>
  <c r="F1215" i="7"/>
  <c r="E1215" i="7"/>
  <c r="AC1214" i="7"/>
  <c r="B1214" i="7"/>
  <c r="AE1213" i="7"/>
  <c r="AD1213" i="7"/>
  <c r="AB1213" i="7"/>
  <c r="AA1213" i="7"/>
  <c r="Z1213" i="7"/>
  <c r="Y1213" i="7"/>
  <c r="X1213" i="7"/>
  <c r="W1213" i="7"/>
  <c r="V1213" i="7"/>
  <c r="U1213" i="7"/>
  <c r="T1213" i="7"/>
  <c r="S1213" i="7"/>
  <c r="R1213" i="7"/>
  <c r="Q1213" i="7"/>
  <c r="P1213" i="7"/>
  <c r="O1213" i="7"/>
  <c r="N1213" i="7"/>
  <c r="M1213" i="7"/>
  <c r="L1213" i="7"/>
  <c r="K1213" i="7"/>
  <c r="J1213" i="7"/>
  <c r="I1213" i="7"/>
  <c r="H1213" i="7"/>
  <c r="G1213" i="7"/>
  <c r="F1213" i="7"/>
  <c r="E1213" i="7"/>
  <c r="AC1212" i="7"/>
  <c r="D1212" i="7" s="1"/>
  <c r="B1212" i="7"/>
  <c r="AE1211" i="7"/>
  <c r="AD1211" i="7"/>
  <c r="AB1211" i="7"/>
  <c r="AA1211" i="7"/>
  <c r="Z1211" i="7"/>
  <c r="Y1211" i="7"/>
  <c r="X1211" i="7"/>
  <c r="W1211" i="7"/>
  <c r="V1211" i="7"/>
  <c r="U1211" i="7"/>
  <c r="T1211" i="7"/>
  <c r="S1211" i="7"/>
  <c r="R1211" i="7"/>
  <c r="Q1211" i="7"/>
  <c r="P1211" i="7"/>
  <c r="O1211" i="7"/>
  <c r="N1211" i="7"/>
  <c r="M1211" i="7"/>
  <c r="L1211" i="7"/>
  <c r="K1211" i="7"/>
  <c r="J1211" i="7"/>
  <c r="I1211" i="7"/>
  <c r="H1211" i="7"/>
  <c r="G1211" i="7"/>
  <c r="F1211" i="7"/>
  <c r="E1211" i="7"/>
  <c r="AC1210" i="7"/>
  <c r="D1210" i="7" s="1"/>
  <c r="B1210" i="7"/>
  <c r="AE1209" i="7"/>
  <c r="AD1209" i="7"/>
  <c r="AB1209" i="7"/>
  <c r="AA1209" i="7"/>
  <c r="Z1209" i="7"/>
  <c r="Y1209" i="7"/>
  <c r="X1209" i="7"/>
  <c r="W1209" i="7"/>
  <c r="V1209" i="7"/>
  <c r="U1209" i="7"/>
  <c r="T1209" i="7"/>
  <c r="S1209" i="7"/>
  <c r="R1209" i="7"/>
  <c r="Q1209" i="7"/>
  <c r="P1209" i="7"/>
  <c r="O1209" i="7"/>
  <c r="N1209" i="7"/>
  <c r="M1209" i="7"/>
  <c r="L1209" i="7"/>
  <c r="K1209" i="7"/>
  <c r="J1209" i="7"/>
  <c r="I1209" i="7"/>
  <c r="H1209" i="7"/>
  <c r="G1209" i="7"/>
  <c r="F1209" i="7"/>
  <c r="E1209" i="7"/>
  <c r="AC1208" i="7"/>
  <c r="D1208" i="7" s="1"/>
  <c r="B1208" i="7"/>
  <c r="AC1207" i="7"/>
  <c r="D1207" i="7" s="1"/>
  <c r="B1207" i="7"/>
  <c r="AC1206" i="7"/>
  <c r="B1206" i="7"/>
  <c r="AE1205" i="7"/>
  <c r="AD1205" i="7"/>
  <c r="AB1205" i="7"/>
  <c r="AA1205" i="7"/>
  <c r="Z1205" i="7"/>
  <c r="Y1205" i="7"/>
  <c r="X1205" i="7"/>
  <c r="W1205" i="7"/>
  <c r="V1205" i="7"/>
  <c r="U1205" i="7"/>
  <c r="T1205" i="7"/>
  <c r="S1205" i="7"/>
  <c r="R1205" i="7"/>
  <c r="Q1205" i="7"/>
  <c r="P1205" i="7"/>
  <c r="O1205" i="7"/>
  <c r="N1205" i="7"/>
  <c r="M1205" i="7"/>
  <c r="L1205" i="7"/>
  <c r="K1205" i="7"/>
  <c r="J1205" i="7"/>
  <c r="I1205" i="7"/>
  <c r="H1205" i="7"/>
  <c r="G1205" i="7"/>
  <c r="F1205" i="7"/>
  <c r="E1205" i="7"/>
  <c r="B1204" i="7"/>
  <c r="AE1203" i="7"/>
  <c r="AD1203" i="7"/>
  <c r="AB1203" i="7"/>
  <c r="AA1203" i="7"/>
  <c r="Z1203" i="7"/>
  <c r="Y1203" i="7"/>
  <c r="X1203" i="7"/>
  <c r="W1203" i="7"/>
  <c r="V1203" i="7"/>
  <c r="U1203" i="7"/>
  <c r="T1203" i="7"/>
  <c r="S1203" i="7"/>
  <c r="R1203" i="7"/>
  <c r="Q1203" i="7"/>
  <c r="P1203" i="7"/>
  <c r="O1203" i="7"/>
  <c r="N1203" i="7"/>
  <c r="M1203" i="7"/>
  <c r="L1203" i="7"/>
  <c r="K1203" i="7"/>
  <c r="J1203" i="7"/>
  <c r="I1203" i="7"/>
  <c r="H1203" i="7"/>
  <c r="G1203" i="7"/>
  <c r="F1203" i="7"/>
  <c r="E1203" i="7"/>
  <c r="AC1202" i="7"/>
  <c r="D1202" i="7" s="1"/>
  <c r="B1202" i="7"/>
  <c r="AE1201" i="7"/>
  <c r="AD1201" i="7"/>
  <c r="AB1201" i="7"/>
  <c r="AA1201" i="7"/>
  <c r="Z1201" i="7"/>
  <c r="Y1201" i="7"/>
  <c r="X1201" i="7"/>
  <c r="W1201" i="7"/>
  <c r="V1201" i="7"/>
  <c r="U1201" i="7"/>
  <c r="T1201" i="7"/>
  <c r="S1201" i="7"/>
  <c r="R1201" i="7"/>
  <c r="Q1201" i="7"/>
  <c r="P1201" i="7"/>
  <c r="O1201" i="7"/>
  <c r="N1201" i="7"/>
  <c r="M1201" i="7"/>
  <c r="L1201" i="7"/>
  <c r="K1201" i="7"/>
  <c r="J1201" i="7"/>
  <c r="I1201" i="7"/>
  <c r="H1201" i="7"/>
  <c r="G1201" i="7"/>
  <c r="F1201" i="7"/>
  <c r="E1201" i="7"/>
  <c r="AC1200" i="7"/>
  <c r="D1200" i="7" s="1"/>
  <c r="B1200" i="7"/>
  <c r="AE1199" i="7"/>
  <c r="AD1199" i="7"/>
  <c r="AB1199" i="7"/>
  <c r="AA1199" i="7"/>
  <c r="Z1199" i="7"/>
  <c r="Y1199" i="7"/>
  <c r="X1199" i="7"/>
  <c r="W1199" i="7"/>
  <c r="V1199" i="7"/>
  <c r="U1199" i="7"/>
  <c r="T1199" i="7"/>
  <c r="S1199" i="7"/>
  <c r="R1199" i="7"/>
  <c r="Q1199" i="7"/>
  <c r="P1199" i="7"/>
  <c r="O1199" i="7"/>
  <c r="N1199" i="7"/>
  <c r="M1199" i="7"/>
  <c r="L1199" i="7"/>
  <c r="K1199" i="7"/>
  <c r="J1199" i="7"/>
  <c r="I1199" i="7"/>
  <c r="H1199" i="7"/>
  <c r="G1199" i="7"/>
  <c r="F1199" i="7"/>
  <c r="E1199" i="7"/>
  <c r="AC1198" i="7"/>
  <c r="AC1197" i="7" s="1"/>
  <c r="B1198" i="7"/>
  <c r="AE1197" i="7"/>
  <c r="AD1197" i="7"/>
  <c r="AB1197" i="7"/>
  <c r="AA1197" i="7"/>
  <c r="Z1197" i="7"/>
  <c r="Y1197" i="7"/>
  <c r="X1197" i="7"/>
  <c r="W1197" i="7"/>
  <c r="V1197" i="7"/>
  <c r="U1197" i="7"/>
  <c r="T1197" i="7"/>
  <c r="S1197" i="7"/>
  <c r="R1197" i="7"/>
  <c r="Q1197" i="7"/>
  <c r="P1197" i="7"/>
  <c r="O1197" i="7"/>
  <c r="N1197" i="7"/>
  <c r="M1197" i="7"/>
  <c r="L1197" i="7"/>
  <c r="K1197" i="7"/>
  <c r="J1197" i="7"/>
  <c r="I1197" i="7"/>
  <c r="H1197" i="7"/>
  <c r="G1197" i="7"/>
  <c r="F1197" i="7"/>
  <c r="E1197" i="7"/>
  <c r="AC1196" i="7"/>
  <c r="B1196" i="7"/>
  <c r="AE1195" i="7"/>
  <c r="AD1195" i="7"/>
  <c r="AB1195" i="7"/>
  <c r="AA1195" i="7"/>
  <c r="Z1195" i="7"/>
  <c r="Y1195" i="7"/>
  <c r="X1195" i="7"/>
  <c r="W1195" i="7"/>
  <c r="V1195" i="7"/>
  <c r="U1195" i="7"/>
  <c r="T1195" i="7"/>
  <c r="S1195" i="7"/>
  <c r="R1195" i="7"/>
  <c r="Q1195" i="7"/>
  <c r="P1195" i="7"/>
  <c r="O1195" i="7"/>
  <c r="N1195" i="7"/>
  <c r="M1195" i="7"/>
  <c r="L1195" i="7"/>
  <c r="K1195" i="7"/>
  <c r="J1195" i="7"/>
  <c r="I1195" i="7"/>
  <c r="H1195" i="7"/>
  <c r="G1195" i="7"/>
  <c r="F1195" i="7"/>
  <c r="E1195" i="7"/>
  <c r="AC1194" i="7"/>
  <c r="D1194" i="7" s="1"/>
  <c r="B1194" i="7"/>
  <c r="AE1193" i="7"/>
  <c r="AD1193" i="7"/>
  <c r="AB1193" i="7"/>
  <c r="AA1193" i="7"/>
  <c r="Z1193" i="7"/>
  <c r="Y1193" i="7"/>
  <c r="X1193" i="7"/>
  <c r="W1193" i="7"/>
  <c r="V1193" i="7"/>
  <c r="U1193" i="7"/>
  <c r="T1193" i="7"/>
  <c r="S1193" i="7"/>
  <c r="R1193" i="7"/>
  <c r="Q1193" i="7"/>
  <c r="P1193" i="7"/>
  <c r="O1193" i="7"/>
  <c r="N1193" i="7"/>
  <c r="M1193" i="7"/>
  <c r="L1193" i="7"/>
  <c r="K1193" i="7"/>
  <c r="J1193" i="7"/>
  <c r="I1193" i="7"/>
  <c r="H1193" i="7"/>
  <c r="G1193" i="7"/>
  <c r="F1193" i="7"/>
  <c r="E1193" i="7"/>
  <c r="AC1192" i="7"/>
  <c r="D1192" i="7" s="1"/>
  <c r="B1192" i="7"/>
  <c r="AC1191" i="7"/>
  <c r="D1191" i="7" s="1"/>
  <c r="B1191" i="7"/>
  <c r="AC1190" i="7"/>
  <c r="D1190" i="7" s="1"/>
  <c r="B1190" i="7"/>
  <c r="AE1189" i="7"/>
  <c r="AD1189" i="7"/>
  <c r="AB1189" i="7"/>
  <c r="AA1189" i="7"/>
  <c r="Z1189" i="7"/>
  <c r="Y1189" i="7"/>
  <c r="X1189" i="7"/>
  <c r="W1189" i="7"/>
  <c r="V1189" i="7"/>
  <c r="U1189" i="7"/>
  <c r="T1189" i="7"/>
  <c r="S1189" i="7"/>
  <c r="R1189" i="7"/>
  <c r="Q1189" i="7"/>
  <c r="P1189" i="7"/>
  <c r="O1189" i="7"/>
  <c r="N1189" i="7"/>
  <c r="M1189" i="7"/>
  <c r="L1189" i="7"/>
  <c r="K1189" i="7"/>
  <c r="J1189" i="7"/>
  <c r="I1189" i="7"/>
  <c r="H1189" i="7"/>
  <c r="G1189" i="7"/>
  <c r="F1189" i="7"/>
  <c r="E1189" i="7"/>
  <c r="AC1188" i="7"/>
  <c r="AC1187" i="7" s="1"/>
  <c r="B1188" i="7"/>
  <c r="AE1187" i="7"/>
  <c r="AD1187" i="7"/>
  <c r="AB1187" i="7"/>
  <c r="AA1187" i="7"/>
  <c r="Z1187" i="7"/>
  <c r="Y1187" i="7"/>
  <c r="X1187" i="7"/>
  <c r="W1187" i="7"/>
  <c r="V1187" i="7"/>
  <c r="U1187" i="7"/>
  <c r="T1187" i="7"/>
  <c r="S1187" i="7"/>
  <c r="R1187" i="7"/>
  <c r="Q1187" i="7"/>
  <c r="P1187" i="7"/>
  <c r="O1187" i="7"/>
  <c r="N1187" i="7"/>
  <c r="M1187" i="7"/>
  <c r="L1187" i="7"/>
  <c r="K1187" i="7"/>
  <c r="J1187" i="7"/>
  <c r="I1187" i="7"/>
  <c r="H1187" i="7"/>
  <c r="G1187" i="7"/>
  <c r="F1187" i="7"/>
  <c r="E1187" i="7"/>
  <c r="AC1186" i="7"/>
  <c r="D1186" i="7" s="1"/>
  <c r="B1186" i="7"/>
  <c r="AC1185" i="7"/>
  <c r="B1185" i="7"/>
  <c r="AE1184" i="7"/>
  <c r="AD1184" i="7"/>
  <c r="AB1184" i="7"/>
  <c r="AA1184" i="7"/>
  <c r="Z1184" i="7"/>
  <c r="Y1184" i="7"/>
  <c r="X1184" i="7"/>
  <c r="W1184" i="7"/>
  <c r="V1184" i="7"/>
  <c r="U1184" i="7"/>
  <c r="T1184" i="7"/>
  <c r="S1184" i="7"/>
  <c r="R1184" i="7"/>
  <c r="Q1184" i="7"/>
  <c r="P1184" i="7"/>
  <c r="O1184" i="7"/>
  <c r="N1184" i="7"/>
  <c r="M1184" i="7"/>
  <c r="L1184" i="7"/>
  <c r="K1184" i="7"/>
  <c r="J1184" i="7"/>
  <c r="I1184" i="7"/>
  <c r="H1184" i="7"/>
  <c r="G1184" i="7"/>
  <c r="F1184" i="7"/>
  <c r="E1184" i="7"/>
  <c r="AC1183" i="7"/>
  <c r="D1183" i="7" s="1"/>
  <c r="B1183" i="7"/>
  <c r="AC1182" i="7"/>
  <c r="D1182" i="7" s="1"/>
  <c r="B1182" i="7"/>
  <c r="AC1181" i="7"/>
  <c r="B1181" i="7"/>
  <c r="AE1180" i="7"/>
  <c r="AD1180" i="7"/>
  <c r="AB1180" i="7"/>
  <c r="AA1180" i="7"/>
  <c r="Z1180" i="7"/>
  <c r="Y1180" i="7"/>
  <c r="X1180" i="7"/>
  <c r="W1180" i="7"/>
  <c r="V1180" i="7"/>
  <c r="U1180" i="7"/>
  <c r="T1180" i="7"/>
  <c r="S1180" i="7"/>
  <c r="R1180" i="7"/>
  <c r="Q1180" i="7"/>
  <c r="P1180" i="7"/>
  <c r="O1180" i="7"/>
  <c r="N1180" i="7"/>
  <c r="M1180" i="7"/>
  <c r="L1180" i="7"/>
  <c r="K1180" i="7"/>
  <c r="J1180" i="7"/>
  <c r="I1180" i="7"/>
  <c r="H1180" i="7"/>
  <c r="G1180" i="7"/>
  <c r="F1180" i="7"/>
  <c r="E1180" i="7"/>
  <c r="AC1179" i="7"/>
  <c r="D1179" i="7" s="1"/>
  <c r="B1179" i="7"/>
  <c r="AC1178" i="7"/>
  <c r="D1178" i="7" s="1"/>
  <c r="B1178" i="7"/>
  <c r="AE1177" i="7"/>
  <c r="AD1177" i="7"/>
  <c r="AB1177" i="7"/>
  <c r="AA1177" i="7"/>
  <c r="Z1177" i="7"/>
  <c r="Y1177" i="7"/>
  <c r="X1177" i="7"/>
  <c r="W1177" i="7"/>
  <c r="V1177" i="7"/>
  <c r="U1177" i="7"/>
  <c r="T1177" i="7"/>
  <c r="S1177" i="7"/>
  <c r="R1177" i="7"/>
  <c r="Q1177" i="7"/>
  <c r="P1177" i="7"/>
  <c r="O1177" i="7"/>
  <c r="N1177" i="7"/>
  <c r="M1177" i="7"/>
  <c r="L1177" i="7"/>
  <c r="K1177" i="7"/>
  <c r="J1177" i="7"/>
  <c r="I1177" i="7"/>
  <c r="H1177" i="7"/>
  <c r="G1177" i="7"/>
  <c r="F1177" i="7"/>
  <c r="E1177" i="7"/>
  <c r="U1176" i="7"/>
  <c r="AC1176" i="7" s="1"/>
  <c r="D1176" i="7" s="1"/>
  <c r="B1176" i="7"/>
  <c r="N1175" i="7"/>
  <c r="AC1175" i="7" s="1"/>
  <c r="D1175" i="7" s="1"/>
  <c r="B1175" i="7"/>
  <c r="N1174" i="7"/>
  <c r="AC1174" i="7" s="1"/>
  <c r="D1174" i="7" s="1"/>
  <c r="B1174" i="7"/>
  <c r="N1173" i="7"/>
  <c r="AC1173" i="7" s="1"/>
  <c r="D1173" i="7" s="1"/>
  <c r="B1173" i="7"/>
  <c r="D1172" i="7"/>
  <c r="B1172" i="7"/>
  <c r="N1171" i="7"/>
  <c r="AC1171" i="7" s="1"/>
  <c r="D1171" i="7" s="1"/>
  <c r="B1171" i="7"/>
  <c r="AE1170" i="7"/>
  <c r="AD1170" i="7"/>
  <c r="AB1170" i="7"/>
  <c r="AA1170" i="7"/>
  <c r="Z1170" i="7"/>
  <c r="Y1170" i="7"/>
  <c r="X1170" i="7"/>
  <c r="W1170" i="7"/>
  <c r="V1170" i="7"/>
  <c r="T1170" i="7"/>
  <c r="S1170" i="7"/>
  <c r="R1170" i="7"/>
  <c r="Q1170" i="7"/>
  <c r="P1170" i="7"/>
  <c r="O1170" i="7"/>
  <c r="M1170" i="7"/>
  <c r="L1170" i="7"/>
  <c r="K1170" i="7"/>
  <c r="J1170" i="7"/>
  <c r="I1170" i="7"/>
  <c r="H1170" i="7"/>
  <c r="G1170" i="7"/>
  <c r="F1170" i="7"/>
  <c r="E1170" i="7"/>
  <c r="AC1169" i="7"/>
  <c r="D1169" i="7" s="1"/>
  <c r="B1169" i="7"/>
  <c r="AE1168" i="7"/>
  <c r="AD1168" i="7"/>
  <c r="AB1168" i="7"/>
  <c r="AA1168" i="7"/>
  <c r="Z1168" i="7"/>
  <c r="Y1168" i="7"/>
  <c r="X1168" i="7"/>
  <c r="W1168" i="7"/>
  <c r="V1168" i="7"/>
  <c r="U1168" i="7"/>
  <c r="T1168" i="7"/>
  <c r="S1168" i="7"/>
  <c r="R1168" i="7"/>
  <c r="Q1168" i="7"/>
  <c r="P1168" i="7"/>
  <c r="O1168" i="7"/>
  <c r="N1168" i="7"/>
  <c r="M1168" i="7"/>
  <c r="L1168" i="7"/>
  <c r="K1168" i="7"/>
  <c r="J1168" i="7"/>
  <c r="I1168" i="7"/>
  <c r="H1168" i="7"/>
  <c r="G1168" i="7"/>
  <c r="F1168" i="7"/>
  <c r="E1168" i="7"/>
  <c r="AC1167" i="7"/>
  <c r="B1167" i="7"/>
  <c r="AE1166" i="7"/>
  <c r="AD1166" i="7"/>
  <c r="AB1166" i="7"/>
  <c r="AA1166" i="7"/>
  <c r="Z1166" i="7"/>
  <c r="Y1166" i="7"/>
  <c r="X1166" i="7"/>
  <c r="W1166" i="7"/>
  <c r="V1166" i="7"/>
  <c r="U1166" i="7"/>
  <c r="T1166" i="7"/>
  <c r="S1166" i="7"/>
  <c r="R1166" i="7"/>
  <c r="Q1166" i="7"/>
  <c r="P1166" i="7"/>
  <c r="O1166" i="7"/>
  <c r="N1166" i="7"/>
  <c r="M1166" i="7"/>
  <c r="L1166" i="7"/>
  <c r="K1166" i="7"/>
  <c r="J1166" i="7"/>
  <c r="I1166" i="7"/>
  <c r="H1166" i="7"/>
  <c r="G1166" i="7"/>
  <c r="F1166" i="7"/>
  <c r="E1166" i="7"/>
  <c r="AC1165" i="7"/>
  <c r="B1165" i="7"/>
  <c r="AE1164" i="7"/>
  <c r="AD1164" i="7"/>
  <c r="AB1164" i="7"/>
  <c r="AA1164" i="7"/>
  <c r="Z1164" i="7"/>
  <c r="Y1164" i="7"/>
  <c r="X1164" i="7"/>
  <c r="W1164" i="7"/>
  <c r="V1164" i="7"/>
  <c r="U1164" i="7"/>
  <c r="T1164" i="7"/>
  <c r="S1164" i="7"/>
  <c r="R1164" i="7"/>
  <c r="Q1164" i="7"/>
  <c r="P1164" i="7"/>
  <c r="O1164" i="7"/>
  <c r="N1164" i="7"/>
  <c r="M1164" i="7"/>
  <c r="L1164" i="7"/>
  <c r="K1164" i="7"/>
  <c r="J1164" i="7"/>
  <c r="I1164" i="7"/>
  <c r="H1164" i="7"/>
  <c r="G1164" i="7"/>
  <c r="F1164" i="7"/>
  <c r="E1164" i="7"/>
  <c r="AC1163" i="7"/>
  <c r="D1163" i="7" s="1"/>
  <c r="B1163" i="7"/>
  <c r="AC1162" i="7"/>
  <c r="B1162" i="7"/>
  <c r="AE1161" i="7"/>
  <c r="AD1161" i="7"/>
  <c r="AB1161" i="7"/>
  <c r="AA1161" i="7"/>
  <c r="Z1161" i="7"/>
  <c r="Y1161" i="7"/>
  <c r="X1161" i="7"/>
  <c r="W1161" i="7"/>
  <c r="V1161" i="7"/>
  <c r="U1161" i="7"/>
  <c r="T1161" i="7"/>
  <c r="S1161" i="7"/>
  <c r="R1161" i="7"/>
  <c r="Q1161" i="7"/>
  <c r="P1161" i="7"/>
  <c r="O1161" i="7"/>
  <c r="N1161" i="7"/>
  <c r="M1161" i="7"/>
  <c r="L1161" i="7"/>
  <c r="K1161" i="7"/>
  <c r="J1161" i="7"/>
  <c r="I1161" i="7"/>
  <c r="H1161" i="7"/>
  <c r="G1161" i="7"/>
  <c r="F1161" i="7"/>
  <c r="E1161" i="7"/>
  <c r="AC1160" i="7"/>
  <c r="B1160" i="7"/>
  <c r="AC1157" i="7"/>
  <c r="D1157" i="7" s="1"/>
  <c r="B1157" i="7"/>
  <c r="AE1156" i="7"/>
  <c r="AD1156" i="7"/>
  <c r="AB1156" i="7"/>
  <c r="AA1156" i="7"/>
  <c r="Z1156" i="7"/>
  <c r="Y1156" i="7"/>
  <c r="X1156" i="7"/>
  <c r="W1156" i="7"/>
  <c r="V1156" i="7"/>
  <c r="U1156" i="7"/>
  <c r="T1156" i="7"/>
  <c r="S1156" i="7"/>
  <c r="R1156" i="7"/>
  <c r="Q1156" i="7"/>
  <c r="P1156" i="7"/>
  <c r="O1156" i="7"/>
  <c r="N1156" i="7"/>
  <c r="M1156" i="7"/>
  <c r="L1156" i="7"/>
  <c r="K1156" i="7"/>
  <c r="J1156" i="7"/>
  <c r="I1156" i="7"/>
  <c r="H1156" i="7"/>
  <c r="G1156" i="7"/>
  <c r="F1156" i="7"/>
  <c r="E1156" i="7"/>
  <c r="AC1155" i="7"/>
  <c r="AC1154" i="7" s="1"/>
  <c r="B1155" i="7"/>
  <c r="AE1154" i="7"/>
  <c r="AD1154" i="7"/>
  <c r="AB1154" i="7"/>
  <c r="AA1154" i="7"/>
  <c r="Z1154" i="7"/>
  <c r="Y1154" i="7"/>
  <c r="X1154" i="7"/>
  <c r="W1154" i="7"/>
  <c r="V1154" i="7"/>
  <c r="U1154" i="7"/>
  <c r="T1154" i="7"/>
  <c r="S1154" i="7"/>
  <c r="R1154" i="7"/>
  <c r="Q1154" i="7"/>
  <c r="P1154" i="7"/>
  <c r="O1154" i="7"/>
  <c r="N1154" i="7"/>
  <c r="M1154" i="7"/>
  <c r="L1154" i="7"/>
  <c r="K1154" i="7"/>
  <c r="J1154" i="7"/>
  <c r="I1154" i="7"/>
  <c r="H1154" i="7"/>
  <c r="G1154" i="7"/>
  <c r="F1154" i="7"/>
  <c r="E1154" i="7"/>
  <c r="AC1153" i="7"/>
  <c r="B1153" i="7"/>
  <c r="AE1152" i="7"/>
  <c r="AD1152" i="7"/>
  <c r="AB1152" i="7"/>
  <c r="AA1152" i="7"/>
  <c r="Z1152" i="7"/>
  <c r="Y1152" i="7"/>
  <c r="X1152" i="7"/>
  <c r="W1152" i="7"/>
  <c r="V1152" i="7"/>
  <c r="U1152" i="7"/>
  <c r="T1152" i="7"/>
  <c r="S1152" i="7"/>
  <c r="R1152" i="7"/>
  <c r="Q1152" i="7"/>
  <c r="P1152" i="7"/>
  <c r="O1152" i="7"/>
  <c r="N1152" i="7"/>
  <c r="M1152" i="7"/>
  <c r="L1152" i="7"/>
  <c r="K1152" i="7"/>
  <c r="J1152" i="7"/>
  <c r="I1152" i="7"/>
  <c r="H1152" i="7"/>
  <c r="G1152" i="7"/>
  <c r="F1152" i="7"/>
  <c r="E1152" i="7"/>
  <c r="AC1151" i="7"/>
  <c r="D1151" i="7" s="1"/>
  <c r="B1151" i="7"/>
  <c r="AC1150" i="7"/>
  <c r="D1150" i="7" s="1"/>
  <c r="B1150" i="7"/>
  <c r="AE1149" i="7"/>
  <c r="AD1149" i="7"/>
  <c r="AB1149" i="7"/>
  <c r="AA1149" i="7"/>
  <c r="Z1149" i="7"/>
  <c r="Y1149" i="7"/>
  <c r="X1149" i="7"/>
  <c r="W1149" i="7"/>
  <c r="V1149" i="7"/>
  <c r="U1149" i="7"/>
  <c r="T1149" i="7"/>
  <c r="S1149" i="7"/>
  <c r="R1149" i="7"/>
  <c r="Q1149" i="7"/>
  <c r="P1149" i="7"/>
  <c r="O1149" i="7"/>
  <c r="N1149" i="7"/>
  <c r="M1149" i="7"/>
  <c r="L1149" i="7"/>
  <c r="K1149" i="7"/>
  <c r="J1149" i="7"/>
  <c r="I1149" i="7"/>
  <c r="H1149" i="7"/>
  <c r="G1149" i="7"/>
  <c r="F1149" i="7"/>
  <c r="E1149" i="7"/>
  <c r="D1148" i="7"/>
  <c r="B1148" i="7"/>
  <c r="AC1147" i="7"/>
  <c r="D1147" i="7" s="1"/>
  <c r="B1147" i="7"/>
  <c r="AT1146" i="7"/>
  <c r="AC1146" i="7"/>
  <c r="D1146" i="7" s="1"/>
  <c r="B1146" i="7"/>
  <c r="R1145" i="7"/>
  <c r="AC1145" i="7" s="1"/>
  <c r="D1145" i="7" s="1"/>
  <c r="B1145" i="7"/>
  <c r="AC1144" i="7"/>
  <c r="B1144" i="7"/>
  <c r="AC1143" i="7"/>
  <c r="D1143" i="7" s="1"/>
  <c r="B1143" i="7"/>
  <c r="AC1142" i="7"/>
  <c r="D1142" i="7" s="1"/>
  <c r="B1142" i="7"/>
  <c r="AE1141" i="7"/>
  <c r="AD1141" i="7"/>
  <c r="AB1141" i="7"/>
  <c r="AA1141" i="7"/>
  <c r="Z1141" i="7"/>
  <c r="Y1141" i="7"/>
  <c r="X1141" i="7"/>
  <c r="W1141" i="7"/>
  <c r="V1141" i="7"/>
  <c r="U1141" i="7"/>
  <c r="T1141" i="7"/>
  <c r="S1141" i="7"/>
  <c r="R1141" i="7"/>
  <c r="Q1141" i="7"/>
  <c r="P1141" i="7"/>
  <c r="O1141" i="7"/>
  <c r="N1141" i="7"/>
  <c r="M1141" i="7"/>
  <c r="L1141" i="7"/>
  <c r="K1141" i="7"/>
  <c r="J1141" i="7"/>
  <c r="I1141" i="7"/>
  <c r="H1141" i="7"/>
  <c r="G1141" i="7"/>
  <c r="F1141" i="7"/>
  <c r="E1141" i="7"/>
  <c r="AC1140" i="7"/>
  <c r="B1140" i="7"/>
  <c r="AE1139" i="7"/>
  <c r="AD1139" i="7"/>
  <c r="AB1139" i="7"/>
  <c r="AA1139" i="7"/>
  <c r="Z1139" i="7"/>
  <c r="Y1139" i="7"/>
  <c r="X1139" i="7"/>
  <c r="W1139" i="7"/>
  <c r="V1139" i="7"/>
  <c r="U1139" i="7"/>
  <c r="T1139" i="7"/>
  <c r="S1139" i="7"/>
  <c r="R1139" i="7"/>
  <c r="Q1139" i="7"/>
  <c r="P1139" i="7"/>
  <c r="O1139" i="7"/>
  <c r="N1139" i="7"/>
  <c r="M1139" i="7"/>
  <c r="L1139" i="7"/>
  <c r="K1139" i="7"/>
  <c r="J1139" i="7"/>
  <c r="I1139" i="7"/>
  <c r="H1139" i="7"/>
  <c r="G1139" i="7"/>
  <c r="F1139" i="7"/>
  <c r="E1139" i="7"/>
  <c r="AC1138" i="7"/>
  <c r="B1138" i="7"/>
  <c r="AE1137" i="7"/>
  <c r="AD1137" i="7"/>
  <c r="AB1137" i="7"/>
  <c r="AA1137" i="7"/>
  <c r="Z1137" i="7"/>
  <c r="Y1137" i="7"/>
  <c r="X1137" i="7"/>
  <c r="W1137" i="7"/>
  <c r="V1137" i="7"/>
  <c r="U1137" i="7"/>
  <c r="T1137" i="7"/>
  <c r="S1137" i="7"/>
  <c r="R1137" i="7"/>
  <c r="Q1137" i="7"/>
  <c r="P1137" i="7"/>
  <c r="O1137" i="7"/>
  <c r="N1137" i="7"/>
  <c r="M1137" i="7"/>
  <c r="L1137" i="7"/>
  <c r="K1137" i="7"/>
  <c r="J1137" i="7"/>
  <c r="I1137" i="7"/>
  <c r="H1137" i="7"/>
  <c r="G1137" i="7"/>
  <c r="F1137" i="7"/>
  <c r="E1137" i="7"/>
  <c r="AC1136" i="7"/>
  <c r="D1136" i="7" s="1"/>
  <c r="B1136" i="7"/>
  <c r="AC1135" i="7"/>
  <c r="D1135" i="7" s="1"/>
  <c r="B1135" i="7"/>
  <c r="AE1134" i="7"/>
  <c r="AD1134" i="7"/>
  <c r="AB1134" i="7"/>
  <c r="AA1134" i="7"/>
  <c r="Z1134" i="7"/>
  <c r="Y1134" i="7"/>
  <c r="X1134" i="7"/>
  <c r="W1134" i="7"/>
  <c r="V1134" i="7"/>
  <c r="U1134" i="7"/>
  <c r="T1134" i="7"/>
  <c r="S1134" i="7"/>
  <c r="R1134" i="7"/>
  <c r="Q1134" i="7"/>
  <c r="P1134" i="7"/>
  <c r="O1134" i="7"/>
  <c r="N1134" i="7"/>
  <c r="M1134" i="7"/>
  <c r="L1134" i="7"/>
  <c r="K1134" i="7"/>
  <c r="J1134" i="7"/>
  <c r="I1134" i="7"/>
  <c r="H1134" i="7"/>
  <c r="G1134" i="7"/>
  <c r="F1134" i="7"/>
  <c r="E1134" i="7"/>
  <c r="AC1133" i="7"/>
  <c r="B1133" i="7"/>
  <c r="AE1132" i="7"/>
  <c r="AD1132" i="7"/>
  <c r="AB1132" i="7"/>
  <c r="AA1132" i="7"/>
  <c r="Z1132" i="7"/>
  <c r="Y1132" i="7"/>
  <c r="X1132" i="7"/>
  <c r="W1132" i="7"/>
  <c r="V1132" i="7"/>
  <c r="U1132" i="7"/>
  <c r="T1132" i="7"/>
  <c r="S1132" i="7"/>
  <c r="R1132" i="7"/>
  <c r="Q1132" i="7"/>
  <c r="P1132" i="7"/>
  <c r="O1132" i="7"/>
  <c r="N1132" i="7"/>
  <c r="M1132" i="7"/>
  <c r="L1132" i="7"/>
  <c r="K1132" i="7"/>
  <c r="J1132" i="7"/>
  <c r="I1132" i="7"/>
  <c r="H1132" i="7"/>
  <c r="G1132" i="7"/>
  <c r="F1132" i="7"/>
  <c r="E1132" i="7"/>
  <c r="AC1131" i="7"/>
  <c r="B1131" i="7"/>
  <c r="AE1130" i="7"/>
  <c r="AD1130" i="7"/>
  <c r="AB1130" i="7"/>
  <c r="AA1130" i="7"/>
  <c r="Z1130" i="7"/>
  <c r="Y1130" i="7"/>
  <c r="X1130" i="7"/>
  <c r="W1130" i="7"/>
  <c r="V1130" i="7"/>
  <c r="U1130" i="7"/>
  <c r="T1130" i="7"/>
  <c r="S1130" i="7"/>
  <c r="R1130" i="7"/>
  <c r="Q1130" i="7"/>
  <c r="P1130" i="7"/>
  <c r="O1130" i="7"/>
  <c r="N1130" i="7"/>
  <c r="M1130" i="7"/>
  <c r="L1130" i="7"/>
  <c r="K1130" i="7"/>
  <c r="J1130" i="7"/>
  <c r="I1130" i="7"/>
  <c r="H1130" i="7"/>
  <c r="G1130" i="7"/>
  <c r="F1130" i="7"/>
  <c r="E1130" i="7"/>
  <c r="AC1129" i="7"/>
  <c r="D1129" i="7" s="1"/>
  <c r="B1129" i="7"/>
  <c r="AC1128" i="7"/>
  <c r="B1128" i="7"/>
  <c r="AE1127" i="7"/>
  <c r="AD1127" i="7"/>
  <c r="AB1127" i="7"/>
  <c r="AA1127" i="7"/>
  <c r="Z1127" i="7"/>
  <c r="Y1127" i="7"/>
  <c r="X1127" i="7"/>
  <c r="W1127" i="7"/>
  <c r="V1127" i="7"/>
  <c r="U1127" i="7"/>
  <c r="T1127" i="7"/>
  <c r="S1127" i="7"/>
  <c r="R1127" i="7"/>
  <c r="Q1127" i="7"/>
  <c r="P1127" i="7"/>
  <c r="O1127" i="7"/>
  <c r="N1127" i="7"/>
  <c r="M1127" i="7"/>
  <c r="L1127" i="7"/>
  <c r="K1127" i="7"/>
  <c r="J1127" i="7"/>
  <c r="I1127" i="7"/>
  <c r="H1127" i="7"/>
  <c r="G1127" i="7"/>
  <c r="F1127" i="7"/>
  <c r="E1127" i="7"/>
  <c r="AC1126" i="7"/>
  <c r="B1126" i="7"/>
  <c r="AC1125" i="7"/>
  <c r="D1125" i="7" s="1"/>
  <c r="B1125" i="7"/>
  <c r="AE1124" i="7"/>
  <c r="AD1124" i="7"/>
  <c r="AB1124" i="7"/>
  <c r="AA1124" i="7"/>
  <c r="Z1124" i="7"/>
  <c r="Y1124" i="7"/>
  <c r="X1124" i="7"/>
  <c r="W1124" i="7"/>
  <c r="V1124" i="7"/>
  <c r="U1124" i="7"/>
  <c r="T1124" i="7"/>
  <c r="S1124" i="7"/>
  <c r="R1124" i="7"/>
  <c r="Q1124" i="7"/>
  <c r="P1124" i="7"/>
  <c r="O1124" i="7"/>
  <c r="N1124" i="7"/>
  <c r="M1124" i="7"/>
  <c r="L1124" i="7"/>
  <c r="K1124" i="7"/>
  <c r="J1124" i="7"/>
  <c r="I1124" i="7"/>
  <c r="H1124" i="7"/>
  <c r="G1124" i="7"/>
  <c r="F1124" i="7"/>
  <c r="E1124" i="7"/>
  <c r="AC1122" i="7"/>
  <c r="D1122" i="7" s="1"/>
  <c r="B1122" i="7"/>
  <c r="AE1121" i="7"/>
  <c r="AD1121" i="7"/>
  <c r="AB1121" i="7"/>
  <c r="AA1121" i="7"/>
  <c r="Z1121" i="7"/>
  <c r="Y1121" i="7"/>
  <c r="X1121" i="7"/>
  <c r="W1121" i="7"/>
  <c r="V1121" i="7"/>
  <c r="U1121" i="7"/>
  <c r="T1121" i="7"/>
  <c r="S1121" i="7"/>
  <c r="R1121" i="7"/>
  <c r="Q1121" i="7"/>
  <c r="P1121" i="7"/>
  <c r="O1121" i="7"/>
  <c r="N1121" i="7"/>
  <c r="M1121" i="7"/>
  <c r="L1121" i="7"/>
  <c r="K1121" i="7"/>
  <c r="J1121" i="7"/>
  <c r="I1121" i="7"/>
  <c r="H1121" i="7"/>
  <c r="G1121" i="7"/>
  <c r="F1121" i="7"/>
  <c r="E1121" i="7"/>
  <c r="AC1120" i="7"/>
  <c r="D1120" i="7" s="1"/>
  <c r="B1120" i="7"/>
  <c r="AC1119" i="7"/>
  <c r="D1119" i="7" s="1"/>
  <c r="B1119" i="7"/>
  <c r="AC1118" i="7"/>
  <c r="D1118" i="7" s="1"/>
  <c r="B1118" i="7"/>
  <c r="AC1117" i="7"/>
  <c r="D1117" i="7" s="1"/>
  <c r="B1117" i="7"/>
  <c r="AC1116" i="7"/>
  <c r="D1116" i="7" s="1"/>
  <c r="B1116" i="7"/>
  <c r="D1115" i="7"/>
  <c r="B1115" i="7"/>
  <c r="AC1114" i="7"/>
  <c r="D1114" i="7" s="1"/>
  <c r="B1114" i="7"/>
  <c r="AC1113" i="7"/>
  <c r="D1113" i="7" s="1"/>
  <c r="B1113" i="7"/>
  <c r="AE1112" i="7"/>
  <c r="AD1112" i="7"/>
  <c r="AB1112" i="7"/>
  <c r="AA1112" i="7"/>
  <c r="Z1112" i="7"/>
  <c r="Y1112" i="7"/>
  <c r="X1112" i="7"/>
  <c r="W1112" i="7"/>
  <c r="V1112" i="7"/>
  <c r="U1112" i="7"/>
  <c r="T1112" i="7"/>
  <c r="S1112" i="7"/>
  <c r="R1112" i="7"/>
  <c r="Q1112" i="7"/>
  <c r="P1112" i="7"/>
  <c r="O1112" i="7"/>
  <c r="N1112" i="7"/>
  <c r="M1112" i="7"/>
  <c r="L1112" i="7"/>
  <c r="K1112" i="7"/>
  <c r="J1112" i="7"/>
  <c r="I1112" i="7"/>
  <c r="H1112" i="7"/>
  <c r="G1112" i="7"/>
  <c r="F1112" i="7"/>
  <c r="E1112" i="7"/>
  <c r="AC1111" i="7"/>
  <c r="D1111" i="7" s="1"/>
  <c r="B1111" i="7"/>
  <c r="AC1110" i="7"/>
  <c r="D1110" i="7" s="1"/>
  <c r="B1110" i="7"/>
  <c r="AE1109" i="7"/>
  <c r="AD1109" i="7"/>
  <c r="AB1109" i="7"/>
  <c r="AA1109" i="7"/>
  <c r="Z1109" i="7"/>
  <c r="Y1109" i="7"/>
  <c r="X1109" i="7"/>
  <c r="W1109" i="7"/>
  <c r="V1109" i="7"/>
  <c r="U1109" i="7"/>
  <c r="T1109" i="7"/>
  <c r="S1109" i="7"/>
  <c r="R1109" i="7"/>
  <c r="Q1109" i="7"/>
  <c r="P1109" i="7"/>
  <c r="O1109" i="7"/>
  <c r="N1109" i="7"/>
  <c r="M1109" i="7"/>
  <c r="L1109" i="7"/>
  <c r="K1109" i="7"/>
  <c r="J1109" i="7"/>
  <c r="I1109" i="7"/>
  <c r="H1109" i="7"/>
  <c r="G1109" i="7"/>
  <c r="F1109" i="7"/>
  <c r="E1109" i="7"/>
  <c r="AC1108" i="7"/>
  <c r="D1108" i="7" s="1"/>
  <c r="B1108" i="7"/>
  <c r="AC1107" i="7"/>
  <c r="D1107" i="7" s="1"/>
  <c r="B1107" i="7"/>
  <c r="N1106" i="7"/>
  <c r="AC1106" i="7" s="1"/>
  <c r="D1106" i="7" s="1"/>
  <c r="B1106" i="7"/>
  <c r="D1105" i="7"/>
  <c r="B1105" i="7"/>
  <c r="AC1104" i="7"/>
  <c r="D1104" i="7" s="1"/>
  <c r="B1104" i="7"/>
  <c r="AC1103" i="7"/>
  <c r="D1103" i="7" s="1"/>
  <c r="B1103" i="7"/>
  <c r="AT1102" i="7"/>
  <c r="AC1102" i="7"/>
  <c r="D1102" i="7" s="1"/>
  <c r="B1102" i="7"/>
  <c r="D1101" i="7"/>
  <c r="B1101" i="7"/>
  <c r="AC1100" i="7"/>
  <c r="D1100" i="7" s="1"/>
  <c r="B1100" i="7"/>
  <c r="AC1099" i="7"/>
  <c r="D1099" i="7" s="1"/>
  <c r="B1099" i="7"/>
  <c r="AC1098" i="7"/>
  <c r="B1098" i="7"/>
  <c r="AE1097" i="7"/>
  <c r="AD1097" i="7"/>
  <c r="AB1097" i="7"/>
  <c r="AA1097" i="7"/>
  <c r="Z1097" i="7"/>
  <c r="Y1097" i="7"/>
  <c r="X1097" i="7"/>
  <c r="W1097" i="7"/>
  <c r="V1097" i="7"/>
  <c r="U1097" i="7"/>
  <c r="T1097" i="7"/>
  <c r="S1097" i="7"/>
  <c r="R1097" i="7"/>
  <c r="Q1097" i="7"/>
  <c r="P1097" i="7"/>
  <c r="O1097" i="7"/>
  <c r="M1097" i="7"/>
  <c r="L1097" i="7"/>
  <c r="K1097" i="7"/>
  <c r="J1097" i="7"/>
  <c r="I1097" i="7"/>
  <c r="H1097" i="7"/>
  <c r="G1097" i="7"/>
  <c r="F1097" i="7"/>
  <c r="E1097" i="7"/>
  <c r="D1096" i="7"/>
  <c r="B1096" i="7"/>
  <c r="AC1095" i="7"/>
  <c r="D1095" i="7" s="1"/>
  <c r="B1095" i="7"/>
  <c r="AC1094" i="7"/>
  <c r="D1094" i="7" s="1"/>
  <c r="B1094" i="7"/>
  <c r="AC1093" i="7"/>
  <c r="D1093" i="7" s="1"/>
  <c r="B1093" i="7"/>
  <c r="AC1092" i="7"/>
  <c r="D1092" i="7" s="1"/>
  <c r="B1092" i="7"/>
  <c r="AC1091" i="7"/>
  <c r="D1091" i="7" s="1"/>
  <c r="B1091" i="7"/>
  <c r="AC1090" i="7"/>
  <c r="D1090" i="7" s="1"/>
  <c r="B1090" i="7"/>
  <c r="AC1089" i="7"/>
  <c r="D1089" i="7" s="1"/>
  <c r="B1089" i="7"/>
  <c r="AC1088" i="7"/>
  <c r="D1088" i="7" s="1"/>
  <c r="B1088" i="7"/>
  <c r="AC1087" i="7"/>
  <c r="D1087" i="7" s="1"/>
  <c r="B1087" i="7"/>
  <c r="AC1086" i="7"/>
  <c r="D1086" i="7" s="1"/>
  <c r="B1086" i="7"/>
  <c r="AC1085" i="7"/>
  <c r="D1085" i="7" s="1"/>
  <c r="B1085" i="7"/>
  <c r="AT1084" i="7"/>
  <c r="D1084" i="7"/>
  <c r="B1084" i="7"/>
  <c r="AC1083" i="7"/>
  <c r="D1083" i="7" s="1"/>
  <c r="B1083" i="7"/>
  <c r="AC1082" i="7"/>
  <c r="D1082" i="7" s="1"/>
  <c r="B1082" i="7"/>
  <c r="AC1081" i="7"/>
  <c r="D1081" i="7" s="1"/>
  <c r="B1081" i="7"/>
  <c r="AC1080" i="7"/>
  <c r="D1080" i="7" s="1"/>
  <c r="B1080" i="7"/>
  <c r="AC1079" i="7"/>
  <c r="D1079" i="7" s="1"/>
  <c r="B1079" i="7"/>
  <c r="AC1078" i="7"/>
  <c r="D1078" i="7" s="1"/>
  <c r="B1078" i="7"/>
  <c r="AC1077" i="7"/>
  <c r="D1077" i="7" s="1"/>
  <c r="B1077" i="7"/>
  <c r="AC1076" i="7"/>
  <c r="D1076" i="7" s="1"/>
  <c r="B1076" i="7"/>
  <c r="N1075" i="7"/>
  <c r="N1070" i="7" s="1"/>
  <c r="B1075" i="7"/>
  <c r="AC1074" i="7"/>
  <c r="D1074" i="7" s="1"/>
  <c r="B1074" i="7"/>
  <c r="AC1073" i="7"/>
  <c r="D1073" i="7" s="1"/>
  <c r="B1073" i="7"/>
  <c r="AC1072" i="7"/>
  <c r="D1072" i="7" s="1"/>
  <c r="B1072" i="7"/>
  <c r="AC1071" i="7"/>
  <c r="D1071" i="7" s="1"/>
  <c r="B1071" i="7"/>
  <c r="AE1070" i="7"/>
  <c r="AD1070" i="7"/>
  <c r="AB1070" i="7"/>
  <c r="AA1070" i="7"/>
  <c r="Z1070" i="7"/>
  <c r="Y1070" i="7"/>
  <c r="X1070" i="7"/>
  <c r="W1070" i="7"/>
  <c r="V1070" i="7"/>
  <c r="U1070" i="7"/>
  <c r="T1070" i="7"/>
  <c r="S1070" i="7"/>
  <c r="R1070" i="7"/>
  <c r="Q1070" i="7"/>
  <c r="P1070" i="7"/>
  <c r="O1070" i="7"/>
  <c r="M1070" i="7"/>
  <c r="L1070" i="7"/>
  <c r="K1070" i="7"/>
  <c r="J1070" i="7"/>
  <c r="I1070" i="7"/>
  <c r="H1070" i="7"/>
  <c r="G1070" i="7"/>
  <c r="F1070" i="7"/>
  <c r="E1070" i="7"/>
  <c r="AC1069" i="7"/>
  <c r="D1069" i="7" s="1"/>
  <c r="B1069" i="7"/>
  <c r="AC1068" i="7"/>
  <c r="D1068" i="7" s="1"/>
  <c r="B1068" i="7"/>
  <c r="N1067" i="7"/>
  <c r="AC1067" i="7" s="1"/>
  <c r="D1067" i="7" s="1"/>
  <c r="B1067" i="7"/>
  <c r="AC1066" i="7"/>
  <c r="D1066" i="7" s="1"/>
  <c r="B1066" i="7"/>
  <c r="N1065" i="7"/>
  <c r="AC1065" i="7" s="1"/>
  <c r="D1065" i="7" s="1"/>
  <c r="B1065" i="7"/>
  <c r="AC1064" i="7"/>
  <c r="D1064" i="7" s="1"/>
  <c r="B1064" i="7"/>
  <c r="AC1063" i="7"/>
  <c r="D1063" i="7" s="1"/>
  <c r="B1063" i="7"/>
  <c r="AC1062" i="7"/>
  <c r="D1062" i="7" s="1"/>
  <c r="B1062" i="7"/>
  <c r="AC1061" i="7"/>
  <c r="D1061" i="7" s="1"/>
  <c r="B1061" i="7"/>
  <c r="AC1060" i="7"/>
  <c r="D1060" i="7" s="1"/>
  <c r="B1060" i="7"/>
  <c r="AC1059" i="7"/>
  <c r="D1059" i="7" s="1"/>
  <c r="B1059" i="7"/>
  <c r="AC1058" i="7"/>
  <c r="D1058" i="7" s="1"/>
  <c r="B1058" i="7"/>
  <c r="AC1057" i="7"/>
  <c r="D1057" i="7" s="1"/>
  <c r="B1057" i="7"/>
  <c r="AC1056" i="7"/>
  <c r="B1056" i="7"/>
  <c r="AE1055" i="7"/>
  <c r="AD1055" i="7"/>
  <c r="AB1055" i="7"/>
  <c r="AA1055" i="7"/>
  <c r="Z1055" i="7"/>
  <c r="Y1055" i="7"/>
  <c r="X1055" i="7"/>
  <c r="W1055" i="7"/>
  <c r="V1055" i="7"/>
  <c r="U1055" i="7"/>
  <c r="T1055" i="7"/>
  <c r="S1055" i="7"/>
  <c r="R1055" i="7"/>
  <c r="Q1055" i="7"/>
  <c r="P1055" i="7"/>
  <c r="O1055" i="7"/>
  <c r="M1055" i="7"/>
  <c r="L1055" i="7"/>
  <c r="K1055" i="7"/>
  <c r="J1055" i="7"/>
  <c r="I1055" i="7"/>
  <c r="H1055" i="7"/>
  <c r="G1055" i="7"/>
  <c r="F1055" i="7"/>
  <c r="E1055" i="7"/>
  <c r="D1048" i="7"/>
  <c r="D1045" i="7"/>
  <c r="B1045" i="7"/>
  <c r="D1044" i="7"/>
  <c r="B1044" i="7"/>
  <c r="D1043" i="7"/>
  <c r="B1043" i="7"/>
  <c r="D1042" i="7"/>
  <c r="B1042" i="7"/>
  <c r="D1041" i="7"/>
  <c r="B1041" i="7"/>
  <c r="D1040" i="7"/>
  <c r="B1040" i="7"/>
  <c r="D1039" i="7"/>
  <c r="B1039" i="7"/>
  <c r="D1038" i="7"/>
  <c r="B1038" i="7"/>
  <c r="D1037" i="7"/>
  <c r="B1037" i="7"/>
  <c r="D1036" i="7"/>
  <c r="B1036" i="7"/>
  <c r="D1035" i="7"/>
  <c r="B1035" i="7"/>
  <c r="D1034" i="7"/>
  <c r="B1034" i="7"/>
  <c r="D1033" i="7"/>
  <c r="B1033" i="7"/>
  <c r="D1032" i="7"/>
  <c r="B1032" i="7"/>
  <c r="D1031" i="7"/>
  <c r="B1031" i="7"/>
  <c r="D1030" i="7"/>
  <c r="B1030" i="7"/>
  <c r="D1029" i="7"/>
  <c r="B1029" i="7"/>
  <c r="D1028" i="7"/>
  <c r="B1028" i="7"/>
  <c r="D1027" i="7"/>
  <c r="B1027" i="7"/>
  <c r="D1026" i="7"/>
  <c r="B1026" i="7"/>
  <c r="D1025" i="7"/>
  <c r="B1025" i="7"/>
  <c r="D1024" i="7"/>
  <c r="B1024" i="7"/>
  <c r="D1023" i="7"/>
  <c r="B1023" i="7"/>
  <c r="D1022" i="7"/>
  <c r="B1022" i="7"/>
  <c r="D1021" i="7"/>
  <c r="B1021" i="7"/>
  <c r="D1020" i="7"/>
  <c r="B1020" i="7"/>
  <c r="D1019" i="7"/>
  <c r="B1019" i="7"/>
  <c r="D1018" i="7"/>
  <c r="B1018" i="7"/>
  <c r="D1017" i="7"/>
  <c r="B1017" i="7"/>
  <c r="D1016" i="7"/>
  <c r="B1016" i="7"/>
  <c r="D1015" i="7"/>
  <c r="B1015" i="7"/>
  <c r="D1014" i="7"/>
  <c r="B1014" i="7"/>
  <c r="D1013" i="7"/>
  <c r="B1013" i="7"/>
  <c r="D1012" i="7"/>
  <c r="B1012" i="7"/>
  <c r="D1011" i="7"/>
  <c r="B1011" i="7"/>
  <c r="D1010" i="7"/>
  <c r="B1010" i="7"/>
  <c r="D118" i="7"/>
  <c r="D1009" i="7"/>
  <c r="B1009" i="7"/>
  <c r="D1008" i="7"/>
  <c r="B1008" i="7"/>
  <c r="D1007" i="7"/>
  <c r="B1007" i="7"/>
  <c r="D1006" i="7"/>
  <c r="B1006" i="7"/>
  <c r="D1005" i="7"/>
  <c r="B1005" i="7"/>
  <c r="D1004" i="7"/>
  <c r="B1004" i="7"/>
  <c r="D1003" i="7"/>
  <c r="B1003" i="7"/>
  <c r="D1002" i="7"/>
  <c r="B1002" i="7"/>
  <c r="D1001" i="7"/>
  <c r="B1001" i="7"/>
  <c r="D1000" i="7"/>
  <c r="B1000" i="7"/>
  <c r="D999" i="7"/>
  <c r="B999" i="7"/>
  <c r="D998" i="7"/>
  <c r="B998" i="7"/>
  <c r="D997" i="7"/>
  <c r="B997" i="7"/>
  <c r="D996" i="7"/>
  <c r="B996" i="7"/>
  <c r="D995" i="7"/>
  <c r="B995" i="7"/>
  <c r="D994" i="7"/>
  <c r="B994" i="7"/>
  <c r="AE993" i="7"/>
  <c r="AD993" i="7"/>
  <c r="AC993" i="7"/>
  <c r="AB993" i="7"/>
  <c r="AA993" i="7"/>
  <c r="Z993" i="7"/>
  <c r="Y993" i="7"/>
  <c r="X993" i="7"/>
  <c r="W993" i="7"/>
  <c r="V993" i="7"/>
  <c r="U993" i="7"/>
  <c r="T993" i="7"/>
  <c r="S993" i="7"/>
  <c r="R993" i="7"/>
  <c r="Q993" i="7"/>
  <c r="P993" i="7"/>
  <c r="O993" i="7"/>
  <c r="N993" i="7"/>
  <c r="M993" i="7"/>
  <c r="L993" i="7"/>
  <c r="K993" i="7"/>
  <c r="J993" i="7"/>
  <c r="I993" i="7"/>
  <c r="H993" i="7"/>
  <c r="G993" i="7"/>
  <c r="F993" i="7"/>
  <c r="E993" i="7"/>
  <c r="AC991" i="7"/>
  <c r="D991" i="7" s="1"/>
  <c r="B991" i="7"/>
  <c r="AE990" i="7"/>
  <c r="AD990" i="7"/>
  <c r="AB990" i="7"/>
  <c r="AA990" i="7"/>
  <c r="Z990" i="7"/>
  <c r="Y990" i="7"/>
  <c r="X990" i="7"/>
  <c r="W990" i="7"/>
  <c r="V990" i="7"/>
  <c r="U990" i="7"/>
  <c r="T990" i="7"/>
  <c r="S990" i="7"/>
  <c r="R990" i="7"/>
  <c r="Q990" i="7"/>
  <c r="P990" i="7"/>
  <c r="O990" i="7"/>
  <c r="N990" i="7"/>
  <c r="M990" i="7"/>
  <c r="L990" i="7"/>
  <c r="K990" i="7"/>
  <c r="J990" i="7"/>
  <c r="I990" i="7"/>
  <c r="H990" i="7"/>
  <c r="G990" i="7"/>
  <c r="F990" i="7"/>
  <c r="E990" i="7"/>
  <c r="AC989" i="7"/>
  <c r="B989" i="7"/>
  <c r="AE988" i="7"/>
  <c r="AD988" i="7"/>
  <c r="AB988" i="7"/>
  <c r="AA988" i="7"/>
  <c r="Z988" i="7"/>
  <c r="Y988" i="7"/>
  <c r="X988" i="7"/>
  <c r="W988" i="7"/>
  <c r="V988" i="7"/>
  <c r="U988" i="7"/>
  <c r="T988" i="7"/>
  <c r="S988" i="7"/>
  <c r="R988" i="7"/>
  <c r="Q988" i="7"/>
  <c r="P988" i="7"/>
  <c r="O988" i="7"/>
  <c r="N988" i="7"/>
  <c r="M988" i="7"/>
  <c r="L988" i="7"/>
  <c r="K988" i="7"/>
  <c r="J988" i="7"/>
  <c r="I988" i="7"/>
  <c r="H988" i="7"/>
  <c r="G988" i="7"/>
  <c r="F988" i="7"/>
  <c r="E988" i="7"/>
  <c r="AC984" i="7"/>
  <c r="D984" i="7" s="1"/>
  <c r="AC983" i="7"/>
  <c r="B983" i="7"/>
  <c r="AC979" i="7"/>
  <c r="D979" i="7" s="1"/>
  <c r="B979" i="7"/>
  <c r="AE978" i="7"/>
  <c r="AD978" i="7"/>
  <c r="AB978" i="7"/>
  <c r="AA978" i="7"/>
  <c r="Z978" i="7"/>
  <c r="Y978" i="7"/>
  <c r="X978" i="7"/>
  <c r="W978" i="7"/>
  <c r="V978" i="7"/>
  <c r="U978" i="7"/>
  <c r="T978" i="7"/>
  <c r="S978" i="7"/>
  <c r="R978" i="7"/>
  <c r="Q978" i="7"/>
  <c r="P978" i="7"/>
  <c r="O978" i="7"/>
  <c r="N978" i="7"/>
  <c r="M978" i="7"/>
  <c r="L978" i="7"/>
  <c r="K978" i="7"/>
  <c r="J978" i="7"/>
  <c r="I978" i="7"/>
  <c r="H978" i="7"/>
  <c r="G978" i="7"/>
  <c r="F978" i="7"/>
  <c r="E978" i="7"/>
  <c r="N975" i="7"/>
  <c r="B975" i="7"/>
  <c r="AC974" i="7"/>
  <c r="B974" i="7"/>
  <c r="AC972" i="7"/>
  <c r="B972" i="7"/>
  <c r="AE971" i="7"/>
  <c r="AD971" i="7"/>
  <c r="AB971" i="7"/>
  <c r="AA971" i="7"/>
  <c r="Z971" i="7"/>
  <c r="Y971" i="7"/>
  <c r="X971" i="7"/>
  <c r="W971" i="7"/>
  <c r="V971" i="7"/>
  <c r="U971" i="7"/>
  <c r="T971" i="7"/>
  <c r="S971" i="7"/>
  <c r="R971" i="7"/>
  <c r="Q971" i="7"/>
  <c r="P971" i="7"/>
  <c r="O971" i="7"/>
  <c r="N971" i="7"/>
  <c r="M971" i="7"/>
  <c r="L971" i="7"/>
  <c r="K971" i="7"/>
  <c r="J971" i="7"/>
  <c r="I971" i="7"/>
  <c r="H971" i="7"/>
  <c r="G971" i="7"/>
  <c r="F971" i="7"/>
  <c r="E971" i="7"/>
  <c r="AC970" i="7"/>
  <c r="D970" i="7" s="1"/>
  <c r="B970" i="7"/>
  <c r="AE969" i="7"/>
  <c r="AD969" i="7"/>
  <c r="AB969" i="7"/>
  <c r="AA969" i="7"/>
  <c r="Z969" i="7"/>
  <c r="Y969" i="7"/>
  <c r="X969" i="7"/>
  <c r="W969" i="7"/>
  <c r="V969" i="7"/>
  <c r="U969" i="7"/>
  <c r="T969" i="7"/>
  <c r="S969" i="7"/>
  <c r="R969" i="7"/>
  <c r="Q969" i="7"/>
  <c r="P969" i="7"/>
  <c r="O969" i="7"/>
  <c r="N969" i="7"/>
  <c r="M969" i="7"/>
  <c r="L969" i="7"/>
  <c r="K969" i="7"/>
  <c r="J969" i="7"/>
  <c r="I969" i="7"/>
  <c r="H969" i="7"/>
  <c r="G969" i="7"/>
  <c r="F969" i="7"/>
  <c r="E969" i="7"/>
  <c r="AC968" i="7"/>
  <c r="D968" i="7" s="1"/>
  <c r="B968" i="7"/>
  <c r="AE967" i="7"/>
  <c r="AD967" i="7"/>
  <c r="AB967" i="7"/>
  <c r="AA967" i="7"/>
  <c r="Z967" i="7"/>
  <c r="Y967" i="7"/>
  <c r="X967" i="7"/>
  <c r="W967" i="7"/>
  <c r="V967" i="7"/>
  <c r="U967" i="7"/>
  <c r="T967" i="7"/>
  <c r="S967" i="7"/>
  <c r="R967" i="7"/>
  <c r="Q967" i="7"/>
  <c r="P967" i="7"/>
  <c r="O967" i="7"/>
  <c r="N967" i="7"/>
  <c r="M967" i="7"/>
  <c r="L967" i="7"/>
  <c r="K967" i="7"/>
  <c r="J967" i="7"/>
  <c r="I967" i="7"/>
  <c r="H967" i="7"/>
  <c r="G967" i="7"/>
  <c r="F967" i="7"/>
  <c r="E967" i="7"/>
  <c r="AC964" i="7"/>
  <c r="B964" i="7"/>
  <c r="AT961" i="7"/>
  <c r="AC961" i="7"/>
  <c r="D961" i="7" s="1"/>
  <c r="B961" i="7"/>
  <c r="AC960" i="7"/>
  <c r="B960" i="7"/>
  <c r="AC958" i="7"/>
  <c r="D958" i="7" s="1"/>
  <c r="B958" i="7"/>
  <c r="AE957" i="7"/>
  <c r="AD957" i="7"/>
  <c r="AB957" i="7"/>
  <c r="AA957" i="7"/>
  <c r="Z957" i="7"/>
  <c r="Y957" i="7"/>
  <c r="X957" i="7"/>
  <c r="W957" i="7"/>
  <c r="V957" i="7"/>
  <c r="U957" i="7"/>
  <c r="T957" i="7"/>
  <c r="S957" i="7"/>
  <c r="R957" i="7"/>
  <c r="Q957" i="7"/>
  <c r="P957" i="7"/>
  <c r="O957" i="7"/>
  <c r="N957" i="7"/>
  <c r="M957" i="7"/>
  <c r="L957" i="7"/>
  <c r="K957" i="7"/>
  <c r="J957" i="7"/>
  <c r="I957" i="7"/>
  <c r="H957" i="7"/>
  <c r="G957" i="7"/>
  <c r="F957" i="7"/>
  <c r="E957" i="7"/>
  <c r="AC956" i="7"/>
  <c r="B956" i="7"/>
  <c r="AE955" i="7"/>
  <c r="AD955" i="7"/>
  <c r="AB955" i="7"/>
  <c r="AA955" i="7"/>
  <c r="Z955" i="7"/>
  <c r="Y955" i="7"/>
  <c r="X955" i="7"/>
  <c r="W955" i="7"/>
  <c r="V955" i="7"/>
  <c r="U955" i="7"/>
  <c r="T955" i="7"/>
  <c r="S955" i="7"/>
  <c r="R955" i="7"/>
  <c r="Q955" i="7"/>
  <c r="P955" i="7"/>
  <c r="O955" i="7"/>
  <c r="N955" i="7"/>
  <c r="M955" i="7"/>
  <c r="L955" i="7"/>
  <c r="K955" i="7"/>
  <c r="J955" i="7"/>
  <c r="I955" i="7"/>
  <c r="H955" i="7"/>
  <c r="G955" i="7"/>
  <c r="F955" i="7"/>
  <c r="E955" i="7"/>
  <c r="AC954" i="7"/>
  <c r="D954" i="7" s="1"/>
  <c r="B954" i="7"/>
  <c r="AE953" i="7"/>
  <c r="AD953" i="7"/>
  <c r="AB953" i="7"/>
  <c r="AA953" i="7"/>
  <c r="Z953" i="7"/>
  <c r="Y953" i="7"/>
  <c r="X953" i="7"/>
  <c r="W953" i="7"/>
  <c r="V953" i="7"/>
  <c r="U953" i="7"/>
  <c r="T953" i="7"/>
  <c r="S953" i="7"/>
  <c r="R953" i="7"/>
  <c r="Q953" i="7"/>
  <c r="P953" i="7"/>
  <c r="O953" i="7"/>
  <c r="N953" i="7"/>
  <c r="M953" i="7"/>
  <c r="L953" i="7"/>
  <c r="K953" i="7"/>
  <c r="J953" i="7"/>
  <c r="I953" i="7"/>
  <c r="H953" i="7"/>
  <c r="G953" i="7"/>
  <c r="F953" i="7"/>
  <c r="E953" i="7"/>
  <c r="N952" i="7"/>
  <c r="N951" i="7" s="1"/>
  <c r="B952" i="7"/>
  <c r="AE951" i="7"/>
  <c r="AD951" i="7"/>
  <c r="AB951" i="7"/>
  <c r="AA951" i="7"/>
  <c r="Z951" i="7"/>
  <c r="Y951" i="7"/>
  <c r="X951" i="7"/>
  <c r="W951" i="7"/>
  <c r="V951" i="7"/>
  <c r="U951" i="7"/>
  <c r="T951" i="7"/>
  <c r="S951" i="7"/>
  <c r="R951" i="7"/>
  <c r="Q951" i="7"/>
  <c r="P951" i="7"/>
  <c r="O951" i="7"/>
  <c r="M951" i="7"/>
  <c r="L951" i="7"/>
  <c r="K951" i="7"/>
  <c r="J951" i="7"/>
  <c r="I951" i="7"/>
  <c r="H951" i="7"/>
  <c r="G951" i="7"/>
  <c r="F951" i="7"/>
  <c r="E951" i="7"/>
  <c r="AC950" i="7"/>
  <c r="D950" i="7" s="1"/>
  <c r="B950" i="7"/>
  <c r="AE949" i="7"/>
  <c r="AD949" i="7"/>
  <c r="AB949" i="7"/>
  <c r="AA949" i="7"/>
  <c r="Z949" i="7"/>
  <c r="Y949" i="7"/>
  <c r="X949" i="7"/>
  <c r="W949" i="7"/>
  <c r="V949" i="7"/>
  <c r="U949" i="7"/>
  <c r="T949" i="7"/>
  <c r="S949" i="7"/>
  <c r="R949" i="7"/>
  <c r="Q949" i="7"/>
  <c r="P949" i="7"/>
  <c r="O949" i="7"/>
  <c r="N949" i="7"/>
  <c r="M949" i="7"/>
  <c r="L949" i="7"/>
  <c r="K949" i="7"/>
  <c r="J949" i="7"/>
  <c r="I949" i="7"/>
  <c r="H949" i="7"/>
  <c r="G949" i="7"/>
  <c r="F949" i="7"/>
  <c r="E949" i="7"/>
  <c r="AC948" i="7"/>
  <c r="D948" i="7" s="1"/>
  <c r="B948" i="7"/>
  <c r="AC946" i="7"/>
  <c r="B946" i="7"/>
  <c r="AC944" i="7"/>
  <c r="D944" i="7" s="1"/>
  <c r="B944" i="7"/>
  <c r="AC943" i="7"/>
  <c r="D943" i="7" s="1"/>
  <c r="B943" i="7"/>
  <c r="AC942" i="7"/>
  <c r="D942" i="7" s="1"/>
  <c r="B942" i="7"/>
  <c r="AC941" i="7"/>
  <c r="D941" i="7" s="1"/>
  <c r="B941" i="7"/>
  <c r="AC940" i="7"/>
  <c r="D940" i="7" s="1"/>
  <c r="B940" i="7"/>
  <c r="AE939" i="7"/>
  <c r="AD939" i="7"/>
  <c r="AB939" i="7"/>
  <c r="AA939" i="7"/>
  <c r="Z939" i="7"/>
  <c r="Y939" i="7"/>
  <c r="X939" i="7"/>
  <c r="W939" i="7"/>
  <c r="V939" i="7"/>
  <c r="U939" i="7"/>
  <c r="T939" i="7"/>
  <c r="S939" i="7"/>
  <c r="R939" i="7"/>
  <c r="Q939" i="7"/>
  <c r="P939" i="7"/>
  <c r="O939" i="7"/>
  <c r="N939" i="7"/>
  <c r="M939" i="7"/>
  <c r="L939" i="7"/>
  <c r="K939" i="7"/>
  <c r="J939" i="7"/>
  <c r="I939" i="7"/>
  <c r="H939" i="7"/>
  <c r="G939" i="7"/>
  <c r="F939" i="7"/>
  <c r="E939" i="7"/>
  <c r="AC938" i="7"/>
  <c r="D938" i="7" s="1"/>
  <c r="B938" i="7"/>
  <c r="AE937" i="7"/>
  <c r="AD937" i="7"/>
  <c r="AB937" i="7"/>
  <c r="AA937" i="7"/>
  <c r="Z937" i="7"/>
  <c r="Y937" i="7"/>
  <c r="X937" i="7"/>
  <c r="W937" i="7"/>
  <c r="V937" i="7"/>
  <c r="U937" i="7"/>
  <c r="T937" i="7"/>
  <c r="S937" i="7"/>
  <c r="R937" i="7"/>
  <c r="Q937" i="7"/>
  <c r="P937" i="7"/>
  <c r="O937" i="7"/>
  <c r="N937" i="7"/>
  <c r="M937" i="7"/>
  <c r="L937" i="7"/>
  <c r="K937" i="7"/>
  <c r="J937" i="7"/>
  <c r="I937" i="7"/>
  <c r="H937" i="7"/>
  <c r="G937" i="7"/>
  <c r="F937" i="7"/>
  <c r="E937" i="7"/>
  <c r="N929" i="7"/>
  <c r="AC931" i="7"/>
  <c r="D931" i="7" s="1"/>
  <c r="B931" i="7"/>
  <c r="AC930" i="7"/>
  <c r="D930" i="7" s="1"/>
  <c r="B930" i="7"/>
  <c r="AE929" i="7"/>
  <c r="AD929" i="7"/>
  <c r="AB929" i="7"/>
  <c r="AA929" i="7"/>
  <c r="Z929" i="7"/>
  <c r="Y929" i="7"/>
  <c r="X929" i="7"/>
  <c r="W929" i="7"/>
  <c r="V929" i="7"/>
  <c r="U929" i="7"/>
  <c r="T929" i="7"/>
  <c r="S929" i="7"/>
  <c r="R929" i="7"/>
  <c r="Q929" i="7"/>
  <c r="P929" i="7"/>
  <c r="O929" i="7"/>
  <c r="M929" i="7"/>
  <c r="L929" i="7"/>
  <c r="K929" i="7"/>
  <c r="J929" i="7"/>
  <c r="I929" i="7"/>
  <c r="H929" i="7"/>
  <c r="G929" i="7"/>
  <c r="F929" i="7"/>
  <c r="E929" i="7"/>
  <c r="AC925" i="7"/>
  <c r="B925" i="7"/>
  <c r="AC922" i="7"/>
  <c r="B922" i="7"/>
  <c r="AC920" i="7"/>
  <c r="D920" i="7" s="1"/>
  <c r="B920" i="7"/>
  <c r="AE919" i="7"/>
  <c r="AD919" i="7"/>
  <c r="AB919" i="7"/>
  <c r="AA919" i="7"/>
  <c r="Z919" i="7"/>
  <c r="Y919" i="7"/>
  <c r="X919" i="7"/>
  <c r="W919" i="7"/>
  <c r="V919" i="7"/>
  <c r="U919" i="7"/>
  <c r="T919" i="7"/>
  <c r="S919" i="7"/>
  <c r="R919" i="7"/>
  <c r="Q919" i="7"/>
  <c r="P919" i="7"/>
  <c r="O919" i="7"/>
  <c r="N919" i="7"/>
  <c r="M919" i="7"/>
  <c r="L919" i="7"/>
  <c r="K919" i="7"/>
  <c r="J919" i="7"/>
  <c r="I919" i="7"/>
  <c r="H919" i="7"/>
  <c r="G919" i="7"/>
  <c r="F919" i="7"/>
  <c r="E919" i="7"/>
  <c r="AC918" i="7"/>
  <c r="D918" i="7" s="1"/>
  <c r="B918" i="7"/>
  <c r="AE917" i="7"/>
  <c r="AD917" i="7"/>
  <c r="AB917" i="7"/>
  <c r="AA917" i="7"/>
  <c r="Z917" i="7"/>
  <c r="Y917" i="7"/>
  <c r="X917" i="7"/>
  <c r="W917" i="7"/>
  <c r="V917" i="7"/>
  <c r="U917" i="7"/>
  <c r="T917" i="7"/>
  <c r="S917" i="7"/>
  <c r="R917" i="7"/>
  <c r="Q917" i="7"/>
  <c r="P917" i="7"/>
  <c r="O917" i="7"/>
  <c r="N917" i="7"/>
  <c r="M917" i="7"/>
  <c r="L917" i="7"/>
  <c r="K917" i="7"/>
  <c r="J917" i="7"/>
  <c r="I917" i="7"/>
  <c r="H917" i="7"/>
  <c r="G917" i="7"/>
  <c r="F917" i="7"/>
  <c r="E917" i="7"/>
  <c r="AC916" i="7"/>
  <c r="D916" i="7" s="1"/>
  <c r="B916" i="7"/>
  <c r="AE915" i="7"/>
  <c r="AD915" i="7"/>
  <c r="AB915" i="7"/>
  <c r="AA915" i="7"/>
  <c r="Z915" i="7"/>
  <c r="Y915" i="7"/>
  <c r="X915" i="7"/>
  <c r="W915" i="7"/>
  <c r="V915" i="7"/>
  <c r="U915" i="7"/>
  <c r="T915" i="7"/>
  <c r="S915" i="7"/>
  <c r="R915" i="7"/>
  <c r="Q915" i="7"/>
  <c r="P915" i="7"/>
  <c r="O915" i="7"/>
  <c r="N915" i="7"/>
  <c r="M915" i="7"/>
  <c r="L915" i="7"/>
  <c r="K915" i="7"/>
  <c r="J915" i="7"/>
  <c r="I915" i="7"/>
  <c r="H915" i="7"/>
  <c r="G915" i="7"/>
  <c r="F915" i="7"/>
  <c r="E915" i="7"/>
  <c r="AC913" i="7"/>
  <c r="B913" i="7"/>
  <c r="AC911" i="7"/>
  <c r="D911" i="7" s="1"/>
  <c r="B911" i="7"/>
  <c r="AE910" i="7"/>
  <c r="AD910" i="7"/>
  <c r="AB910" i="7"/>
  <c r="AA910" i="7"/>
  <c r="Z910" i="7"/>
  <c r="Y910" i="7"/>
  <c r="X910" i="7"/>
  <c r="W910" i="7"/>
  <c r="V910" i="7"/>
  <c r="U910" i="7"/>
  <c r="T910" i="7"/>
  <c r="S910" i="7"/>
  <c r="R910" i="7"/>
  <c r="Q910" i="7"/>
  <c r="P910" i="7"/>
  <c r="O910" i="7"/>
  <c r="N910" i="7"/>
  <c r="M910" i="7"/>
  <c r="L910" i="7"/>
  <c r="K910" i="7"/>
  <c r="J910" i="7"/>
  <c r="I910" i="7"/>
  <c r="H910" i="7"/>
  <c r="G910" i="7"/>
  <c r="F910" i="7"/>
  <c r="E910" i="7"/>
  <c r="AC909" i="7"/>
  <c r="D909" i="7" s="1"/>
  <c r="B909" i="7"/>
  <c r="AC908" i="7"/>
  <c r="D908" i="7" s="1"/>
  <c r="B908" i="7"/>
  <c r="AE907" i="7"/>
  <c r="AD907" i="7"/>
  <c r="AB907" i="7"/>
  <c r="AA907" i="7"/>
  <c r="Z907" i="7"/>
  <c r="Y907" i="7"/>
  <c r="X907" i="7"/>
  <c r="W907" i="7"/>
  <c r="V907" i="7"/>
  <c r="U907" i="7"/>
  <c r="T907" i="7"/>
  <c r="S907" i="7"/>
  <c r="R907" i="7"/>
  <c r="Q907" i="7"/>
  <c r="P907" i="7"/>
  <c r="O907" i="7"/>
  <c r="N907" i="7"/>
  <c r="M907" i="7"/>
  <c r="L907" i="7"/>
  <c r="K907" i="7"/>
  <c r="J907" i="7"/>
  <c r="I907" i="7"/>
  <c r="H907" i="7"/>
  <c r="G907" i="7"/>
  <c r="F907" i="7"/>
  <c r="E907" i="7"/>
  <c r="AC904" i="7"/>
  <c r="D904" i="7" s="1"/>
  <c r="B904" i="7"/>
  <c r="AC903" i="7"/>
  <c r="D903" i="7" s="1"/>
  <c r="B903" i="7"/>
  <c r="AC902" i="7"/>
  <c r="D902" i="7" s="1"/>
  <c r="B902" i="7"/>
  <c r="AE901" i="7"/>
  <c r="AD901" i="7"/>
  <c r="AB901" i="7"/>
  <c r="AA901" i="7"/>
  <c r="Z901" i="7"/>
  <c r="Y901" i="7"/>
  <c r="X901" i="7"/>
  <c r="W901" i="7"/>
  <c r="V901" i="7"/>
  <c r="U901" i="7"/>
  <c r="T901" i="7"/>
  <c r="S901" i="7"/>
  <c r="R901" i="7"/>
  <c r="Q901" i="7"/>
  <c r="P901" i="7"/>
  <c r="O901" i="7"/>
  <c r="N901" i="7"/>
  <c r="M901" i="7"/>
  <c r="L901" i="7"/>
  <c r="K901" i="7"/>
  <c r="J901" i="7"/>
  <c r="I901" i="7"/>
  <c r="H901" i="7"/>
  <c r="G901" i="7"/>
  <c r="F901" i="7"/>
  <c r="E901" i="7"/>
  <c r="AC900" i="7"/>
  <c r="D900" i="7" s="1"/>
  <c r="B900" i="7"/>
  <c r="AE899" i="7"/>
  <c r="AD899" i="7"/>
  <c r="AB899" i="7"/>
  <c r="AA899" i="7"/>
  <c r="Z899" i="7"/>
  <c r="Y899" i="7"/>
  <c r="X899" i="7"/>
  <c r="W899" i="7"/>
  <c r="V899" i="7"/>
  <c r="U899" i="7"/>
  <c r="T899" i="7"/>
  <c r="S899" i="7"/>
  <c r="R899" i="7"/>
  <c r="Q899" i="7"/>
  <c r="P899" i="7"/>
  <c r="O899" i="7"/>
  <c r="N899" i="7"/>
  <c r="M899" i="7"/>
  <c r="L899" i="7"/>
  <c r="K899" i="7"/>
  <c r="J899" i="7"/>
  <c r="I899" i="7"/>
  <c r="H899" i="7"/>
  <c r="G899" i="7"/>
  <c r="F899" i="7"/>
  <c r="E899" i="7"/>
  <c r="AC898" i="7"/>
  <c r="D898" i="7" s="1"/>
  <c r="B898" i="7"/>
  <c r="AE897" i="7"/>
  <c r="AD897" i="7"/>
  <c r="AB897" i="7"/>
  <c r="AA897" i="7"/>
  <c r="Z897" i="7"/>
  <c r="Y897" i="7"/>
  <c r="X897" i="7"/>
  <c r="W897" i="7"/>
  <c r="V897" i="7"/>
  <c r="U897" i="7"/>
  <c r="T897" i="7"/>
  <c r="S897" i="7"/>
  <c r="R897" i="7"/>
  <c r="Q897" i="7"/>
  <c r="P897" i="7"/>
  <c r="O897" i="7"/>
  <c r="N897" i="7"/>
  <c r="M897" i="7"/>
  <c r="L897" i="7"/>
  <c r="K897" i="7"/>
  <c r="J897" i="7"/>
  <c r="I897" i="7"/>
  <c r="H897" i="7"/>
  <c r="G897" i="7"/>
  <c r="F897" i="7"/>
  <c r="E897" i="7"/>
  <c r="AC896" i="7"/>
  <c r="D896" i="7" s="1"/>
  <c r="B896" i="7"/>
  <c r="AC895" i="7"/>
  <c r="D895" i="7" s="1"/>
  <c r="B895" i="7"/>
  <c r="AE894" i="7"/>
  <c r="AD894" i="7"/>
  <c r="AB894" i="7"/>
  <c r="AA894" i="7"/>
  <c r="Z894" i="7"/>
  <c r="Y894" i="7"/>
  <c r="X894" i="7"/>
  <c r="W894" i="7"/>
  <c r="V894" i="7"/>
  <c r="U894" i="7"/>
  <c r="T894" i="7"/>
  <c r="S894" i="7"/>
  <c r="R894" i="7"/>
  <c r="Q894" i="7"/>
  <c r="P894" i="7"/>
  <c r="O894" i="7"/>
  <c r="N894" i="7"/>
  <c r="M894" i="7"/>
  <c r="L894" i="7"/>
  <c r="K894" i="7"/>
  <c r="J894" i="7"/>
  <c r="I894" i="7"/>
  <c r="H894" i="7"/>
  <c r="G894" i="7"/>
  <c r="F894" i="7"/>
  <c r="E894" i="7"/>
  <c r="AC893" i="7"/>
  <c r="B893" i="7"/>
  <c r="AE892" i="7"/>
  <c r="AD892" i="7"/>
  <c r="AB892" i="7"/>
  <c r="AA892" i="7"/>
  <c r="Z892" i="7"/>
  <c r="Y892" i="7"/>
  <c r="X892" i="7"/>
  <c r="W892" i="7"/>
  <c r="V892" i="7"/>
  <c r="U892" i="7"/>
  <c r="T892" i="7"/>
  <c r="S892" i="7"/>
  <c r="R892" i="7"/>
  <c r="Q892" i="7"/>
  <c r="P892" i="7"/>
  <c r="O892" i="7"/>
  <c r="N892" i="7"/>
  <c r="M892" i="7"/>
  <c r="L892" i="7"/>
  <c r="K892" i="7"/>
  <c r="J892" i="7"/>
  <c r="I892" i="7"/>
  <c r="H892" i="7"/>
  <c r="G892" i="7"/>
  <c r="F892" i="7"/>
  <c r="E892" i="7"/>
  <c r="AC889" i="7"/>
  <c r="D889" i="7" s="1"/>
  <c r="B889" i="7"/>
  <c r="AC888" i="7"/>
  <c r="D888" i="7" s="1"/>
  <c r="B888" i="7"/>
  <c r="AC887" i="7"/>
  <c r="D887" i="7" s="1"/>
  <c r="B887" i="7"/>
  <c r="AT886" i="7"/>
  <c r="AC886" i="7"/>
  <c r="D886" i="7" s="1"/>
  <c r="B886" i="7"/>
  <c r="AC885" i="7"/>
  <c r="D885" i="7" s="1"/>
  <c r="B885" i="7"/>
  <c r="D884" i="7"/>
  <c r="B884" i="7"/>
  <c r="AC883" i="7"/>
  <c r="B883" i="7"/>
  <c r="AE882" i="7"/>
  <c r="AD882" i="7"/>
  <c r="AB882" i="7"/>
  <c r="AA882" i="7"/>
  <c r="Z882" i="7"/>
  <c r="Y882" i="7"/>
  <c r="X882" i="7"/>
  <c r="W882" i="7"/>
  <c r="V882" i="7"/>
  <c r="U882" i="7"/>
  <c r="T882" i="7"/>
  <c r="S882" i="7"/>
  <c r="R882" i="7"/>
  <c r="Q882" i="7"/>
  <c r="P882" i="7"/>
  <c r="O882" i="7"/>
  <c r="N882" i="7"/>
  <c r="M882" i="7"/>
  <c r="L882" i="7"/>
  <c r="K882" i="7"/>
  <c r="J882" i="7"/>
  <c r="I882" i="7"/>
  <c r="H882" i="7"/>
  <c r="G882" i="7"/>
  <c r="F882" i="7"/>
  <c r="E882" i="7"/>
  <c r="AD880" i="7"/>
  <c r="AD879" i="7" s="1"/>
  <c r="AC880" i="7"/>
  <c r="AC879" i="7" s="1"/>
  <c r="B880" i="7"/>
  <c r="AC878" i="7"/>
  <c r="D878" i="7" s="1"/>
  <c r="B878" i="7"/>
  <c r="AE877" i="7"/>
  <c r="AD877" i="7"/>
  <c r="AB877" i="7"/>
  <c r="AA877" i="7"/>
  <c r="Z877" i="7"/>
  <c r="Y877" i="7"/>
  <c r="X877" i="7"/>
  <c r="W877" i="7"/>
  <c r="V877" i="7"/>
  <c r="U877" i="7"/>
  <c r="T877" i="7"/>
  <c r="S877" i="7"/>
  <c r="R877" i="7"/>
  <c r="Q877" i="7"/>
  <c r="P877" i="7"/>
  <c r="O877" i="7"/>
  <c r="N877" i="7"/>
  <c r="M877" i="7"/>
  <c r="L877" i="7"/>
  <c r="K877" i="7"/>
  <c r="J877" i="7"/>
  <c r="I877" i="7"/>
  <c r="H877" i="7"/>
  <c r="G877" i="7"/>
  <c r="F877" i="7"/>
  <c r="E877" i="7"/>
  <c r="AC876" i="7"/>
  <c r="D876" i="7" s="1"/>
  <c r="B876" i="7"/>
  <c r="AE875" i="7"/>
  <c r="AD875" i="7"/>
  <c r="AB875" i="7"/>
  <c r="AA875" i="7"/>
  <c r="Z875" i="7"/>
  <c r="Y875" i="7"/>
  <c r="X875" i="7"/>
  <c r="W875" i="7"/>
  <c r="V875" i="7"/>
  <c r="U875" i="7"/>
  <c r="T875" i="7"/>
  <c r="S875" i="7"/>
  <c r="R875" i="7"/>
  <c r="Q875" i="7"/>
  <c r="P875" i="7"/>
  <c r="O875" i="7"/>
  <c r="N875" i="7"/>
  <c r="M875" i="7"/>
  <c r="L875" i="7"/>
  <c r="K875" i="7"/>
  <c r="J875" i="7"/>
  <c r="I875" i="7"/>
  <c r="H875" i="7"/>
  <c r="G875" i="7"/>
  <c r="F875" i="7"/>
  <c r="E875" i="7"/>
  <c r="AC874" i="7"/>
  <c r="B874" i="7"/>
  <c r="AE873" i="7"/>
  <c r="AD873" i="7"/>
  <c r="AB873" i="7"/>
  <c r="AA873" i="7"/>
  <c r="Z873" i="7"/>
  <c r="Y873" i="7"/>
  <c r="X873" i="7"/>
  <c r="W873" i="7"/>
  <c r="V873" i="7"/>
  <c r="U873" i="7"/>
  <c r="T873" i="7"/>
  <c r="S873" i="7"/>
  <c r="R873" i="7"/>
  <c r="Q873" i="7"/>
  <c r="P873" i="7"/>
  <c r="O873" i="7"/>
  <c r="N873" i="7"/>
  <c r="M873" i="7"/>
  <c r="L873" i="7"/>
  <c r="K873" i="7"/>
  <c r="J873" i="7"/>
  <c r="I873" i="7"/>
  <c r="H873" i="7"/>
  <c r="G873" i="7"/>
  <c r="F873" i="7"/>
  <c r="E873" i="7"/>
  <c r="AC872" i="7"/>
  <c r="D872" i="7" s="1"/>
  <c r="B872" i="7"/>
  <c r="AE871" i="7"/>
  <c r="AD871" i="7"/>
  <c r="AB871" i="7"/>
  <c r="AA871" i="7"/>
  <c r="Z871" i="7"/>
  <c r="Y871" i="7"/>
  <c r="X871" i="7"/>
  <c r="W871" i="7"/>
  <c r="V871" i="7"/>
  <c r="U871" i="7"/>
  <c r="T871" i="7"/>
  <c r="S871" i="7"/>
  <c r="R871" i="7"/>
  <c r="Q871" i="7"/>
  <c r="P871" i="7"/>
  <c r="O871" i="7"/>
  <c r="N871" i="7"/>
  <c r="M871" i="7"/>
  <c r="L871" i="7"/>
  <c r="K871" i="7"/>
  <c r="J871" i="7"/>
  <c r="I871" i="7"/>
  <c r="H871" i="7"/>
  <c r="G871" i="7"/>
  <c r="F871" i="7"/>
  <c r="E871" i="7"/>
  <c r="AC870" i="7"/>
  <c r="B870" i="7"/>
  <c r="AE869" i="7"/>
  <c r="AD869" i="7"/>
  <c r="AB869" i="7"/>
  <c r="AA869" i="7"/>
  <c r="Z869" i="7"/>
  <c r="Y869" i="7"/>
  <c r="X869" i="7"/>
  <c r="W869" i="7"/>
  <c r="V869" i="7"/>
  <c r="U869" i="7"/>
  <c r="T869" i="7"/>
  <c r="S869" i="7"/>
  <c r="R869" i="7"/>
  <c r="Q869" i="7"/>
  <c r="P869" i="7"/>
  <c r="O869" i="7"/>
  <c r="N869" i="7"/>
  <c r="M869" i="7"/>
  <c r="L869" i="7"/>
  <c r="K869" i="7"/>
  <c r="J869" i="7"/>
  <c r="I869" i="7"/>
  <c r="H869" i="7"/>
  <c r="G869" i="7"/>
  <c r="F869" i="7"/>
  <c r="E869" i="7"/>
  <c r="AC867" i="7"/>
  <c r="B867" i="7"/>
  <c r="AC863" i="7"/>
  <c r="D863" i="7" s="1"/>
  <c r="B863" i="7"/>
  <c r="AC862" i="7"/>
  <c r="D862" i="7" s="1"/>
  <c r="B862" i="7"/>
  <c r="AT861" i="7"/>
  <c r="AC861" i="7"/>
  <c r="D861" i="7" s="1"/>
  <c r="B861" i="7"/>
  <c r="AE860" i="7"/>
  <c r="AD860" i="7"/>
  <c r="AB860" i="7"/>
  <c r="AA860" i="7"/>
  <c r="Z860" i="7"/>
  <c r="Y860" i="7"/>
  <c r="X860" i="7"/>
  <c r="W860" i="7"/>
  <c r="V860" i="7"/>
  <c r="U860" i="7"/>
  <c r="T860" i="7"/>
  <c r="S860" i="7"/>
  <c r="R860" i="7"/>
  <c r="Q860" i="7"/>
  <c r="P860" i="7"/>
  <c r="O860" i="7"/>
  <c r="N860" i="7"/>
  <c r="M860" i="7"/>
  <c r="L860" i="7"/>
  <c r="K860" i="7"/>
  <c r="J860" i="7"/>
  <c r="I860" i="7"/>
  <c r="H860" i="7"/>
  <c r="G860" i="7"/>
  <c r="F860" i="7"/>
  <c r="E860" i="7"/>
  <c r="AC855" i="7"/>
  <c r="D855" i="7" s="1"/>
  <c r="B855" i="7"/>
  <c r="AC854" i="7"/>
  <c r="D854" i="7" s="1"/>
  <c r="B854" i="7"/>
  <c r="AC853" i="7"/>
  <c r="D853" i="7" s="1"/>
  <c r="B853" i="7"/>
  <c r="AC852" i="7"/>
  <c r="D852" i="7" s="1"/>
  <c r="B852" i="7"/>
  <c r="AT851" i="7"/>
  <c r="AC851" i="7"/>
  <c r="B851" i="7"/>
  <c r="AE850" i="7"/>
  <c r="AD850" i="7"/>
  <c r="AB850" i="7"/>
  <c r="AA850" i="7"/>
  <c r="Z850" i="7"/>
  <c r="Y850" i="7"/>
  <c r="X850" i="7"/>
  <c r="W850" i="7"/>
  <c r="V850" i="7"/>
  <c r="U850" i="7"/>
  <c r="T850" i="7"/>
  <c r="S850" i="7"/>
  <c r="Q850" i="7"/>
  <c r="P850" i="7"/>
  <c r="O850" i="7"/>
  <c r="N850" i="7"/>
  <c r="M850" i="7"/>
  <c r="L850" i="7"/>
  <c r="K850" i="7"/>
  <c r="J850" i="7"/>
  <c r="I850" i="7"/>
  <c r="H850" i="7"/>
  <c r="G850" i="7"/>
  <c r="F850" i="7"/>
  <c r="E850" i="7"/>
  <c r="AC849" i="7"/>
  <c r="D849" i="7" s="1"/>
  <c r="B849" i="7"/>
  <c r="AE848" i="7"/>
  <c r="AD848" i="7"/>
  <c r="AB848" i="7"/>
  <c r="AA848" i="7"/>
  <c r="Z848" i="7"/>
  <c r="Y848" i="7"/>
  <c r="X848" i="7"/>
  <c r="W848" i="7"/>
  <c r="V848" i="7"/>
  <c r="U848" i="7"/>
  <c r="T848" i="7"/>
  <c r="S848" i="7"/>
  <c r="R848" i="7"/>
  <c r="Q848" i="7"/>
  <c r="P848" i="7"/>
  <c r="O848" i="7"/>
  <c r="N848" i="7"/>
  <c r="M848" i="7"/>
  <c r="L848" i="7"/>
  <c r="K848" i="7"/>
  <c r="J848" i="7"/>
  <c r="I848" i="7"/>
  <c r="H848" i="7"/>
  <c r="G848" i="7"/>
  <c r="F848" i="7"/>
  <c r="E848" i="7"/>
  <c r="AC847" i="7"/>
  <c r="D847" i="7" s="1"/>
  <c r="B847" i="7"/>
  <c r="AE846" i="7"/>
  <c r="AD846" i="7"/>
  <c r="AB846" i="7"/>
  <c r="AA846" i="7"/>
  <c r="Z846" i="7"/>
  <c r="Y846" i="7"/>
  <c r="X846" i="7"/>
  <c r="W846" i="7"/>
  <c r="V846" i="7"/>
  <c r="U846" i="7"/>
  <c r="T846" i="7"/>
  <c r="S846" i="7"/>
  <c r="R846" i="7"/>
  <c r="Q846" i="7"/>
  <c r="P846" i="7"/>
  <c r="O846" i="7"/>
  <c r="N846" i="7"/>
  <c r="M846" i="7"/>
  <c r="L846" i="7"/>
  <c r="K846" i="7"/>
  <c r="J846" i="7"/>
  <c r="I846" i="7"/>
  <c r="H846" i="7"/>
  <c r="G846" i="7"/>
  <c r="F846" i="7"/>
  <c r="E846" i="7"/>
  <c r="AC845" i="7"/>
  <c r="D845" i="7" s="1"/>
  <c r="B845" i="7"/>
  <c r="AC844" i="7"/>
  <c r="D844" i="7" s="1"/>
  <c r="B844" i="7"/>
  <c r="AE843" i="7"/>
  <c r="AD843" i="7"/>
  <c r="AB843" i="7"/>
  <c r="AA843" i="7"/>
  <c r="Z843" i="7"/>
  <c r="Y843" i="7"/>
  <c r="X843" i="7"/>
  <c r="W843" i="7"/>
  <c r="V843" i="7"/>
  <c r="U843" i="7"/>
  <c r="T843" i="7"/>
  <c r="S843" i="7"/>
  <c r="R843" i="7"/>
  <c r="Q843" i="7"/>
  <c r="P843" i="7"/>
  <c r="O843" i="7"/>
  <c r="N843" i="7"/>
  <c r="M843" i="7"/>
  <c r="L843" i="7"/>
  <c r="K843" i="7"/>
  <c r="J843" i="7"/>
  <c r="I843" i="7"/>
  <c r="H843" i="7"/>
  <c r="G843" i="7"/>
  <c r="F843" i="7"/>
  <c r="E843" i="7"/>
  <c r="AC842" i="7"/>
  <c r="AC841" i="7" s="1"/>
  <c r="B842" i="7"/>
  <c r="AE841" i="7"/>
  <c r="AD841" i="7"/>
  <c r="AB841" i="7"/>
  <c r="AA841" i="7"/>
  <c r="Z841" i="7"/>
  <c r="Y841" i="7"/>
  <c r="X841" i="7"/>
  <c r="W841" i="7"/>
  <c r="V841" i="7"/>
  <c r="U841" i="7"/>
  <c r="T841" i="7"/>
  <c r="S841" i="7"/>
  <c r="R841" i="7"/>
  <c r="Q841" i="7"/>
  <c r="P841" i="7"/>
  <c r="O841" i="7"/>
  <c r="N841" i="7"/>
  <c r="M841" i="7"/>
  <c r="L841" i="7"/>
  <c r="K841" i="7"/>
  <c r="J841" i="7"/>
  <c r="I841" i="7"/>
  <c r="H841" i="7"/>
  <c r="G841" i="7"/>
  <c r="F841" i="7"/>
  <c r="E841" i="7"/>
  <c r="D840" i="7"/>
  <c r="B840" i="7"/>
  <c r="AC838" i="7"/>
  <c r="D838" i="7" s="1"/>
  <c r="B838" i="7"/>
  <c r="AE837" i="7"/>
  <c r="AD837" i="7"/>
  <c r="AB837" i="7"/>
  <c r="AA837" i="7"/>
  <c r="Z837" i="7"/>
  <c r="Y837" i="7"/>
  <c r="X837" i="7"/>
  <c r="W837" i="7"/>
  <c r="V837" i="7"/>
  <c r="U837" i="7"/>
  <c r="T837" i="7"/>
  <c r="S837" i="7"/>
  <c r="R837" i="7"/>
  <c r="Q837" i="7"/>
  <c r="P837" i="7"/>
  <c r="O837" i="7"/>
  <c r="N837" i="7"/>
  <c r="M837" i="7"/>
  <c r="L837" i="7"/>
  <c r="K837" i="7"/>
  <c r="J837" i="7"/>
  <c r="I837" i="7"/>
  <c r="H837" i="7"/>
  <c r="G837" i="7"/>
  <c r="F837" i="7"/>
  <c r="E837" i="7"/>
  <c r="AC836" i="7"/>
  <c r="D836" i="7" s="1"/>
  <c r="B836" i="7"/>
  <c r="AC835" i="7"/>
  <c r="D835" i="7" s="1"/>
  <c r="B835" i="7"/>
  <c r="AC834" i="7"/>
  <c r="D834" i="7" s="1"/>
  <c r="B834" i="7"/>
  <c r="AC833" i="7"/>
  <c r="D833" i="7" s="1"/>
  <c r="B833" i="7"/>
  <c r="AE832" i="7"/>
  <c r="AD832" i="7"/>
  <c r="AB832" i="7"/>
  <c r="AA832" i="7"/>
  <c r="Z832" i="7"/>
  <c r="Y832" i="7"/>
  <c r="X832" i="7"/>
  <c r="W832" i="7"/>
  <c r="V832" i="7"/>
  <c r="U832" i="7"/>
  <c r="T832" i="7"/>
  <c r="S832" i="7"/>
  <c r="R832" i="7"/>
  <c r="Q832" i="7"/>
  <c r="P832" i="7"/>
  <c r="O832" i="7"/>
  <c r="N832" i="7"/>
  <c r="M832" i="7"/>
  <c r="L832" i="7"/>
  <c r="K832" i="7"/>
  <c r="J832" i="7"/>
  <c r="I832" i="7"/>
  <c r="H832" i="7"/>
  <c r="G832" i="7"/>
  <c r="F832" i="7"/>
  <c r="E832" i="7"/>
  <c r="AC827" i="7"/>
  <c r="D827" i="7" s="1"/>
  <c r="B827" i="7"/>
  <c r="AE826" i="7"/>
  <c r="AD826" i="7"/>
  <c r="AB826" i="7"/>
  <c r="AA826" i="7"/>
  <c r="Z826" i="7"/>
  <c r="Y826" i="7"/>
  <c r="X826" i="7"/>
  <c r="W826" i="7"/>
  <c r="V826" i="7"/>
  <c r="U826" i="7"/>
  <c r="T826" i="7"/>
  <c r="S826" i="7"/>
  <c r="R826" i="7"/>
  <c r="Q826" i="7"/>
  <c r="P826" i="7"/>
  <c r="O826" i="7"/>
  <c r="N826" i="7"/>
  <c r="M826" i="7"/>
  <c r="L826" i="7"/>
  <c r="K826" i="7"/>
  <c r="J826" i="7"/>
  <c r="I826" i="7"/>
  <c r="H826" i="7"/>
  <c r="G826" i="7"/>
  <c r="F826" i="7"/>
  <c r="E826" i="7"/>
  <c r="AC823" i="7"/>
  <c r="D823" i="7" s="1"/>
  <c r="B823" i="7"/>
  <c r="AC822" i="7"/>
  <c r="D822" i="7" s="1"/>
  <c r="B822" i="7"/>
  <c r="AC821" i="7"/>
  <c r="D821" i="7" s="1"/>
  <c r="B821" i="7"/>
  <c r="AC820" i="7"/>
  <c r="D820" i="7" s="1"/>
  <c r="B820" i="7"/>
  <c r="N819" i="7"/>
  <c r="B819" i="7"/>
  <c r="AC818" i="7"/>
  <c r="D818" i="7" s="1"/>
  <c r="B818" i="7"/>
  <c r="AC817" i="7"/>
  <c r="D817" i="7" s="1"/>
  <c r="B817" i="7"/>
  <c r="D816" i="7"/>
  <c r="B816" i="7"/>
  <c r="AC815" i="7"/>
  <c r="D815" i="7" s="1"/>
  <c r="B815" i="7"/>
  <c r="AC814" i="7"/>
  <c r="D814" i="7" s="1"/>
  <c r="B814" i="7"/>
  <c r="AC813" i="7"/>
  <c r="D813" i="7" s="1"/>
  <c r="B813" i="7"/>
  <c r="AT812" i="7"/>
  <c r="AC812" i="7"/>
  <c r="D812" i="7" s="1"/>
  <c r="B812" i="7"/>
  <c r="AC811" i="7"/>
  <c r="D811" i="7" s="1"/>
  <c r="B811" i="7"/>
  <c r="AT810" i="7"/>
  <c r="AC810" i="7"/>
  <c r="D810" i="7" s="1"/>
  <c r="B810" i="7"/>
  <c r="AC809" i="7"/>
  <c r="D809" i="7" s="1"/>
  <c r="B809" i="7"/>
  <c r="AC808" i="7"/>
  <c r="D808" i="7" s="1"/>
  <c r="B808" i="7"/>
  <c r="AC807" i="7"/>
  <c r="B807" i="7"/>
  <c r="AC802" i="7"/>
  <c r="D802" i="7" s="1"/>
  <c r="B802" i="7"/>
  <c r="D801" i="7"/>
  <c r="B801" i="7"/>
  <c r="AE800" i="7"/>
  <c r="AD800" i="7"/>
  <c r="AB800" i="7"/>
  <c r="AA800" i="7"/>
  <c r="Z800" i="7"/>
  <c r="Y800" i="7"/>
  <c r="X800" i="7"/>
  <c r="W800" i="7"/>
  <c r="V800" i="7"/>
  <c r="U800" i="7"/>
  <c r="T800" i="7"/>
  <c r="S800" i="7"/>
  <c r="R800" i="7"/>
  <c r="Q800" i="7"/>
  <c r="P800" i="7"/>
  <c r="O800" i="7"/>
  <c r="N800" i="7"/>
  <c r="M800" i="7"/>
  <c r="L800" i="7"/>
  <c r="K800" i="7"/>
  <c r="J800" i="7"/>
  <c r="I800" i="7"/>
  <c r="H800" i="7"/>
  <c r="G800" i="7"/>
  <c r="F800" i="7"/>
  <c r="E800" i="7"/>
  <c r="D798" i="7"/>
  <c r="B798" i="7"/>
  <c r="D797" i="7"/>
  <c r="B797" i="7"/>
  <c r="D796" i="7"/>
  <c r="B796" i="7"/>
  <c r="D795" i="7"/>
  <c r="B795" i="7"/>
  <c r="D794" i="7"/>
  <c r="B794" i="7"/>
  <c r="D793" i="7"/>
  <c r="B793" i="7"/>
  <c r="D792" i="7"/>
  <c r="B792" i="7"/>
  <c r="D791" i="7"/>
  <c r="B791" i="7"/>
  <c r="D790" i="7"/>
  <c r="B790" i="7"/>
  <c r="D789" i="7"/>
  <c r="AC784" i="7"/>
  <c r="D784" i="7" s="1"/>
  <c r="D783" i="7"/>
  <c r="B783" i="7"/>
  <c r="N782" i="7"/>
  <c r="AC782" i="7" s="1"/>
  <c r="D782" i="7" s="1"/>
  <c r="B782" i="7"/>
  <c r="D238" i="7"/>
  <c r="AC781" i="7"/>
  <c r="D781" i="7" s="1"/>
  <c r="B781" i="7"/>
  <c r="D780" i="7"/>
  <c r="B780" i="7"/>
  <c r="D237" i="7"/>
  <c r="AC779" i="7"/>
  <c r="B779" i="7"/>
  <c r="AE778" i="7"/>
  <c r="AD778" i="7"/>
  <c r="AB778" i="7"/>
  <c r="AA778" i="7"/>
  <c r="Z778" i="7"/>
  <c r="Y778" i="7"/>
  <c r="X778" i="7"/>
  <c r="W778" i="7"/>
  <c r="V778" i="7"/>
  <c r="U778" i="7"/>
  <c r="T778" i="7"/>
  <c r="S778" i="7"/>
  <c r="R778" i="7"/>
  <c r="Q778" i="7"/>
  <c r="P778" i="7"/>
  <c r="O778" i="7"/>
  <c r="M778" i="7"/>
  <c r="L778" i="7"/>
  <c r="K778" i="7"/>
  <c r="J778" i="7"/>
  <c r="I778" i="7"/>
  <c r="H778" i="7"/>
  <c r="G778" i="7"/>
  <c r="F778" i="7"/>
  <c r="E778" i="7"/>
  <c r="AC777" i="7"/>
  <c r="D777" i="7" s="1"/>
  <c r="B777" i="7"/>
  <c r="AC776" i="7"/>
  <c r="D776" i="7" s="1"/>
  <c r="B776" i="7"/>
  <c r="AC775" i="7"/>
  <c r="D775" i="7" s="1"/>
  <c r="B775" i="7"/>
  <c r="AC774" i="7"/>
  <c r="D774" i="7" s="1"/>
  <c r="B774" i="7"/>
  <c r="AC745" i="7"/>
  <c r="D745" i="7" s="1"/>
  <c r="AC773" i="7"/>
  <c r="D773" i="7" s="1"/>
  <c r="B773" i="7"/>
  <c r="AC772" i="7"/>
  <c r="D772" i="7" s="1"/>
  <c r="B772" i="7"/>
  <c r="AC771" i="7"/>
  <c r="D771" i="7" s="1"/>
  <c r="B771" i="7"/>
  <c r="AC770" i="7"/>
  <c r="D770" i="7" s="1"/>
  <c r="B770" i="7"/>
  <c r="AC769" i="7"/>
  <c r="D769" i="7" s="1"/>
  <c r="B769" i="7"/>
  <c r="AC768" i="7"/>
  <c r="D768" i="7" s="1"/>
  <c r="B768" i="7"/>
  <c r="AC767" i="7"/>
  <c r="D767" i="7" s="1"/>
  <c r="B767" i="7"/>
  <c r="AC766" i="7"/>
  <c r="D766" i="7" s="1"/>
  <c r="B766" i="7"/>
  <c r="AC765" i="7"/>
  <c r="D765" i="7" s="1"/>
  <c r="B765" i="7"/>
  <c r="AC764" i="7"/>
  <c r="D764" i="7" s="1"/>
  <c r="B764" i="7"/>
  <c r="AC763" i="7"/>
  <c r="D763" i="7" s="1"/>
  <c r="B763" i="7"/>
  <c r="AC762" i="7"/>
  <c r="D762" i="7" s="1"/>
  <c r="B762" i="7"/>
  <c r="AC761" i="7"/>
  <c r="D761" i="7" s="1"/>
  <c r="B761" i="7"/>
  <c r="AC760" i="7"/>
  <c r="D760" i="7" s="1"/>
  <c r="B760" i="7"/>
  <c r="AC759" i="7"/>
  <c r="D759" i="7" s="1"/>
  <c r="B759" i="7"/>
  <c r="AC758" i="7"/>
  <c r="D758" i="7" s="1"/>
  <c r="B758" i="7"/>
  <c r="AC757" i="7"/>
  <c r="D757" i="7" s="1"/>
  <c r="B757" i="7"/>
  <c r="AC756" i="7"/>
  <c r="D756" i="7" s="1"/>
  <c r="B756" i="7"/>
  <c r="AC755" i="7"/>
  <c r="D755" i="7" s="1"/>
  <c r="B755" i="7"/>
  <c r="AC754" i="7"/>
  <c r="D754" i="7" s="1"/>
  <c r="B754" i="7"/>
  <c r="AC753" i="7"/>
  <c r="D753" i="7" s="1"/>
  <c r="B753" i="7"/>
  <c r="AC752" i="7"/>
  <c r="D752" i="7" s="1"/>
  <c r="B752" i="7"/>
  <c r="AC744" i="7"/>
  <c r="D744" i="7" s="1"/>
  <c r="AC743" i="7"/>
  <c r="D743" i="7" s="1"/>
  <c r="B743" i="7"/>
  <c r="AC742" i="7"/>
  <c r="D742" i="7" s="1"/>
  <c r="B742" i="7"/>
  <c r="AC741" i="7"/>
  <c r="D741" i="7" s="1"/>
  <c r="B741" i="7"/>
  <c r="AC740" i="7"/>
  <c r="D740" i="7" s="1"/>
  <c r="B740" i="7"/>
  <c r="AC739" i="7"/>
  <c r="D739" i="7" s="1"/>
  <c r="B739" i="7"/>
  <c r="AC738" i="7"/>
  <c r="D738" i="7" s="1"/>
  <c r="B738" i="7"/>
  <c r="AC737" i="7"/>
  <c r="D737" i="7" s="1"/>
  <c r="B737" i="7"/>
  <c r="D736" i="7"/>
  <c r="B736" i="7"/>
  <c r="D735" i="7"/>
  <c r="B735" i="7"/>
  <c r="D734" i="7"/>
  <c r="B734" i="7"/>
  <c r="AC733" i="7"/>
  <c r="D733" i="7" s="1"/>
  <c r="B733" i="7"/>
  <c r="AC732" i="7"/>
  <c r="D732" i="7" s="1"/>
  <c r="B732" i="7"/>
  <c r="AC731" i="7"/>
  <c r="D731" i="7" s="1"/>
  <c r="B731" i="7"/>
  <c r="AC730" i="7"/>
  <c r="D730" i="7" s="1"/>
  <c r="B730" i="7"/>
  <c r="AC729" i="7"/>
  <c r="D729" i="7" s="1"/>
  <c r="B729" i="7"/>
  <c r="AC728" i="7"/>
  <c r="D728" i="7" s="1"/>
  <c r="B728" i="7"/>
  <c r="AC727" i="7"/>
  <c r="D727" i="7" s="1"/>
  <c r="B727" i="7"/>
  <c r="AC726" i="7"/>
  <c r="D726" i="7" s="1"/>
  <c r="B726" i="7"/>
  <c r="AC725" i="7"/>
  <c r="D725" i="7" s="1"/>
  <c r="B725" i="7"/>
  <c r="AC724" i="7"/>
  <c r="D724" i="7" s="1"/>
  <c r="B724" i="7"/>
  <c r="AC723" i="7"/>
  <c r="D723" i="7" s="1"/>
  <c r="B723" i="7"/>
  <c r="AC722" i="7"/>
  <c r="D722" i="7" s="1"/>
  <c r="B722" i="7"/>
  <c r="AC721" i="7"/>
  <c r="D721" i="7" s="1"/>
  <c r="B721" i="7"/>
  <c r="AC720" i="7"/>
  <c r="D720" i="7" s="1"/>
  <c r="B720" i="7"/>
  <c r="AC719" i="7"/>
  <c r="D719" i="7" s="1"/>
  <c r="B719" i="7"/>
  <c r="AC718" i="7"/>
  <c r="D718" i="7" s="1"/>
  <c r="B718" i="7"/>
  <c r="AC717" i="7"/>
  <c r="D717" i="7" s="1"/>
  <c r="B717" i="7"/>
  <c r="AC716" i="7"/>
  <c r="D716" i="7" s="1"/>
  <c r="B716" i="7"/>
  <c r="AC715" i="7"/>
  <c r="D715" i="7" s="1"/>
  <c r="B715" i="7"/>
  <c r="AE714" i="7"/>
  <c r="AD714" i="7"/>
  <c r="AB714" i="7"/>
  <c r="AA714" i="7"/>
  <c r="Z714" i="7"/>
  <c r="Y714" i="7"/>
  <c r="X714" i="7"/>
  <c r="W714" i="7"/>
  <c r="V714" i="7"/>
  <c r="U714" i="7"/>
  <c r="T714" i="7"/>
  <c r="S714" i="7"/>
  <c r="R714" i="7"/>
  <c r="Q714" i="7"/>
  <c r="P714" i="7"/>
  <c r="O714" i="7"/>
  <c r="M714" i="7"/>
  <c r="L714" i="7"/>
  <c r="K714" i="7"/>
  <c r="J714" i="7"/>
  <c r="I714" i="7"/>
  <c r="H714" i="7"/>
  <c r="G714" i="7"/>
  <c r="F714" i="7"/>
  <c r="E714" i="7"/>
  <c r="AD690" i="7"/>
  <c r="AC705" i="7"/>
  <c r="D705" i="7" s="1"/>
  <c r="B705" i="7"/>
  <c r="AC704" i="7"/>
  <c r="D704" i="7" s="1"/>
  <c r="B704" i="7"/>
  <c r="AC703" i="7"/>
  <c r="D703" i="7" s="1"/>
  <c r="B703" i="7"/>
  <c r="AC702" i="7"/>
  <c r="D702" i="7" s="1"/>
  <c r="B702" i="7"/>
  <c r="AC701" i="7"/>
  <c r="D701" i="7" s="1"/>
  <c r="B701" i="7"/>
  <c r="AC700" i="7"/>
  <c r="D700" i="7" s="1"/>
  <c r="B700" i="7"/>
  <c r="AC699" i="7"/>
  <c r="D699" i="7" s="1"/>
  <c r="B699" i="7"/>
  <c r="E698" i="7"/>
  <c r="E690" i="7" s="1"/>
  <c r="B698" i="7"/>
  <c r="AC697" i="7"/>
  <c r="D697" i="7" s="1"/>
  <c r="B697" i="7"/>
  <c r="AC696" i="7"/>
  <c r="D696" i="7" s="1"/>
  <c r="B696" i="7"/>
  <c r="AC695" i="7"/>
  <c r="D695" i="7" s="1"/>
  <c r="B695" i="7"/>
  <c r="AC694" i="7"/>
  <c r="D694" i="7" s="1"/>
  <c r="B694" i="7"/>
  <c r="AC693" i="7"/>
  <c r="D693" i="7" s="1"/>
  <c r="B693" i="7"/>
  <c r="AC692" i="7"/>
  <c r="D692" i="7" s="1"/>
  <c r="B692" i="7"/>
  <c r="AC691" i="7"/>
  <c r="D691" i="7" s="1"/>
  <c r="B691" i="7"/>
  <c r="AE690" i="7"/>
  <c r="AB690" i="7"/>
  <c r="AA690" i="7"/>
  <c r="Z690" i="7"/>
  <c r="Y690" i="7"/>
  <c r="X690" i="7"/>
  <c r="W690" i="7"/>
  <c r="V690" i="7"/>
  <c r="U690" i="7"/>
  <c r="T690" i="7"/>
  <c r="S690" i="7"/>
  <c r="R690" i="7"/>
  <c r="Q690" i="7"/>
  <c r="P690" i="7"/>
  <c r="O690" i="7"/>
  <c r="N690" i="7"/>
  <c r="M690" i="7"/>
  <c r="L690" i="7"/>
  <c r="K690" i="7"/>
  <c r="J690" i="7"/>
  <c r="I690" i="7"/>
  <c r="H690" i="7"/>
  <c r="G690" i="7"/>
  <c r="F690" i="7"/>
  <c r="D683" i="7"/>
  <c r="B683" i="7"/>
  <c r="D680" i="7"/>
  <c r="B680" i="7"/>
  <c r="D679" i="7"/>
  <c r="B679" i="7"/>
  <c r="D678" i="7"/>
  <c r="B678" i="7"/>
  <c r="D677" i="7"/>
  <c r="B677" i="7"/>
  <c r="D676" i="7"/>
  <c r="B676" i="7"/>
  <c r="D675" i="7"/>
  <c r="B675" i="7"/>
  <c r="D674" i="7"/>
  <c r="B674" i="7"/>
  <c r="D673" i="7"/>
  <c r="B673" i="7"/>
  <c r="D672" i="7"/>
  <c r="B672" i="7"/>
  <c r="D671" i="7"/>
  <c r="B671" i="7"/>
  <c r="D670" i="7"/>
  <c r="B670" i="7"/>
  <c r="D669" i="7"/>
  <c r="B669" i="7"/>
  <c r="D668" i="7"/>
  <c r="B668" i="7"/>
  <c r="D667" i="7"/>
  <c r="B667" i="7"/>
  <c r="D666" i="7"/>
  <c r="B666" i="7"/>
  <c r="D665" i="7"/>
  <c r="B665" i="7"/>
  <c r="D664" i="7"/>
  <c r="B664" i="7"/>
  <c r="D663" i="7"/>
  <c r="B663" i="7"/>
  <c r="D662" i="7"/>
  <c r="B662" i="7"/>
  <c r="D661" i="7"/>
  <c r="B661" i="7"/>
  <c r="D660" i="7"/>
  <c r="B660" i="7"/>
  <c r="D659" i="7"/>
  <c r="B659" i="7"/>
  <c r="D658" i="7"/>
  <c r="B658" i="7"/>
  <c r="D657" i="7"/>
  <c r="B657" i="7"/>
  <c r="D656" i="7"/>
  <c r="B656" i="7"/>
  <c r="D655" i="7"/>
  <c r="B655" i="7"/>
  <c r="D654" i="7"/>
  <c r="B654" i="7"/>
  <c r="D653" i="7"/>
  <c r="B653" i="7"/>
  <c r="D652" i="7"/>
  <c r="B652" i="7"/>
  <c r="D651" i="7"/>
  <c r="B651" i="7"/>
  <c r="D650" i="7"/>
  <c r="B650" i="7"/>
  <c r="D649" i="7"/>
  <c r="B649" i="7"/>
  <c r="D648" i="7"/>
  <c r="B648" i="7"/>
  <c r="D647" i="7"/>
  <c r="B647" i="7"/>
  <c r="D646" i="7"/>
  <c r="B646" i="7"/>
  <c r="D645" i="7"/>
  <c r="B645" i="7"/>
  <c r="D644" i="7"/>
  <c r="B644" i="7"/>
  <c r="D643" i="7"/>
  <c r="B643" i="7"/>
  <c r="D642" i="7"/>
  <c r="B642" i="7"/>
  <c r="D641" i="7"/>
  <c r="B641" i="7"/>
  <c r="D640" i="7"/>
  <c r="B640" i="7"/>
  <c r="D639" i="7"/>
  <c r="B639" i="7"/>
  <c r="D638" i="7"/>
  <c r="B638" i="7"/>
  <c r="D637" i="7"/>
  <c r="B637" i="7"/>
  <c r="D636" i="7"/>
  <c r="B636" i="7"/>
  <c r="D635" i="7"/>
  <c r="B635" i="7"/>
  <c r="D634" i="7"/>
  <c r="B634" i="7"/>
  <c r="D633" i="7"/>
  <c r="B633" i="7"/>
  <c r="D632" i="7"/>
  <c r="B632" i="7"/>
  <c r="D631" i="7"/>
  <c r="B631" i="7"/>
  <c r="D630" i="7"/>
  <c r="B630" i="7"/>
  <c r="D629" i="7"/>
  <c r="B629" i="7"/>
  <c r="D618" i="7"/>
  <c r="B618" i="7"/>
  <c r="D617" i="7"/>
  <c r="B617" i="7"/>
  <c r="D616" i="7"/>
  <c r="B616" i="7"/>
  <c r="D615" i="7"/>
  <c r="B615" i="7"/>
  <c r="D614" i="7"/>
  <c r="B614" i="7"/>
  <c r="CD613" i="7"/>
  <c r="D613" i="7"/>
  <c r="B613" i="7"/>
  <c r="D612" i="7"/>
  <c r="B612" i="7"/>
  <c r="CD126" i="7"/>
  <c r="D126" i="7"/>
  <c r="CD611" i="7"/>
  <c r="D611" i="7"/>
  <c r="B611" i="7"/>
  <c r="D610" i="7"/>
  <c r="B610" i="7"/>
  <c r="D609" i="7"/>
  <c r="B609" i="7"/>
  <c r="D608" i="7"/>
  <c r="B608" i="7"/>
  <c r="D607" i="7"/>
  <c r="B607" i="7"/>
  <c r="D606" i="7"/>
  <c r="B606" i="7"/>
  <c r="D605" i="7"/>
  <c r="B605" i="7"/>
  <c r="D604" i="7"/>
  <c r="B604" i="7"/>
  <c r="D603" i="7"/>
  <c r="B603" i="7"/>
  <c r="D602" i="7"/>
  <c r="B602" i="7"/>
  <c r="D601" i="7"/>
  <c r="B601" i="7"/>
  <c r="D600" i="7"/>
  <c r="B600" i="7"/>
  <c r="D599" i="7"/>
  <c r="B599" i="7"/>
  <c r="D598" i="7"/>
  <c r="B598" i="7"/>
  <c r="D597" i="7"/>
  <c r="B597" i="7"/>
  <c r="D596" i="7"/>
  <c r="B596" i="7"/>
  <c r="D595" i="7"/>
  <c r="B595" i="7"/>
  <c r="D594" i="7"/>
  <c r="B594" i="7"/>
  <c r="D593" i="7"/>
  <c r="B593" i="7"/>
  <c r="D592" i="7"/>
  <c r="B592" i="7"/>
  <c r="D591" i="7"/>
  <c r="B591" i="7"/>
  <c r="D590" i="7"/>
  <c r="B590" i="7"/>
  <c r="D589" i="7"/>
  <c r="B589" i="7"/>
  <c r="D588" i="7"/>
  <c r="B588" i="7"/>
  <c r="D587" i="7"/>
  <c r="B587" i="7"/>
  <c r="D586" i="7"/>
  <c r="B586" i="7"/>
  <c r="D585" i="7"/>
  <c r="B585" i="7"/>
  <c r="D584" i="7"/>
  <c r="B584" i="7"/>
  <c r="D124" i="7"/>
  <c r="D123" i="7"/>
  <c r="D583" i="7"/>
  <c r="B583" i="7"/>
  <c r="D582" i="7"/>
  <c r="B582" i="7"/>
  <c r="D581" i="7"/>
  <c r="B581" i="7"/>
  <c r="D689" i="7"/>
  <c r="B689" i="7"/>
  <c r="D580" i="7"/>
  <c r="B580" i="7"/>
  <c r="D579" i="7"/>
  <c r="B579" i="7"/>
  <c r="D578" i="7"/>
  <c r="B578" i="7"/>
  <c r="D577" i="7"/>
  <c r="B577" i="7"/>
  <c r="D576" i="7"/>
  <c r="B576" i="7"/>
  <c r="D575" i="7"/>
  <c r="B575" i="7"/>
  <c r="D122" i="7"/>
  <c r="D574" i="7"/>
  <c r="B574" i="7"/>
  <c r="D573" i="7"/>
  <c r="B573" i="7"/>
  <c r="D572" i="7"/>
  <c r="B572" i="7"/>
  <c r="D571" i="7"/>
  <c r="D686" i="7"/>
  <c r="B686" i="7"/>
  <c r="D569" i="7"/>
  <c r="D570" i="7"/>
  <c r="D568" i="7"/>
  <c r="B568" i="7"/>
  <c r="D567" i="7"/>
  <c r="B567" i="7"/>
  <c r="D566" i="7"/>
  <c r="B566" i="7"/>
  <c r="D565" i="7"/>
  <c r="B565" i="7"/>
  <c r="D564" i="7"/>
  <c r="B564" i="7"/>
  <c r="D121" i="7"/>
  <c r="D563" i="7"/>
  <c r="B563" i="7"/>
  <c r="D688" i="7"/>
  <c r="B688" i="7"/>
  <c r="D120" i="7"/>
  <c r="D119" i="7"/>
  <c r="D562" i="7"/>
  <c r="B562" i="7"/>
  <c r="D561" i="7"/>
  <c r="B561" i="7"/>
  <c r="D560" i="7"/>
  <c r="B560" i="7"/>
  <c r="CD557" i="7"/>
  <c r="AC557" i="7"/>
  <c r="B557" i="7"/>
  <c r="AE556" i="7"/>
  <c r="AD556" i="7"/>
  <c r="AB556" i="7"/>
  <c r="AA556" i="7"/>
  <c r="Z556" i="7"/>
  <c r="Y556" i="7"/>
  <c r="X556" i="7"/>
  <c r="W556" i="7"/>
  <c r="V556" i="7"/>
  <c r="U556" i="7"/>
  <c r="T556" i="7"/>
  <c r="S556" i="7"/>
  <c r="R556" i="7"/>
  <c r="Q556" i="7"/>
  <c r="P556" i="7"/>
  <c r="O556" i="7"/>
  <c r="N556" i="7"/>
  <c r="M556" i="7"/>
  <c r="L556" i="7"/>
  <c r="K556" i="7"/>
  <c r="J556" i="7"/>
  <c r="I556" i="7"/>
  <c r="H556" i="7"/>
  <c r="G556" i="7"/>
  <c r="F556" i="7"/>
  <c r="E556" i="7"/>
  <c r="AC555" i="7"/>
  <c r="D555" i="7" s="1"/>
  <c r="B555" i="7"/>
  <c r="AC554" i="7"/>
  <c r="D554" i="7" s="1"/>
  <c r="B554" i="7"/>
  <c r="AC553" i="7"/>
  <c r="D553" i="7" s="1"/>
  <c r="B553" i="7"/>
  <c r="AE552" i="7"/>
  <c r="AD552" i="7"/>
  <c r="AB552" i="7"/>
  <c r="AA552" i="7"/>
  <c r="Z552" i="7"/>
  <c r="Y552" i="7"/>
  <c r="X552" i="7"/>
  <c r="W552" i="7"/>
  <c r="V552" i="7"/>
  <c r="U552" i="7"/>
  <c r="T552" i="7"/>
  <c r="S552" i="7"/>
  <c r="R552" i="7"/>
  <c r="Q552" i="7"/>
  <c r="O552" i="7"/>
  <c r="N552" i="7"/>
  <c r="M552" i="7"/>
  <c r="L552" i="7"/>
  <c r="K552" i="7"/>
  <c r="J552" i="7"/>
  <c r="I552" i="7"/>
  <c r="H552" i="7"/>
  <c r="G552" i="7"/>
  <c r="F552" i="7"/>
  <c r="E552" i="7"/>
  <c r="AC551" i="7"/>
  <c r="D551" i="7" s="1"/>
  <c r="B551" i="7"/>
  <c r="AC550" i="7"/>
  <c r="D550" i="7" s="1"/>
  <c r="B550" i="7"/>
  <c r="AC549" i="7"/>
  <c r="D549" i="7" s="1"/>
  <c r="B549" i="7"/>
  <c r="CD548" i="7"/>
  <c r="AC548" i="7"/>
  <c r="D548" i="7" s="1"/>
  <c r="B548" i="7"/>
  <c r="AC547" i="7"/>
  <c r="B547" i="7"/>
  <c r="AE546" i="7"/>
  <c r="AD546" i="7"/>
  <c r="AB546" i="7"/>
  <c r="AA546" i="7"/>
  <c r="Z546" i="7"/>
  <c r="Y546" i="7"/>
  <c r="X546" i="7"/>
  <c r="W546" i="7"/>
  <c r="V546" i="7"/>
  <c r="U546" i="7"/>
  <c r="T546" i="7"/>
  <c r="S546" i="7"/>
  <c r="R546" i="7"/>
  <c r="Q546" i="7"/>
  <c r="P546" i="7"/>
  <c r="O546" i="7"/>
  <c r="N546" i="7"/>
  <c r="M546" i="7"/>
  <c r="L546" i="7"/>
  <c r="K546" i="7"/>
  <c r="J546" i="7"/>
  <c r="I546" i="7"/>
  <c r="H546" i="7"/>
  <c r="G546" i="7"/>
  <c r="F546" i="7"/>
  <c r="E546" i="7"/>
  <c r="AC545" i="7"/>
  <c r="D545" i="7" s="1"/>
  <c r="B545" i="7"/>
  <c r="AC544" i="7"/>
  <c r="D544" i="7" s="1"/>
  <c r="B544" i="7"/>
  <c r="AC542" i="7"/>
  <c r="D542" i="7" s="1"/>
  <c r="B542" i="7"/>
  <c r="AC541" i="7"/>
  <c r="D541" i="7" s="1"/>
  <c r="B541" i="7"/>
  <c r="AC540" i="7"/>
  <c r="D540" i="7" s="1"/>
  <c r="B540" i="7"/>
  <c r="AC539" i="7"/>
  <c r="D539" i="7" s="1"/>
  <c r="B539" i="7"/>
  <c r="AC543" i="7"/>
  <c r="D543" i="7" s="1"/>
  <c r="B543" i="7"/>
  <c r="CD538" i="7"/>
  <c r="AC538" i="7"/>
  <c r="D538" i="7" s="1"/>
  <c r="B538" i="7"/>
  <c r="AE537" i="7"/>
  <c r="AD537" i="7"/>
  <c r="AB537" i="7"/>
  <c r="AA537" i="7"/>
  <c r="Z537" i="7"/>
  <c r="Y537" i="7"/>
  <c r="X537" i="7"/>
  <c r="W537" i="7"/>
  <c r="V537" i="7"/>
  <c r="U537" i="7"/>
  <c r="T537" i="7"/>
  <c r="S537" i="7"/>
  <c r="R537" i="7"/>
  <c r="Q537" i="7"/>
  <c r="P537" i="7"/>
  <c r="O537" i="7"/>
  <c r="N537" i="7"/>
  <c r="M537" i="7"/>
  <c r="L537" i="7"/>
  <c r="K537" i="7"/>
  <c r="J537" i="7"/>
  <c r="I537" i="7"/>
  <c r="H537" i="7"/>
  <c r="F537" i="7"/>
  <c r="E537" i="7"/>
  <c r="CD536" i="7"/>
  <c r="AC535" i="7"/>
  <c r="B536" i="7"/>
  <c r="AE535" i="7"/>
  <c r="AD535" i="7"/>
  <c r="AB535" i="7"/>
  <c r="AA535" i="7"/>
  <c r="Z535" i="7"/>
  <c r="Y535" i="7"/>
  <c r="X535" i="7"/>
  <c r="W535" i="7"/>
  <c r="V535" i="7"/>
  <c r="U535" i="7"/>
  <c r="T535" i="7"/>
  <c r="S535" i="7"/>
  <c r="R535" i="7"/>
  <c r="Q535" i="7"/>
  <c r="P535" i="7"/>
  <c r="O535" i="7"/>
  <c r="M535" i="7"/>
  <c r="L535" i="7"/>
  <c r="K535" i="7"/>
  <c r="J535" i="7"/>
  <c r="I535" i="7"/>
  <c r="H535" i="7"/>
  <c r="G535" i="7"/>
  <c r="F535" i="7"/>
  <c r="E535" i="7"/>
  <c r="R532" i="7"/>
  <c r="B534" i="7"/>
  <c r="CD533" i="7"/>
  <c r="N532" i="7"/>
  <c r="B533" i="7"/>
  <c r="AE532" i="7"/>
  <c r="AD532" i="7"/>
  <c r="AB532" i="7"/>
  <c r="AA532" i="7"/>
  <c r="Z532" i="7"/>
  <c r="Y532" i="7"/>
  <c r="X532" i="7"/>
  <c r="W532" i="7"/>
  <c r="V532" i="7"/>
  <c r="U532" i="7"/>
  <c r="T532" i="7"/>
  <c r="S532" i="7"/>
  <c r="Q532" i="7"/>
  <c r="P532" i="7"/>
  <c r="O532" i="7"/>
  <c r="M532" i="7"/>
  <c r="L532" i="7"/>
  <c r="K532" i="7"/>
  <c r="J532" i="7"/>
  <c r="I532" i="7"/>
  <c r="H532" i="7"/>
  <c r="G532" i="7"/>
  <c r="F532" i="7"/>
  <c r="E532" i="7"/>
  <c r="CD531" i="7"/>
  <c r="AC531" i="7"/>
  <c r="D531" i="7" s="1"/>
  <c r="B531" i="7"/>
  <c r="AE530" i="7"/>
  <c r="AD530" i="7"/>
  <c r="AB530" i="7"/>
  <c r="AA530" i="7"/>
  <c r="Z530" i="7"/>
  <c r="Y530" i="7"/>
  <c r="X530" i="7"/>
  <c r="W530" i="7"/>
  <c r="V530" i="7"/>
  <c r="U530" i="7"/>
  <c r="T530" i="7"/>
  <c r="S530" i="7"/>
  <c r="R530" i="7"/>
  <c r="Q530" i="7"/>
  <c r="P530" i="7"/>
  <c r="O530" i="7"/>
  <c r="N530" i="7"/>
  <c r="M530" i="7"/>
  <c r="L530" i="7"/>
  <c r="K530" i="7"/>
  <c r="J530" i="7"/>
  <c r="I530" i="7"/>
  <c r="H530" i="7"/>
  <c r="G530" i="7"/>
  <c r="F530" i="7"/>
  <c r="E530" i="7"/>
  <c r="AC529" i="7"/>
  <c r="D529" i="7" s="1"/>
  <c r="B529" i="7"/>
  <c r="AC528" i="7"/>
  <c r="D528" i="7" s="1"/>
  <c r="B528" i="7"/>
  <c r="CD527" i="7"/>
  <c r="AC527" i="7"/>
  <c r="D527" i="7" s="1"/>
  <c r="B527" i="7"/>
  <c r="CD526" i="7"/>
  <c r="AC526" i="7"/>
  <c r="D526" i="7" s="1"/>
  <c r="B526" i="7"/>
  <c r="AC525" i="7"/>
  <c r="B525" i="7"/>
  <c r="CD524" i="7"/>
  <c r="AC524" i="7"/>
  <c r="D524" i="7" s="1"/>
  <c r="B524" i="7"/>
  <c r="AE523" i="7"/>
  <c r="AD523" i="7"/>
  <c r="AB523" i="7"/>
  <c r="AA523" i="7"/>
  <c r="Z523" i="7"/>
  <c r="Y523" i="7"/>
  <c r="X523" i="7"/>
  <c r="W523" i="7"/>
  <c r="V523" i="7"/>
  <c r="U523" i="7"/>
  <c r="T523" i="7"/>
  <c r="S523" i="7"/>
  <c r="R523" i="7"/>
  <c r="Q523" i="7"/>
  <c r="P523" i="7"/>
  <c r="O523" i="7"/>
  <c r="M523" i="7"/>
  <c r="L523" i="7"/>
  <c r="K523" i="7"/>
  <c r="J523" i="7"/>
  <c r="I523" i="7"/>
  <c r="H523" i="7"/>
  <c r="G523" i="7"/>
  <c r="F523" i="7"/>
  <c r="E523" i="7"/>
  <c r="AC522" i="7"/>
  <c r="B522" i="7"/>
  <c r="AE521" i="7"/>
  <c r="AD521" i="7"/>
  <c r="AB521" i="7"/>
  <c r="AA521" i="7"/>
  <c r="Z521" i="7"/>
  <c r="Y521" i="7"/>
  <c r="X521" i="7"/>
  <c r="W521" i="7"/>
  <c r="V521" i="7"/>
  <c r="U521" i="7"/>
  <c r="T521" i="7"/>
  <c r="S521" i="7"/>
  <c r="R521" i="7"/>
  <c r="Q521" i="7"/>
  <c r="P521" i="7"/>
  <c r="O521" i="7"/>
  <c r="N521" i="7"/>
  <c r="M521" i="7"/>
  <c r="L521" i="7"/>
  <c r="K521" i="7"/>
  <c r="J521" i="7"/>
  <c r="I521" i="7"/>
  <c r="H521" i="7"/>
  <c r="F521" i="7"/>
  <c r="E521" i="7"/>
  <c r="N519" i="7"/>
  <c r="B520" i="7"/>
  <c r="AE519" i="7"/>
  <c r="AD519" i="7"/>
  <c r="AB519" i="7"/>
  <c r="AA519" i="7"/>
  <c r="Z519" i="7"/>
  <c r="Y519" i="7"/>
  <c r="X519" i="7"/>
  <c r="W519" i="7"/>
  <c r="V519" i="7"/>
  <c r="U519" i="7"/>
  <c r="T519" i="7"/>
  <c r="S519" i="7"/>
  <c r="R519" i="7"/>
  <c r="Q519" i="7"/>
  <c r="P519" i="7"/>
  <c r="O519" i="7"/>
  <c r="M519" i="7"/>
  <c r="L519" i="7"/>
  <c r="K519" i="7"/>
  <c r="J519" i="7"/>
  <c r="I519" i="7"/>
  <c r="H519" i="7"/>
  <c r="G519" i="7"/>
  <c r="F519" i="7"/>
  <c r="E519" i="7"/>
  <c r="AC518" i="7"/>
  <c r="D518" i="7" s="1"/>
  <c r="B518" i="7"/>
  <c r="D517" i="7"/>
  <c r="B517" i="7"/>
  <c r="AE516" i="7"/>
  <c r="AD516" i="7"/>
  <c r="AB516" i="7"/>
  <c r="AA516" i="7"/>
  <c r="Z516" i="7"/>
  <c r="Y516" i="7"/>
  <c r="X516" i="7"/>
  <c r="W516" i="7"/>
  <c r="V516" i="7"/>
  <c r="U516" i="7"/>
  <c r="T516" i="7"/>
  <c r="S516" i="7"/>
  <c r="R516" i="7"/>
  <c r="Q516" i="7"/>
  <c r="P516" i="7"/>
  <c r="O516" i="7"/>
  <c r="N516" i="7"/>
  <c r="M516" i="7"/>
  <c r="L516" i="7"/>
  <c r="K516" i="7"/>
  <c r="J516" i="7"/>
  <c r="I516" i="7"/>
  <c r="H516" i="7"/>
  <c r="G516" i="7"/>
  <c r="F516" i="7"/>
  <c r="E516" i="7"/>
  <c r="D515" i="7"/>
  <c r="B515" i="7"/>
  <c r="AE514" i="7"/>
  <c r="AD514" i="7"/>
  <c r="AB514" i="7"/>
  <c r="AA514" i="7"/>
  <c r="Z514" i="7"/>
  <c r="Y514" i="7"/>
  <c r="X514" i="7"/>
  <c r="W514" i="7"/>
  <c r="V514" i="7"/>
  <c r="U514" i="7"/>
  <c r="T514" i="7"/>
  <c r="S514" i="7"/>
  <c r="R514" i="7"/>
  <c r="Q514" i="7"/>
  <c r="P514" i="7"/>
  <c r="O514" i="7"/>
  <c r="N514" i="7"/>
  <c r="M514" i="7"/>
  <c r="L514" i="7"/>
  <c r="K514" i="7"/>
  <c r="J514" i="7"/>
  <c r="I514" i="7"/>
  <c r="H514" i="7"/>
  <c r="G514" i="7"/>
  <c r="F514" i="7"/>
  <c r="E514" i="7"/>
  <c r="CD513" i="7"/>
  <c r="AD512" i="7"/>
  <c r="B513" i="7"/>
  <c r="AE512" i="7"/>
  <c r="AB512" i="7"/>
  <c r="AA512" i="7"/>
  <c r="Z512" i="7"/>
  <c r="Y512" i="7"/>
  <c r="X512" i="7"/>
  <c r="W512" i="7"/>
  <c r="V512" i="7"/>
  <c r="U512" i="7"/>
  <c r="T512" i="7"/>
  <c r="S512" i="7"/>
  <c r="R512" i="7"/>
  <c r="Q512" i="7"/>
  <c r="P512" i="7"/>
  <c r="O512" i="7"/>
  <c r="N512" i="7"/>
  <c r="M512" i="7"/>
  <c r="L512" i="7"/>
  <c r="K512" i="7"/>
  <c r="J512" i="7"/>
  <c r="I512" i="7"/>
  <c r="H512" i="7"/>
  <c r="G512" i="7"/>
  <c r="F512" i="7"/>
  <c r="E512" i="7"/>
  <c r="CD511" i="7"/>
  <c r="AC511" i="7"/>
  <c r="D511" i="7" s="1"/>
  <c r="B511" i="7"/>
  <c r="AC510" i="7"/>
  <c r="D510" i="7" s="1"/>
  <c r="B510" i="7"/>
  <c r="AC509" i="7"/>
  <c r="D509" i="7" s="1"/>
  <c r="B509" i="7"/>
  <c r="AC508" i="7"/>
  <c r="D508" i="7" s="1"/>
  <c r="B508" i="7"/>
  <c r="D507" i="7"/>
  <c r="B507" i="7"/>
  <c r="AE506" i="7"/>
  <c r="AD506" i="7"/>
  <c r="AB506" i="7"/>
  <c r="AA506" i="7"/>
  <c r="Z506" i="7"/>
  <c r="Y506" i="7"/>
  <c r="X506" i="7"/>
  <c r="W506" i="7"/>
  <c r="V506" i="7"/>
  <c r="U506" i="7"/>
  <c r="T506" i="7"/>
  <c r="S506" i="7"/>
  <c r="R506" i="7"/>
  <c r="Q506" i="7"/>
  <c r="P506" i="7"/>
  <c r="O506" i="7"/>
  <c r="M506" i="7"/>
  <c r="L506" i="7"/>
  <c r="K506" i="7"/>
  <c r="J506" i="7"/>
  <c r="I506" i="7"/>
  <c r="H506" i="7"/>
  <c r="G506" i="7"/>
  <c r="F506" i="7"/>
  <c r="E506" i="7"/>
  <c r="R500" i="7"/>
  <c r="R499" i="7" s="1"/>
  <c r="B500" i="7"/>
  <c r="AE499" i="7"/>
  <c r="AD499" i="7"/>
  <c r="AB499" i="7"/>
  <c r="AA499" i="7"/>
  <c r="Z499" i="7"/>
  <c r="Y499" i="7"/>
  <c r="X499" i="7"/>
  <c r="W499" i="7"/>
  <c r="V499" i="7"/>
  <c r="U499" i="7"/>
  <c r="T499" i="7"/>
  <c r="S499" i="7"/>
  <c r="Q499" i="7"/>
  <c r="P499" i="7"/>
  <c r="O499" i="7"/>
  <c r="N499" i="7"/>
  <c r="M499" i="7"/>
  <c r="L499" i="7"/>
  <c r="K499" i="7"/>
  <c r="J499" i="7"/>
  <c r="I499" i="7"/>
  <c r="H499" i="7"/>
  <c r="G499" i="7"/>
  <c r="F499" i="7"/>
  <c r="E499" i="7"/>
  <c r="CD498" i="7"/>
  <c r="N497" i="7"/>
  <c r="B498" i="7"/>
  <c r="AE497" i="7"/>
  <c r="AD497" i="7"/>
  <c r="AB497" i="7"/>
  <c r="AA497" i="7"/>
  <c r="Z497" i="7"/>
  <c r="Y497" i="7"/>
  <c r="X497" i="7"/>
  <c r="W497" i="7"/>
  <c r="V497" i="7"/>
  <c r="U497" i="7"/>
  <c r="T497" i="7"/>
  <c r="S497" i="7"/>
  <c r="R497" i="7"/>
  <c r="Q497" i="7"/>
  <c r="P497" i="7"/>
  <c r="O497" i="7"/>
  <c r="M497" i="7"/>
  <c r="L497" i="7"/>
  <c r="K497" i="7"/>
  <c r="J497" i="7"/>
  <c r="I497" i="7"/>
  <c r="H497" i="7"/>
  <c r="G497" i="7"/>
  <c r="F497" i="7"/>
  <c r="E497" i="7"/>
  <c r="AC496" i="7"/>
  <c r="D496" i="7" s="1"/>
  <c r="B496" i="7"/>
  <c r="AC495" i="7"/>
  <c r="D495" i="7" s="1"/>
  <c r="B495" i="7"/>
  <c r="CD494" i="7"/>
  <c r="N494" i="7"/>
  <c r="N488" i="7" s="1"/>
  <c r="B494" i="7"/>
  <c r="CD493" i="7"/>
  <c r="AC493" i="7"/>
  <c r="D493" i="7" s="1"/>
  <c r="B493" i="7"/>
  <c r="CD492" i="7"/>
  <c r="AC492" i="7"/>
  <c r="D492" i="7" s="1"/>
  <c r="B492" i="7"/>
  <c r="AT491" i="7"/>
  <c r="AC491" i="7"/>
  <c r="D491" i="7" s="1"/>
  <c r="B491" i="7"/>
  <c r="AC490" i="7"/>
  <c r="D490" i="7" s="1"/>
  <c r="B490" i="7"/>
  <c r="CD489" i="7"/>
  <c r="AC489" i="7"/>
  <c r="B489" i="7"/>
  <c r="AE488" i="7"/>
  <c r="AD488" i="7"/>
  <c r="AB488" i="7"/>
  <c r="AA488" i="7"/>
  <c r="Z488" i="7"/>
  <c r="Y488" i="7"/>
  <c r="X488" i="7"/>
  <c r="W488" i="7"/>
  <c r="V488" i="7"/>
  <c r="U488" i="7"/>
  <c r="T488" i="7"/>
  <c r="S488" i="7"/>
  <c r="R488" i="7"/>
  <c r="Q488" i="7"/>
  <c r="P488" i="7"/>
  <c r="O488" i="7"/>
  <c r="M488" i="7"/>
  <c r="L488" i="7"/>
  <c r="K488" i="7"/>
  <c r="J488" i="7"/>
  <c r="I488" i="7"/>
  <c r="H488" i="7"/>
  <c r="F488" i="7"/>
  <c r="E488" i="7"/>
  <c r="CD487" i="7"/>
  <c r="AC487" i="7"/>
  <c r="D487" i="7" s="1"/>
  <c r="B487" i="7"/>
  <c r="CD486" i="7"/>
  <c r="AC486" i="7"/>
  <c r="D486" i="7" s="1"/>
  <c r="B486" i="7"/>
  <c r="N485" i="7"/>
  <c r="AC485" i="7" s="1"/>
  <c r="D485" i="7" s="1"/>
  <c r="B485" i="7"/>
  <c r="CD484" i="7"/>
  <c r="AC484" i="7"/>
  <c r="D484" i="7" s="1"/>
  <c r="B484" i="7"/>
  <c r="CD483" i="7"/>
  <c r="AC483" i="7"/>
  <c r="D483" i="7" s="1"/>
  <c r="B483" i="7"/>
  <c r="AC482" i="7"/>
  <c r="D482" i="7" s="1"/>
  <c r="B482" i="7"/>
  <c r="AC481" i="7"/>
  <c r="D481" i="7" s="1"/>
  <c r="B481" i="7"/>
  <c r="AC480" i="7"/>
  <c r="D480" i="7" s="1"/>
  <c r="B480" i="7"/>
  <c r="CD479" i="7"/>
  <c r="AC479" i="7"/>
  <c r="D479" i="7" s="1"/>
  <c r="B479" i="7"/>
  <c r="N478" i="7"/>
  <c r="B478" i="7"/>
  <c r="CD477" i="7"/>
  <c r="AC477" i="7"/>
  <c r="D477" i="7" s="1"/>
  <c r="B477" i="7"/>
  <c r="AE476" i="7"/>
  <c r="AD476" i="7"/>
  <c r="AB476" i="7"/>
  <c r="AA476" i="7"/>
  <c r="Z476" i="7"/>
  <c r="Y476" i="7"/>
  <c r="X476" i="7"/>
  <c r="W476" i="7"/>
  <c r="V476" i="7"/>
  <c r="U476" i="7"/>
  <c r="T476" i="7"/>
  <c r="S476" i="7"/>
  <c r="R476" i="7"/>
  <c r="Q476" i="7"/>
  <c r="P476" i="7"/>
  <c r="O476" i="7"/>
  <c r="M476" i="7"/>
  <c r="L476" i="7"/>
  <c r="K476" i="7"/>
  <c r="J476" i="7"/>
  <c r="I476" i="7"/>
  <c r="H476" i="7"/>
  <c r="G476" i="7"/>
  <c r="F476" i="7"/>
  <c r="E476" i="7"/>
  <c r="N475" i="7"/>
  <c r="AC475" i="7" s="1"/>
  <c r="D475" i="7" s="1"/>
  <c r="B475" i="7"/>
  <c r="CD474" i="7"/>
  <c r="AC474" i="7"/>
  <c r="D474" i="7" s="1"/>
  <c r="B474" i="7"/>
  <c r="AD470" i="7"/>
  <c r="R473" i="7"/>
  <c r="AC473" i="7" s="1"/>
  <c r="B473" i="7"/>
  <c r="CD472" i="7"/>
  <c r="D472" i="7"/>
  <c r="B472" i="7"/>
  <c r="AC471" i="7"/>
  <c r="D471" i="7" s="1"/>
  <c r="B471" i="7"/>
  <c r="AE470" i="7"/>
  <c r="AB470" i="7"/>
  <c r="AA470" i="7"/>
  <c r="Z470" i="7"/>
  <c r="Y470" i="7"/>
  <c r="X470" i="7"/>
  <c r="W470" i="7"/>
  <c r="V470" i="7"/>
  <c r="U470" i="7"/>
  <c r="T470" i="7"/>
  <c r="S470" i="7"/>
  <c r="Q470" i="7"/>
  <c r="P470" i="7"/>
  <c r="O470" i="7"/>
  <c r="M470" i="7"/>
  <c r="L470" i="7"/>
  <c r="K470" i="7"/>
  <c r="J470" i="7"/>
  <c r="I470" i="7"/>
  <c r="H470" i="7"/>
  <c r="G470" i="7"/>
  <c r="F470" i="7"/>
  <c r="E470" i="7"/>
  <c r="AC469" i="7"/>
  <c r="D469" i="7" s="1"/>
  <c r="B469" i="7"/>
  <c r="AE468" i="7"/>
  <c r="AD468" i="7"/>
  <c r="AB468" i="7"/>
  <c r="AA468" i="7"/>
  <c r="Z468" i="7"/>
  <c r="Y468" i="7"/>
  <c r="X468" i="7"/>
  <c r="W468" i="7"/>
  <c r="V468" i="7"/>
  <c r="U468" i="7"/>
  <c r="T468" i="7"/>
  <c r="S468" i="7"/>
  <c r="R468" i="7"/>
  <c r="Q468" i="7"/>
  <c r="P468" i="7"/>
  <c r="O468" i="7"/>
  <c r="N468" i="7"/>
  <c r="M468" i="7"/>
  <c r="L468" i="7"/>
  <c r="K468" i="7"/>
  <c r="J468" i="7"/>
  <c r="I468" i="7"/>
  <c r="H468" i="7"/>
  <c r="G468" i="7"/>
  <c r="F468" i="7"/>
  <c r="E468" i="7"/>
  <c r="AD467" i="7"/>
  <c r="AD466" i="7" s="1"/>
  <c r="AC467" i="7"/>
  <c r="B467" i="7"/>
  <c r="AE466" i="7"/>
  <c r="AB466" i="7"/>
  <c r="AA466" i="7"/>
  <c r="Z466" i="7"/>
  <c r="Y466" i="7"/>
  <c r="X466" i="7"/>
  <c r="W466" i="7"/>
  <c r="V466" i="7"/>
  <c r="U466" i="7"/>
  <c r="T466" i="7"/>
  <c r="S466" i="7"/>
  <c r="R466" i="7"/>
  <c r="Q466" i="7"/>
  <c r="P466" i="7"/>
  <c r="O466" i="7"/>
  <c r="N466" i="7"/>
  <c r="M466" i="7"/>
  <c r="L466" i="7"/>
  <c r="K466" i="7"/>
  <c r="J466" i="7"/>
  <c r="I466" i="7"/>
  <c r="H466" i="7"/>
  <c r="G466" i="7"/>
  <c r="F466" i="7"/>
  <c r="E466" i="7"/>
  <c r="N464" i="7"/>
  <c r="B465" i="7"/>
  <c r="AE464" i="7"/>
  <c r="AD464" i="7"/>
  <c r="AB464" i="7"/>
  <c r="AA464" i="7"/>
  <c r="Z464" i="7"/>
  <c r="Y464" i="7"/>
  <c r="X464" i="7"/>
  <c r="W464" i="7"/>
  <c r="V464" i="7"/>
  <c r="U464" i="7"/>
  <c r="T464" i="7"/>
  <c r="S464" i="7"/>
  <c r="R464" i="7"/>
  <c r="Q464" i="7"/>
  <c r="P464" i="7"/>
  <c r="O464" i="7"/>
  <c r="M464" i="7"/>
  <c r="L464" i="7"/>
  <c r="K464" i="7"/>
  <c r="J464" i="7"/>
  <c r="I464" i="7"/>
  <c r="H464" i="7"/>
  <c r="G464" i="7"/>
  <c r="F464" i="7"/>
  <c r="E464" i="7"/>
  <c r="CD463" i="7"/>
  <c r="D463" i="7"/>
  <c r="B463" i="7"/>
  <c r="AE462" i="7"/>
  <c r="AD462" i="7"/>
  <c r="AB462" i="7"/>
  <c r="AA462" i="7"/>
  <c r="Z462" i="7"/>
  <c r="Y462" i="7"/>
  <c r="X462" i="7"/>
  <c r="W462" i="7"/>
  <c r="V462" i="7"/>
  <c r="U462" i="7"/>
  <c r="T462" i="7"/>
  <c r="S462" i="7"/>
  <c r="R462" i="7"/>
  <c r="Q462" i="7"/>
  <c r="P462" i="7"/>
  <c r="O462" i="7"/>
  <c r="N462" i="7"/>
  <c r="M462" i="7"/>
  <c r="L462" i="7"/>
  <c r="K462" i="7"/>
  <c r="J462" i="7"/>
  <c r="I462" i="7"/>
  <c r="H462" i="7"/>
  <c r="G462" i="7"/>
  <c r="F462" i="7"/>
  <c r="E462" i="7"/>
  <c r="CD461" i="7"/>
  <c r="B461" i="7"/>
  <c r="AE460" i="7"/>
  <c r="AD460" i="7"/>
  <c r="AB460" i="7"/>
  <c r="AA460" i="7"/>
  <c r="Z460" i="7"/>
  <c r="Y460" i="7"/>
  <c r="X460" i="7"/>
  <c r="W460" i="7"/>
  <c r="V460" i="7"/>
  <c r="U460" i="7"/>
  <c r="T460" i="7"/>
  <c r="S460" i="7"/>
  <c r="R460" i="7"/>
  <c r="Q460" i="7"/>
  <c r="P460" i="7"/>
  <c r="O460" i="7"/>
  <c r="M460" i="7"/>
  <c r="L460" i="7"/>
  <c r="K460" i="7"/>
  <c r="J460" i="7"/>
  <c r="I460" i="7"/>
  <c r="H460" i="7"/>
  <c r="G460" i="7"/>
  <c r="F460" i="7"/>
  <c r="E460" i="7"/>
  <c r="CD459" i="7"/>
  <c r="D459" i="7"/>
  <c r="B459" i="7"/>
  <c r="CD926" i="7"/>
  <c r="N926" i="7"/>
  <c r="CD457" i="7"/>
  <c r="AC457" i="7"/>
  <c r="D457" i="7" s="1"/>
  <c r="B457" i="7"/>
  <c r="CD456" i="7"/>
  <c r="AC456" i="7"/>
  <c r="D456" i="7" s="1"/>
  <c r="B456" i="7"/>
  <c r="AC455" i="7"/>
  <c r="D455" i="7" s="1"/>
  <c r="B455" i="7"/>
  <c r="CD454" i="7"/>
  <c r="AC454" i="7"/>
  <c r="D454" i="7" s="1"/>
  <c r="B454" i="7"/>
  <c r="CD453" i="7"/>
  <c r="AC453" i="7"/>
  <c r="D453" i="7" s="1"/>
  <c r="B453" i="7"/>
  <c r="D452" i="7"/>
  <c r="B452" i="7"/>
  <c r="AC451" i="7"/>
  <c r="D451" i="7" s="1"/>
  <c r="B451" i="7"/>
  <c r="B450" i="7"/>
  <c r="AC449" i="7"/>
  <c r="D449" i="7" s="1"/>
  <c r="B449" i="7"/>
  <c r="AE448" i="7"/>
  <c r="AD448" i="7"/>
  <c r="AB448" i="7"/>
  <c r="AA448" i="7"/>
  <c r="Z448" i="7"/>
  <c r="Y448" i="7"/>
  <c r="X448" i="7"/>
  <c r="W448" i="7"/>
  <c r="V448" i="7"/>
  <c r="U448" i="7"/>
  <c r="T448" i="7"/>
  <c r="S448" i="7"/>
  <c r="R448" i="7"/>
  <c r="Q448" i="7"/>
  <c r="P448" i="7"/>
  <c r="O448" i="7"/>
  <c r="M448" i="7"/>
  <c r="L448" i="7"/>
  <c r="K448" i="7"/>
  <c r="J448" i="7"/>
  <c r="I448" i="7"/>
  <c r="H448" i="7"/>
  <c r="G448" i="7"/>
  <c r="F448" i="7"/>
  <c r="E448" i="7"/>
  <c r="D447" i="7"/>
  <c r="B447" i="7"/>
  <c r="CD446" i="7"/>
  <c r="AC445" i="7"/>
  <c r="B446" i="7"/>
  <c r="AE445" i="7"/>
  <c r="AD445" i="7"/>
  <c r="AB445" i="7"/>
  <c r="AA445" i="7"/>
  <c r="Z445" i="7"/>
  <c r="Y445" i="7"/>
  <c r="X445" i="7"/>
  <c r="W445" i="7"/>
  <c r="V445" i="7"/>
  <c r="U445" i="7"/>
  <c r="T445" i="7"/>
  <c r="S445" i="7"/>
  <c r="R445" i="7"/>
  <c r="Q445" i="7"/>
  <c r="P445" i="7"/>
  <c r="O445" i="7"/>
  <c r="N445" i="7"/>
  <c r="M445" i="7"/>
  <c r="L445" i="7"/>
  <c r="K445" i="7"/>
  <c r="J445" i="7"/>
  <c r="I445" i="7"/>
  <c r="H445" i="7"/>
  <c r="G445" i="7"/>
  <c r="F445" i="7"/>
  <c r="E445" i="7"/>
  <c r="CD444" i="7"/>
  <c r="AC444" i="7"/>
  <c r="D444" i="7" s="1"/>
  <c r="B444" i="7"/>
  <c r="AC443" i="7"/>
  <c r="D443" i="7" s="1"/>
  <c r="B443" i="7"/>
  <c r="CD442" i="7"/>
  <c r="D442" i="7"/>
  <c r="B442" i="7"/>
  <c r="CD441" i="7"/>
  <c r="D441" i="7"/>
  <c r="B441" i="7"/>
  <c r="CD440" i="7"/>
  <c r="D440" i="7"/>
  <c r="B440" i="7"/>
  <c r="AE439" i="7"/>
  <c r="AD439" i="7"/>
  <c r="AB439" i="7"/>
  <c r="AA439" i="7"/>
  <c r="Z439" i="7"/>
  <c r="Y439" i="7"/>
  <c r="X439" i="7"/>
  <c r="W439" i="7"/>
  <c r="V439" i="7"/>
  <c r="U439" i="7"/>
  <c r="T439" i="7"/>
  <c r="S439" i="7"/>
  <c r="R439" i="7"/>
  <c r="Q439" i="7"/>
  <c r="P439" i="7"/>
  <c r="O439" i="7"/>
  <c r="N439" i="7"/>
  <c r="M439" i="7"/>
  <c r="L439" i="7"/>
  <c r="K439" i="7"/>
  <c r="J439" i="7"/>
  <c r="I439" i="7"/>
  <c r="H439" i="7"/>
  <c r="G439" i="7"/>
  <c r="F439" i="7"/>
  <c r="E439" i="7"/>
  <c r="AC438" i="7"/>
  <c r="D438" i="7" s="1"/>
  <c r="B438" i="7"/>
  <c r="AC437" i="7"/>
  <c r="D437" i="7" s="1"/>
  <c r="AC436" i="7"/>
  <c r="D436" i="7" s="1"/>
  <c r="B436" i="7"/>
  <c r="AC435" i="7"/>
  <c r="D435" i="7" s="1"/>
  <c r="B435" i="7"/>
  <c r="AC434" i="7"/>
  <c r="B434" i="7"/>
  <c r="AC433" i="7"/>
  <c r="D433" i="7" s="1"/>
  <c r="B433" i="7"/>
  <c r="AC432" i="7"/>
  <c r="D432" i="7" s="1"/>
  <c r="B432" i="7"/>
  <c r="AE431" i="7"/>
  <c r="AD431" i="7"/>
  <c r="AB431" i="7"/>
  <c r="AA431" i="7"/>
  <c r="Z431" i="7"/>
  <c r="Y431" i="7"/>
  <c r="X431" i="7"/>
  <c r="W431" i="7"/>
  <c r="V431" i="7"/>
  <c r="U431" i="7"/>
  <c r="T431" i="7"/>
  <c r="S431" i="7"/>
  <c r="R431" i="7"/>
  <c r="Q431" i="7"/>
  <c r="P431" i="7"/>
  <c r="O431" i="7"/>
  <c r="N431" i="7"/>
  <c r="M431" i="7"/>
  <c r="L431" i="7"/>
  <c r="K431" i="7"/>
  <c r="J431" i="7"/>
  <c r="I431" i="7"/>
  <c r="H431" i="7"/>
  <c r="F431" i="7"/>
  <c r="E431" i="7"/>
  <c r="AC430" i="7"/>
  <c r="D430" i="7" s="1"/>
  <c r="B430" i="7"/>
  <c r="AC923" i="7"/>
  <c r="D923" i="7" s="1"/>
  <c r="AC429" i="7"/>
  <c r="D429" i="7" s="1"/>
  <c r="B429" i="7"/>
  <c r="AC428" i="7"/>
  <c r="B428" i="7"/>
  <c r="N425" i="7"/>
  <c r="B426" i="7"/>
  <c r="AE425" i="7"/>
  <c r="AD425" i="7"/>
  <c r="AB425" i="7"/>
  <c r="AA425" i="7"/>
  <c r="Z425" i="7"/>
  <c r="Y425" i="7"/>
  <c r="X425" i="7"/>
  <c r="W425" i="7"/>
  <c r="V425" i="7"/>
  <c r="U425" i="7"/>
  <c r="T425" i="7"/>
  <c r="S425" i="7"/>
  <c r="R425" i="7"/>
  <c r="Q425" i="7"/>
  <c r="P425" i="7"/>
  <c r="O425" i="7"/>
  <c r="M425" i="7"/>
  <c r="L425" i="7"/>
  <c r="K425" i="7"/>
  <c r="J425" i="7"/>
  <c r="I425" i="7"/>
  <c r="H425" i="7"/>
  <c r="G425" i="7"/>
  <c r="F425" i="7"/>
  <c r="E425" i="7"/>
  <c r="CD424" i="7"/>
  <c r="U420" i="7"/>
  <c r="B424" i="7"/>
  <c r="CD423" i="7"/>
  <c r="D423" i="7"/>
  <c r="B423" i="7"/>
  <c r="CD422" i="7"/>
  <c r="AC422" i="7"/>
  <c r="B422" i="7"/>
  <c r="CD421" i="7"/>
  <c r="B421" i="7"/>
  <c r="AE420" i="7"/>
  <c r="AD420" i="7"/>
  <c r="AB420" i="7"/>
  <c r="AA420" i="7"/>
  <c r="Z420" i="7"/>
  <c r="Y420" i="7"/>
  <c r="X420" i="7"/>
  <c r="W420" i="7"/>
  <c r="V420" i="7"/>
  <c r="T420" i="7"/>
  <c r="S420" i="7"/>
  <c r="R420" i="7"/>
  <c r="Q420" i="7"/>
  <c r="P420" i="7"/>
  <c r="O420" i="7"/>
  <c r="M420" i="7"/>
  <c r="L420" i="7"/>
  <c r="K420" i="7"/>
  <c r="J420" i="7"/>
  <c r="I420" i="7"/>
  <c r="H420" i="7"/>
  <c r="G420" i="7"/>
  <c r="F420" i="7"/>
  <c r="E420" i="7"/>
  <c r="AC419" i="7"/>
  <c r="B419" i="7"/>
  <c r="AE418" i="7"/>
  <c r="AD418" i="7"/>
  <c r="AB418" i="7"/>
  <c r="AA418" i="7"/>
  <c r="Z418" i="7"/>
  <c r="Y418" i="7"/>
  <c r="X418" i="7"/>
  <c r="W418" i="7"/>
  <c r="V418" i="7"/>
  <c r="U418" i="7"/>
  <c r="T418" i="7"/>
  <c r="S418" i="7"/>
  <c r="R418" i="7"/>
  <c r="Q418" i="7"/>
  <c r="P418" i="7"/>
  <c r="O418" i="7"/>
  <c r="N418" i="7"/>
  <c r="M418" i="7"/>
  <c r="L418" i="7"/>
  <c r="K418" i="7"/>
  <c r="J418" i="7"/>
  <c r="I418" i="7"/>
  <c r="H418" i="7"/>
  <c r="G418" i="7"/>
  <c r="F418" i="7"/>
  <c r="E418" i="7"/>
  <c r="AC417" i="7"/>
  <c r="D417" i="7" s="1"/>
  <c r="B417" i="7"/>
  <c r="AE416" i="7"/>
  <c r="AD416" i="7"/>
  <c r="AB416" i="7"/>
  <c r="AA416" i="7"/>
  <c r="Z416" i="7"/>
  <c r="Y416" i="7"/>
  <c r="X416" i="7"/>
  <c r="W416" i="7"/>
  <c r="V416" i="7"/>
  <c r="U416" i="7"/>
  <c r="T416" i="7"/>
  <c r="S416" i="7"/>
  <c r="R416" i="7"/>
  <c r="Q416" i="7"/>
  <c r="P416" i="7"/>
  <c r="O416" i="7"/>
  <c r="N416" i="7"/>
  <c r="M416" i="7"/>
  <c r="L416" i="7"/>
  <c r="K416" i="7"/>
  <c r="J416" i="7"/>
  <c r="I416" i="7"/>
  <c r="H416" i="7"/>
  <c r="G416" i="7"/>
  <c r="F416" i="7"/>
  <c r="E416" i="7"/>
  <c r="CD415" i="7"/>
  <c r="AC415" i="7"/>
  <c r="D415" i="7" s="1"/>
  <c r="B415" i="7"/>
  <c r="CD414" i="7"/>
  <c r="AC414" i="7"/>
  <c r="D414" i="7" s="1"/>
  <c r="B414" i="7"/>
  <c r="AC413" i="7"/>
  <c r="D413" i="7" s="1"/>
  <c r="B413" i="7"/>
  <c r="AC412" i="7"/>
  <c r="D412" i="7" s="1"/>
  <c r="B412" i="7"/>
  <c r="AC411" i="7"/>
  <c r="D411" i="7" s="1"/>
  <c r="B411" i="7"/>
  <c r="AE410" i="7"/>
  <c r="AD410" i="7"/>
  <c r="AB410" i="7"/>
  <c r="AA410" i="7"/>
  <c r="Z410" i="7"/>
  <c r="Y410" i="7"/>
  <c r="X410" i="7"/>
  <c r="W410" i="7"/>
  <c r="V410" i="7"/>
  <c r="U410" i="7"/>
  <c r="T410" i="7"/>
  <c r="S410" i="7"/>
  <c r="R410" i="7"/>
  <c r="Q410" i="7"/>
  <c r="P410" i="7"/>
  <c r="O410" i="7"/>
  <c r="N410" i="7"/>
  <c r="M410" i="7"/>
  <c r="L410" i="7"/>
  <c r="K410" i="7"/>
  <c r="J410" i="7"/>
  <c r="I410" i="7"/>
  <c r="H410" i="7"/>
  <c r="G410" i="7"/>
  <c r="F410" i="7"/>
  <c r="E410" i="7"/>
  <c r="AC409" i="7"/>
  <c r="B409" i="7"/>
  <c r="AE408" i="7"/>
  <c r="AD408" i="7"/>
  <c r="AB408" i="7"/>
  <c r="AA408" i="7"/>
  <c r="Z408" i="7"/>
  <c r="Y408" i="7"/>
  <c r="X408" i="7"/>
  <c r="W408" i="7"/>
  <c r="V408" i="7"/>
  <c r="U408" i="7"/>
  <c r="T408" i="7"/>
  <c r="S408" i="7"/>
  <c r="R408" i="7"/>
  <c r="Q408" i="7"/>
  <c r="P408" i="7"/>
  <c r="O408" i="7"/>
  <c r="N408" i="7"/>
  <c r="M408" i="7"/>
  <c r="L408" i="7"/>
  <c r="K408" i="7"/>
  <c r="J408" i="7"/>
  <c r="I408" i="7"/>
  <c r="H408" i="7"/>
  <c r="G408" i="7"/>
  <c r="F408" i="7"/>
  <c r="E408" i="7"/>
  <c r="AC407" i="7"/>
  <c r="D407" i="7" s="1"/>
  <c r="B407" i="7"/>
  <c r="D406" i="7"/>
  <c r="B406" i="7"/>
  <c r="AC405" i="7"/>
  <c r="D405" i="7" s="1"/>
  <c r="B405" i="7"/>
  <c r="AC404" i="7"/>
  <c r="B404" i="7"/>
  <c r="AE403" i="7"/>
  <c r="AD403" i="7"/>
  <c r="AB403" i="7"/>
  <c r="AA403" i="7"/>
  <c r="Z403" i="7"/>
  <c r="Y403" i="7"/>
  <c r="X403" i="7"/>
  <c r="W403" i="7"/>
  <c r="V403" i="7"/>
  <c r="U403" i="7"/>
  <c r="T403" i="7"/>
  <c r="S403" i="7"/>
  <c r="R403" i="7"/>
  <c r="Q403" i="7"/>
  <c r="P403" i="7"/>
  <c r="O403" i="7"/>
  <c r="N403" i="7"/>
  <c r="M403" i="7"/>
  <c r="L403" i="7"/>
  <c r="K403" i="7"/>
  <c r="J403" i="7"/>
  <c r="I403" i="7"/>
  <c r="H403" i="7"/>
  <c r="G403" i="7"/>
  <c r="F403" i="7"/>
  <c r="E403" i="7"/>
  <c r="CD402" i="7"/>
  <c r="AC402" i="7"/>
  <c r="D402" i="7" s="1"/>
  <c r="B402" i="7"/>
  <c r="AE401" i="7"/>
  <c r="AD401" i="7"/>
  <c r="AB401" i="7"/>
  <c r="AA401" i="7"/>
  <c r="Z401" i="7"/>
  <c r="Y401" i="7"/>
  <c r="X401" i="7"/>
  <c r="W401" i="7"/>
  <c r="V401" i="7"/>
  <c r="U401" i="7"/>
  <c r="T401" i="7"/>
  <c r="S401" i="7"/>
  <c r="R401" i="7"/>
  <c r="Q401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AC400" i="7"/>
  <c r="D400" i="7" s="1"/>
  <c r="B400" i="7"/>
  <c r="AC399" i="7"/>
  <c r="B399" i="7"/>
  <c r="AE398" i="7"/>
  <c r="AD398" i="7"/>
  <c r="AB398" i="7"/>
  <c r="AA398" i="7"/>
  <c r="Z398" i="7"/>
  <c r="Y398" i="7"/>
  <c r="X398" i="7"/>
  <c r="W398" i="7"/>
  <c r="V398" i="7"/>
  <c r="U398" i="7"/>
  <c r="T398" i="7"/>
  <c r="S398" i="7"/>
  <c r="R398" i="7"/>
  <c r="Q398" i="7"/>
  <c r="P398" i="7"/>
  <c r="O398" i="7"/>
  <c r="N398" i="7"/>
  <c r="M398" i="7"/>
  <c r="L398" i="7"/>
  <c r="K398" i="7"/>
  <c r="J398" i="7"/>
  <c r="I398" i="7"/>
  <c r="H398" i="7"/>
  <c r="G398" i="7"/>
  <c r="F398" i="7"/>
  <c r="E398" i="7"/>
  <c r="AC397" i="7"/>
  <c r="D397" i="7" s="1"/>
  <c r="B397" i="7"/>
  <c r="AC396" i="7"/>
  <c r="D396" i="7" s="1"/>
  <c r="B396" i="7"/>
  <c r="R393" i="7"/>
  <c r="B395" i="7"/>
  <c r="CD394" i="7"/>
  <c r="N393" i="7"/>
  <c r="B394" i="7"/>
  <c r="AE393" i="7"/>
  <c r="AD393" i="7"/>
  <c r="AB393" i="7"/>
  <c r="AA393" i="7"/>
  <c r="Z393" i="7"/>
  <c r="Y393" i="7"/>
  <c r="X393" i="7"/>
  <c r="W393" i="7"/>
  <c r="V393" i="7"/>
  <c r="U393" i="7"/>
  <c r="T393" i="7"/>
  <c r="S393" i="7"/>
  <c r="Q393" i="7"/>
  <c r="P393" i="7"/>
  <c r="O393" i="7"/>
  <c r="M393" i="7"/>
  <c r="L393" i="7"/>
  <c r="K393" i="7"/>
  <c r="J393" i="7"/>
  <c r="I393" i="7"/>
  <c r="H393" i="7"/>
  <c r="G393" i="7"/>
  <c r="F393" i="7"/>
  <c r="E393" i="7"/>
  <c r="AC392" i="7"/>
  <c r="B392" i="7"/>
  <c r="AE391" i="7"/>
  <c r="AD391" i="7"/>
  <c r="AB391" i="7"/>
  <c r="AA391" i="7"/>
  <c r="Z391" i="7"/>
  <c r="Y391" i="7"/>
  <c r="X391" i="7"/>
  <c r="W391" i="7"/>
  <c r="V391" i="7"/>
  <c r="U391" i="7"/>
  <c r="T391" i="7"/>
  <c r="S391" i="7"/>
  <c r="R391" i="7"/>
  <c r="Q391" i="7"/>
  <c r="P391" i="7"/>
  <c r="O391" i="7"/>
  <c r="M391" i="7"/>
  <c r="L391" i="7"/>
  <c r="K391" i="7"/>
  <c r="J391" i="7"/>
  <c r="I391" i="7"/>
  <c r="H391" i="7"/>
  <c r="G391" i="7"/>
  <c r="F391" i="7"/>
  <c r="E391" i="7"/>
  <c r="CD390" i="7"/>
  <c r="AC390" i="7"/>
  <c r="B390" i="7"/>
  <c r="AE389" i="7"/>
  <c r="AD389" i="7"/>
  <c r="AB389" i="7"/>
  <c r="AA389" i="7"/>
  <c r="Z389" i="7"/>
  <c r="Y389" i="7"/>
  <c r="X389" i="7"/>
  <c r="W389" i="7"/>
  <c r="V389" i="7"/>
  <c r="U389" i="7"/>
  <c r="T389" i="7"/>
  <c r="S389" i="7"/>
  <c r="R389" i="7"/>
  <c r="Q389" i="7"/>
  <c r="P389" i="7"/>
  <c r="O389" i="7"/>
  <c r="N389" i="7"/>
  <c r="M389" i="7"/>
  <c r="L389" i="7"/>
  <c r="K389" i="7"/>
  <c r="J389" i="7"/>
  <c r="I389" i="7"/>
  <c r="H389" i="7"/>
  <c r="G389" i="7"/>
  <c r="F389" i="7"/>
  <c r="E389" i="7"/>
  <c r="AC388" i="7"/>
  <c r="D388" i="7" s="1"/>
  <c r="B388" i="7"/>
  <c r="CD387" i="7"/>
  <c r="AC387" i="7"/>
  <c r="D387" i="7" s="1"/>
  <c r="B387" i="7"/>
  <c r="AE386" i="7"/>
  <c r="AD386" i="7"/>
  <c r="AB386" i="7"/>
  <c r="AA386" i="7"/>
  <c r="Z386" i="7"/>
  <c r="Y386" i="7"/>
  <c r="X386" i="7"/>
  <c r="W386" i="7"/>
  <c r="V386" i="7"/>
  <c r="U386" i="7"/>
  <c r="T386" i="7"/>
  <c r="S386" i="7"/>
  <c r="R386" i="7"/>
  <c r="Q386" i="7"/>
  <c r="P386" i="7"/>
  <c r="O386" i="7"/>
  <c r="N386" i="7"/>
  <c r="M386" i="7"/>
  <c r="L386" i="7"/>
  <c r="K386" i="7"/>
  <c r="J386" i="7"/>
  <c r="I386" i="7"/>
  <c r="H386" i="7"/>
  <c r="G386" i="7"/>
  <c r="F386" i="7"/>
  <c r="E386" i="7"/>
  <c r="CD385" i="7"/>
  <c r="AC385" i="7"/>
  <c r="D385" i="7" s="1"/>
  <c r="B385" i="7"/>
  <c r="CD384" i="7"/>
  <c r="AC384" i="7"/>
  <c r="D384" i="7" s="1"/>
  <c r="B384" i="7"/>
  <c r="CD383" i="7"/>
  <c r="AC383" i="7"/>
  <c r="D383" i="7" s="1"/>
  <c r="B383" i="7"/>
  <c r="AC382" i="7"/>
  <c r="D382" i="7" s="1"/>
  <c r="B382" i="7"/>
  <c r="CD381" i="7"/>
  <c r="AC381" i="7"/>
  <c r="D381" i="7" s="1"/>
  <c r="B381" i="7"/>
  <c r="CD380" i="7"/>
  <c r="AC380" i="7"/>
  <c r="D380" i="7" s="1"/>
  <c r="B380" i="7"/>
  <c r="CD379" i="7"/>
  <c r="AC379" i="7"/>
  <c r="D379" i="7" s="1"/>
  <c r="B379" i="7"/>
  <c r="AC378" i="7"/>
  <c r="D378" i="7" s="1"/>
  <c r="B378" i="7"/>
  <c r="AC377" i="7"/>
  <c r="D377" i="7" s="1"/>
  <c r="B377" i="7"/>
  <c r="AC376" i="7"/>
  <c r="D376" i="7" s="1"/>
  <c r="B376" i="7"/>
  <c r="CD375" i="7"/>
  <c r="AC375" i="7"/>
  <c r="D375" i="7" s="1"/>
  <c r="B375" i="7"/>
  <c r="CD374" i="7"/>
  <c r="AC374" i="7"/>
  <c r="D374" i="7" s="1"/>
  <c r="B374" i="7"/>
  <c r="AC373" i="7"/>
  <c r="D373" i="7" s="1"/>
  <c r="B373" i="7"/>
  <c r="AC372" i="7"/>
  <c r="B372" i="7"/>
  <c r="AC371" i="7"/>
  <c r="D371" i="7" s="1"/>
  <c r="B371" i="7"/>
  <c r="AE370" i="7"/>
  <c r="AD370" i="7"/>
  <c r="AB370" i="7"/>
  <c r="AA370" i="7"/>
  <c r="Z370" i="7"/>
  <c r="Y370" i="7"/>
  <c r="X370" i="7"/>
  <c r="W370" i="7"/>
  <c r="V370" i="7"/>
  <c r="U370" i="7"/>
  <c r="T370" i="7"/>
  <c r="S370" i="7"/>
  <c r="R370" i="7"/>
  <c r="Q370" i="7"/>
  <c r="P370" i="7"/>
  <c r="O370" i="7"/>
  <c r="N370" i="7"/>
  <c r="M370" i="7"/>
  <c r="L370" i="7"/>
  <c r="K370" i="7"/>
  <c r="J370" i="7"/>
  <c r="I370" i="7"/>
  <c r="H370" i="7"/>
  <c r="F370" i="7"/>
  <c r="E370" i="7"/>
  <c r="AC369" i="7"/>
  <c r="D369" i="7" s="1"/>
  <c r="B369" i="7"/>
  <c r="AE368" i="7"/>
  <c r="AD368" i="7"/>
  <c r="AB368" i="7"/>
  <c r="AA368" i="7"/>
  <c r="Z368" i="7"/>
  <c r="Y368" i="7"/>
  <c r="X368" i="7"/>
  <c r="W368" i="7"/>
  <c r="V368" i="7"/>
  <c r="U368" i="7"/>
  <c r="T368" i="7"/>
  <c r="S368" i="7"/>
  <c r="R368" i="7"/>
  <c r="Q368" i="7"/>
  <c r="P368" i="7"/>
  <c r="O368" i="7"/>
  <c r="N368" i="7"/>
  <c r="M368" i="7"/>
  <c r="L368" i="7"/>
  <c r="K368" i="7"/>
  <c r="J368" i="7"/>
  <c r="I368" i="7"/>
  <c r="H368" i="7"/>
  <c r="G368" i="7"/>
  <c r="F368" i="7"/>
  <c r="E368" i="7"/>
  <c r="AC367" i="7"/>
  <c r="D367" i="7" s="1"/>
  <c r="B367" i="7"/>
  <c r="N366" i="7"/>
  <c r="B366" i="7"/>
  <c r="AE365" i="7"/>
  <c r="AD365" i="7"/>
  <c r="AB365" i="7"/>
  <c r="AA365" i="7"/>
  <c r="Z365" i="7"/>
  <c r="Y365" i="7"/>
  <c r="X365" i="7"/>
  <c r="W365" i="7"/>
  <c r="V365" i="7"/>
  <c r="U365" i="7"/>
  <c r="T365" i="7"/>
  <c r="S365" i="7"/>
  <c r="R365" i="7"/>
  <c r="Q365" i="7"/>
  <c r="P365" i="7"/>
  <c r="O365" i="7"/>
  <c r="M365" i="7"/>
  <c r="L365" i="7"/>
  <c r="K365" i="7"/>
  <c r="J365" i="7"/>
  <c r="I365" i="7"/>
  <c r="H365" i="7"/>
  <c r="G365" i="7"/>
  <c r="F365" i="7"/>
  <c r="E365" i="7"/>
  <c r="AC364" i="7"/>
  <c r="D364" i="7" s="1"/>
  <c r="B364" i="7"/>
  <c r="D363" i="7"/>
  <c r="B363" i="7"/>
  <c r="AC362" i="7"/>
  <c r="D362" i="7" s="1"/>
  <c r="B362" i="7"/>
  <c r="AE361" i="7"/>
  <c r="AD361" i="7"/>
  <c r="AB361" i="7"/>
  <c r="AA361" i="7"/>
  <c r="Z361" i="7"/>
  <c r="Y361" i="7"/>
  <c r="X361" i="7"/>
  <c r="W361" i="7"/>
  <c r="V361" i="7"/>
  <c r="U361" i="7"/>
  <c r="T361" i="7"/>
  <c r="S361" i="7"/>
  <c r="R361" i="7"/>
  <c r="Q361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CD360" i="7"/>
  <c r="AC360" i="7"/>
  <c r="D360" i="7" s="1"/>
  <c r="B360" i="7"/>
  <c r="CD359" i="7"/>
  <c r="D359" i="7"/>
  <c r="B359" i="7"/>
  <c r="AE358" i="7"/>
  <c r="AD358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AC868" i="7"/>
  <c r="D868" i="7" s="1"/>
  <c r="AC357" i="7"/>
  <c r="D357" i="7" s="1"/>
  <c r="B357" i="7"/>
  <c r="AC356" i="7"/>
  <c r="B356" i="7"/>
  <c r="CD354" i="7"/>
  <c r="AC354" i="7"/>
  <c r="D354" i="7" s="1"/>
  <c r="B354" i="7"/>
  <c r="CD353" i="7"/>
  <c r="AC353" i="7"/>
  <c r="D353" i="7" s="1"/>
  <c r="B353" i="7"/>
  <c r="AC352" i="7"/>
  <c r="D352" i="7" s="1"/>
  <c r="B352" i="7"/>
  <c r="AC351" i="7"/>
  <c r="B351" i="7"/>
  <c r="AC350" i="7"/>
  <c r="D350" i="7" s="1"/>
  <c r="B350" i="7"/>
  <c r="AE348" i="7"/>
  <c r="AD348" i="7"/>
  <c r="AB348" i="7"/>
  <c r="AA348" i="7"/>
  <c r="Z348" i="7"/>
  <c r="Y348" i="7"/>
  <c r="X348" i="7"/>
  <c r="W348" i="7"/>
  <c r="V348" i="7"/>
  <c r="U348" i="7"/>
  <c r="T348" i="7"/>
  <c r="S348" i="7"/>
  <c r="R348" i="7"/>
  <c r="Q348" i="7"/>
  <c r="P348" i="7"/>
  <c r="O348" i="7"/>
  <c r="N348" i="7"/>
  <c r="M348" i="7"/>
  <c r="L348" i="7"/>
  <c r="K348" i="7"/>
  <c r="J348" i="7"/>
  <c r="I348" i="7"/>
  <c r="H348" i="7"/>
  <c r="G348" i="7"/>
  <c r="F348" i="7"/>
  <c r="E348" i="7"/>
  <c r="AC347" i="7"/>
  <c r="D347" i="7" s="1"/>
  <c r="B347" i="7"/>
  <c r="CD346" i="7"/>
  <c r="AC346" i="7"/>
  <c r="D346" i="7" s="1"/>
  <c r="B346" i="7"/>
  <c r="CD345" i="7"/>
  <c r="AC345" i="7"/>
  <c r="D345" i="7" s="1"/>
  <c r="B345" i="7"/>
  <c r="CD344" i="7"/>
  <c r="AC344" i="7"/>
  <c r="D344" i="7" s="1"/>
  <c r="B344" i="7"/>
  <c r="CD343" i="7"/>
  <c r="AC343" i="7"/>
  <c r="D343" i="7" s="1"/>
  <c r="B343" i="7"/>
  <c r="CD342" i="7"/>
  <c r="AC342" i="7"/>
  <c r="D342" i="7" s="1"/>
  <c r="B342" i="7"/>
  <c r="AC341" i="7"/>
  <c r="D341" i="7" s="1"/>
  <c r="B341" i="7"/>
  <c r="AC340" i="7"/>
  <c r="D340" i="7" s="1"/>
  <c r="B340" i="7"/>
  <c r="AC339" i="7"/>
  <c r="D339" i="7" s="1"/>
  <c r="B339" i="7"/>
  <c r="AC338" i="7"/>
  <c r="D338" i="7" s="1"/>
  <c r="B338" i="7"/>
  <c r="AC337" i="7"/>
  <c r="D337" i="7" s="1"/>
  <c r="B337" i="7"/>
  <c r="AC336" i="7"/>
  <c r="D336" i="7" s="1"/>
  <c r="B336" i="7"/>
  <c r="AC335" i="7"/>
  <c r="D335" i="7" s="1"/>
  <c r="B335" i="7"/>
  <c r="AC334" i="7"/>
  <c r="D334" i="7" s="1"/>
  <c r="B334" i="7"/>
  <c r="R333" i="7"/>
  <c r="AC333" i="7" s="1"/>
  <c r="D333" i="7" s="1"/>
  <c r="B333" i="7"/>
  <c r="AC332" i="7"/>
  <c r="D332" i="7" s="1"/>
  <c r="B332" i="7"/>
  <c r="AE331" i="7"/>
  <c r="AD331" i="7"/>
  <c r="AB331" i="7"/>
  <c r="AA331" i="7"/>
  <c r="Z331" i="7"/>
  <c r="Y331" i="7"/>
  <c r="X331" i="7"/>
  <c r="W331" i="7"/>
  <c r="V331" i="7"/>
  <c r="U331" i="7"/>
  <c r="T331" i="7"/>
  <c r="S331" i="7"/>
  <c r="Q331" i="7"/>
  <c r="P331" i="7"/>
  <c r="O331" i="7"/>
  <c r="N331" i="7"/>
  <c r="M331" i="7"/>
  <c r="L331" i="7"/>
  <c r="K331" i="7"/>
  <c r="J331" i="7"/>
  <c r="I331" i="7"/>
  <c r="H331" i="7"/>
  <c r="G331" i="7"/>
  <c r="F331" i="7"/>
  <c r="E331" i="7"/>
  <c r="CD330" i="7"/>
  <c r="AC330" i="7"/>
  <c r="D330" i="7" s="1"/>
  <c r="B330" i="7"/>
  <c r="CD329" i="7"/>
  <c r="D329" i="7"/>
  <c r="B329" i="7"/>
  <c r="CD328" i="7"/>
  <c r="AC328" i="7"/>
  <c r="D328" i="7" s="1"/>
  <c r="B328" i="7"/>
  <c r="AC327" i="7"/>
  <c r="D327" i="7" s="1"/>
  <c r="B327" i="7"/>
  <c r="AC326" i="7"/>
  <c r="D326" i="7" s="1"/>
  <c r="B326" i="7"/>
  <c r="D325" i="7"/>
  <c r="B325" i="7"/>
  <c r="CD324" i="7"/>
  <c r="AC324" i="7"/>
  <c r="D324" i="7" s="1"/>
  <c r="B324" i="7"/>
  <c r="CD858" i="7"/>
  <c r="AC858" i="7"/>
  <c r="D858" i="7" s="1"/>
  <c r="R857" i="7"/>
  <c r="R315" i="7" s="1"/>
  <c r="AC323" i="7"/>
  <c r="D323" i="7" s="1"/>
  <c r="B323" i="7"/>
  <c r="N315" i="7"/>
  <c r="B322" i="7"/>
  <c r="D321" i="7"/>
  <c r="B321" i="7"/>
  <c r="CD320" i="7"/>
  <c r="AC320" i="7"/>
  <c r="D320" i="7" s="1"/>
  <c r="B320" i="7"/>
  <c r="CD319" i="7"/>
  <c r="AC319" i="7"/>
  <c r="D319" i="7" s="1"/>
  <c r="B319" i="7"/>
  <c r="AC318" i="7"/>
  <c r="D318" i="7" s="1"/>
  <c r="B318" i="7"/>
  <c r="AC317" i="7"/>
  <c r="D317" i="7" s="1"/>
  <c r="B317" i="7"/>
  <c r="AC316" i="7"/>
  <c r="D316" i="7" s="1"/>
  <c r="B316" i="7"/>
  <c r="AE315" i="7"/>
  <c r="AD315" i="7"/>
  <c r="AB315" i="7"/>
  <c r="AA315" i="7"/>
  <c r="Z315" i="7"/>
  <c r="Y315" i="7"/>
  <c r="X315" i="7"/>
  <c r="W315" i="7"/>
  <c r="V315" i="7"/>
  <c r="U315" i="7"/>
  <c r="T315" i="7"/>
  <c r="S315" i="7"/>
  <c r="Q315" i="7"/>
  <c r="P315" i="7"/>
  <c r="O315" i="7"/>
  <c r="M315" i="7"/>
  <c r="L315" i="7"/>
  <c r="K315" i="7"/>
  <c r="J315" i="7"/>
  <c r="I315" i="7"/>
  <c r="H315" i="7"/>
  <c r="G315" i="7"/>
  <c r="F315" i="7"/>
  <c r="E315" i="7"/>
  <c r="N313" i="7"/>
  <c r="B314" i="7"/>
  <c r="AE313" i="7"/>
  <c r="AD313" i="7"/>
  <c r="AB313" i="7"/>
  <c r="AA313" i="7"/>
  <c r="Z313" i="7"/>
  <c r="Y313" i="7"/>
  <c r="X313" i="7"/>
  <c r="W313" i="7"/>
  <c r="V313" i="7"/>
  <c r="U313" i="7"/>
  <c r="T313" i="7"/>
  <c r="S313" i="7"/>
  <c r="R313" i="7"/>
  <c r="Q313" i="7"/>
  <c r="P313" i="7"/>
  <c r="O313" i="7"/>
  <c r="M313" i="7"/>
  <c r="L313" i="7"/>
  <c r="K313" i="7"/>
  <c r="J313" i="7"/>
  <c r="I313" i="7"/>
  <c r="H313" i="7"/>
  <c r="G313" i="7"/>
  <c r="F313" i="7"/>
  <c r="E313" i="7"/>
  <c r="AC312" i="7"/>
  <c r="D312" i="7" s="1"/>
  <c r="B312" i="7"/>
  <c r="AC311" i="7"/>
  <c r="D311" i="7" s="1"/>
  <c r="B311" i="7"/>
  <c r="AC310" i="7"/>
  <c r="D310" i="7" s="1"/>
  <c r="B310" i="7"/>
  <c r="I307" i="7"/>
  <c r="B309" i="7"/>
  <c r="AC308" i="7"/>
  <c r="D308" i="7" s="1"/>
  <c r="B308" i="7"/>
  <c r="AE307" i="7"/>
  <c r="AD307" i="7"/>
  <c r="AB307" i="7"/>
  <c r="AA307" i="7"/>
  <c r="Z307" i="7"/>
  <c r="Y307" i="7"/>
  <c r="X307" i="7"/>
  <c r="W307" i="7"/>
  <c r="V307" i="7"/>
  <c r="U307" i="7"/>
  <c r="T307" i="7"/>
  <c r="S307" i="7"/>
  <c r="R307" i="7"/>
  <c r="Q307" i="7"/>
  <c r="P307" i="7"/>
  <c r="O307" i="7"/>
  <c r="N307" i="7"/>
  <c r="M307" i="7"/>
  <c r="L307" i="7"/>
  <c r="K307" i="7"/>
  <c r="J307" i="7"/>
  <c r="H307" i="7"/>
  <c r="G307" i="7"/>
  <c r="F307" i="7"/>
  <c r="E307" i="7"/>
  <c r="AC306" i="7"/>
  <c r="D306" i="7" s="1"/>
  <c r="B306" i="7"/>
  <c r="AC305" i="7"/>
  <c r="D305" i="7" s="1"/>
  <c r="B305" i="7"/>
  <c r="AC304" i="7"/>
  <c r="D304" i="7" s="1"/>
  <c r="B304" i="7"/>
  <c r="AC303" i="7"/>
  <c r="D303" i="7" s="1"/>
  <c r="B303" i="7"/>
  <c r="AC302" i="7"/>
  <c r="B302" i="7"/>
  <c r="AE301" i="7"/>
  <c r="AD301" i="7"/>
  <c r="AB301" i="7"/>
  <c r="AA301" i="7"/>
  <c r="Z301" i="7"/>
  <c r="Y301" i="7"/>
  <c r="X301" i="7"/>
  <c r="W301" i="7"/>
  <c r="V301" i="7"/>
  <c r="U301" i="7"/>
  <c r="T301" i="7"/>
  <c r="S301" i="7"/>
  <c r="R301" i="7"/>
  <c r="Q301" i="7"/>
  <c r="P301" i="7"/>
  <c r="O301" i="7"/>
  <c r="N301" i="7"/>
  <c r="M301" i="7"/>
  <c r="L301" i="7"/>
  <c r="K301" i="7"/>
  <c r="J301" i="7"/>
  <c r="I301" i="7"/>
  <c r="H301" i="7"/>
  <c r="G301" i="7"/>
  <c r="F301" i="7"/>
  <c r="E301" i="7"/>
  <c r="CD300" i="7"/>
  <c r="AC300" i="7"/>
  <c r="D300" i="7" s="1"/>
  <c r="B300" i="7"/>
  <c r="CD299" i="7"/>
  <c r="AC299" i="7"/>
  <c r="D299" i="7" s="1"/>
  <c r="B299" i="7"/>
  <c r="AE298" i="7"/>
  <c r="AD298" i="7"/>
  <c r="AB298" i="7"/>
  <c r="AA298" i="7"/>
  <c r="Z298" i="7"/>
  <c r="Y298" i="7"/>
  <c r="X298" i="7"/>
  <c r="W298" i="7"/>
  <c r="V298" i="7"/>
  <c r="U298" i="7"/>
  <c r="T298" i="7"/>
  <c r="S298" i="7"/>
  <c r="R298" i="7"/>
  <c r="Q298" i="7"/>
  <c r="P298" i="7"/>
  <c r="O298" i="7"/>
  <c r="N298" i="7"/>
  <c r="M298" i="7"/>
  <c r="L298" i="7"/>
  <c r="K298" i="7"/>
  <c r="J298" i="7"/>
  <c r="I298" i="7"/>
  <c r="H298" i="7"/>
  <c r="G298" i="7"/>
  <c r="F298" i="7"/>
  <c r="E298" i="7"/>
  <c r="B297" i="7"/>
  <c r="AE296" i="7"/>
  <c r="AD296" i="7"/>
  <c r="AB296" i="7"/>
  <c r="AA296" i="7"/>
  <c r="Z296" i="7"/>
  <c r="Y296" i="7"/>
  <c r="X296" i="7"/>
  <c r="W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CD295" i="7"/>
  <c r="N291" i="7"/>
  <c r="B295" i="7"/>
  <c r="CD294" i="7"/>
  <c r="AC294" i="7"/>
  <c r="D294" i="7" s="1"/>
  <c r="B294" i="7"/>
  <c r="AC293" i="7"/>
  <c r="D293" i="7" s="1"/>
  <c r="B293" i="7"/>
  <c r="AC292" i="7"/>
  <c r="D292" i="7" s="1"/>
  <c r="B292" i="7"/>
  <c r="AE291" i="7"/>
  <c r="AD291" i="7"/>
  <c r="AB291" i="7"/>
  <c r="AA291" i="7"/>
  <c r="Z291" i="7"/>
  <c r="Y291" i="7"/>
  <c r="X291" i="7"/>
  <c r="W291" i="7"/>
  <c r="V291" i="7"/>
  <c r="U291" i="7"/>
  <c r="T291" i="7"/>
  <c r="S291" i="7"/>
  <c r="R291" i="7"/>
  <c r="Q291" i="7"/>
  <c r="P291" i="7"/>
  <c r="O291" i="7"/>
  <c r="M291" i="7"/>
  <c r="L291" i="7"/>
  <c r="K291" i="7"/>
  <c r="J291" i="7"/>
  <c r="I291" i="7"/>
  <c r="H291" i="7"/>
  <c r="F291" i="7"/>
  <c r="E291" i="7"/>
  <c r="N284" i="7"/>
  <c r="B290" i="7"/>
  <c r="CD289" i="7"/>
  <c r="AC289" i="7"/>
  <c r="D289" i="7" s="1"/>
  <c r="B289" i="7"/>
  <c r="AC288" i="7"/>
  <c r="D288" i="7" s="1"/>
  <c r="B288" i="7"/>
  <c r="AC287" i="7"/>
  <c r="D287" i="7" s="1"/>
  <c r="B287" i="7"/>
  <c r="AC286" i="7"/>
  <c r="D286" i="7" s="1"/>
  <c r="B286" i="7"/>
  <c r="AC285" i="7"/>
  <c r="B285" i="7"/>
  <c r="AE284" i="7"/>
  <c r="AD284" i="7"/>
  <c r="AB284" i="7"/>
  <c r="AA284" i="7"/>
  <c r="Z284" i="7"/>
  <c r="Y284" i="7"/>
  <c r="X284" i="7"/>
  <c r="W284" i="7"/>
  <c r="V284" i="7"/>
  <c r="U284" i="7"/>
  <c r="T284" i="7"/>
  <c r="S284" i="7"/>
  <c r="Q284" i="7"/>
  <c r="P284" i="7"/>
  <c r="O284" i="7"/>
  <c r="M284" i="7"/>
  <c r="L284" i="7"/>
  <c r="K284" i="7"/>
  <c r="J284" i="7"/>
  <c r="I284" i="7"/>
  <c r="H284" i="7"/>
  <c r="G284" i="7"/>
  <c r="F284" i="7"/>
  <c r="E284" i="7"/>
  <c r="CD283" i="7"/>
  <c r="AC283" i="7"/>
  <c r="D283" i="7" s="1"/>
  <c r="B283" i="7"/>
  <c r="CD282" i="7"/>
  <c r="AC282" i="7"/>
  <c r="D282" i="7" s="1"/>
  <c r="B282" i="7"/>
  <c r="CD281" i="7"/>
  <c r="AC281" i="7"/>
  <c r="D281" i="7" s="1"/>
  <c r="B281" i="7"/>
  <c r="AC829" i="7"/>
  <c r="D829" i="7" s="1"/>
  <c r="CD280" i="7"/>
  <c r="AC280" i="7"/>
  <c r="D280" i="7" s="1"/>
  <c r="B280" i="7"/>
  <c r="AC279" i="7"/>
  <c r="B279" i="7"/>
  <c r="AC278" i="7"/>
  <c r="D278" i="7" s="1"/>
  <c r="B278" i="7"/>
  <c r="AE277" i="7"/>
  <c r="AD277" i="7"/>
  <c r="AB277" i="7"/>
  <c r="AA277" i="7"/>
  <c r="Z277" i="7"/>
  <c r="Y277" i="7"/>
  <c r="X277" i="7"/>
  <c r="W277" i="7"/>
  <c r="V277" i="7"/>
  <c r="U277" i="7"/>
  <c r="T277" i="7"/>
  <c r="S277" i="7"/>
  <c r="R277" i="7"/>
  <c r="Q277" i="7"/>
  <c r="P277" i="7"/>
  <c r="O277" i="7"/>
  <c r="M277" i="7"/>
  <c r="L277" i="7"/>
  <c r="K277" i="7"/>
  <c r="J277" i="7"/>
  <c r="I277" i="7"/>
  <c r="H277" i="7"/>
  <c r="G277" i="7"/>
  <c r="F277" i="7"/>
  <c r="E277" i="7"/>
  <c r="AC276" i="7"/>
  <c r="D276" i="7" s="1"/>
  <c r="B276" i="7"/>
  <c r="AC275" i="7"/>
  <c r="D275" i="7" s="1"/>
  <c r="B275" i="7"/>
  <c r="AC274" i="7"/>
  <c r="D274" i="7" s="1"/>
  <c r="B274" i="7"/>
  <c r="CD273" i="7"/>
  <c r="AC273" i="7"/>
  <c r="D273" i="7" s="1"/>
  <c r="B273" i="7"/>
  <c r="CD272" i="7"/>
  <c r="AC272" i="7"/>
  <c r="D272" i="7" s="1"/>
  <c r="B272" i="7"/>
  <c r="AC271" i="7"/>
  <c r="D271" i="7" s="1"/>
  <c r="B271" i="7"/>
  <c r="CD270" i="7"/>
  <c r="AC270" i="7"/>
  <c r="D270" i="7" s="1"/>
  <c r="B270" i="7"/>
  <c r="CD269" i="7"/>
  <c r="AC269" i="7"/>
  <c r="D269" i="7" s="1"/>
  <c r="B269" i="7"/>
  <c r="AC825" i="7"/>
  <c r="D825" i="7" s="1"/>
  <c r="CD268" i="7"/>
  <c r="AC268" i="7"/>
  <c r="D268" i="7" s="1"/>
  <c r="B268" i="7"/>
  <c r="AC267" i="7"/>
  <c r="D267" i="7" s="1"/>
  <c r="B267" i="7"/>
  <c r="CD266" i="7"/>
  <c r="AC266" i="7"/>
  <c r="D266" i="7" s="1"/>
  <c r="B266" i="7"/>
  <c r="AC265" i="7"/>
  <c r="D265" i="7" s="1"/>
  <c r="B265" i="7"/>
  <c r="CD264" i="7"/>
  <c r="AC264" i="7"/>
  <c r="D264" i="7" s="1"/>
  <c r="B264" i="7"/>
  <c r="CD263" i="7"/>
  <c r="AC263" i="7"/>
  <c r="D263" i="7" s="1"/>
  <c r="B263" i="7"/>
  <c r="CD262" i="7"/>
  <c r="AC262" i="7"/>
  <c r="D262" i="7" s="1"/>
  <c r="B262" i="7"/>
  <c r="AC261" i="7"/>
  <c r="D261" i="7" s="1"/>
  <c r="B261" i="7"/>
  <c r="CD260" i="7"/>
  <c r="AC260" i="7"/>
  <c r="D260" i="7" s="1"/>
  <c r="B260" i="7"/>
  <c r="AC259" i="7"/>
  <c r="D259" i="7" s="1"/>
  <c r="B259" i="7"/>
  <c r="D258" i="7"/>
  <c r="B258" i="7"/>
  <c r="CD257" i="7"/>
  <c r="AC257" i="7"/>
  <c r="D257" i="7" s="1"/>
  <c r="B257" i="7"/>
  <c r="CD256" i="7"/>
  <c r="AC256" i="7"/>
  <c r="D256" i="7" s="1"/>
  <c r="B256" i="7"/>
  <c r="CD255" i="7"/>
  <c r="N255" i="7"/>
  <c r="AC255" i="7" s="1"/>
  <c r="D255" i="7" s="1"/>
  <c r="B255" i="7"/>
  <c r="AT254" i="7"/>
  <c r="D254" i="7"/>
  <c r="B254" i="7"/>
  <c r="B253" i="7"/>
  <c r="AC252" i="7"/>
  <c r="D252" i="7" s="1"/>
  <c r="B252" i="7"/>
  <c r="D251" i="7"/>
  <c r="B251" i="7"/>
  <c r="AE250" i="7"/>
  <c r="AD250" i="7"/>
  <c r="AB250" i="7"/>
  <c r="AA250" i="7"/>
  <c r="Z250" i="7"/>
  <c r="Y250" i="7"/>
  <c r="X250" i="7"/>
  <c r="W250" i="7"/>
  <c r="V250" i="7"/>
  <c r="U250" i="7"/>
  <c r="T250" i="7"/>
  <c r="S250" i="7"/>
  <c r="R250" i="7"/>
  <c r="Q250" i="7"/>
  <c r="P250" i="7"/>
  <c r="O250" i="7"/>
  <c r="M250" i="7"/>
  <c r="L250" i="7"/>
  <c r="K250" i="7"/>
  <c r="J250" i="7"/>
  <c r="I250" i="7"/>
  <c r="H250" i="7"/>
  <c r="G250" i="7"/>
  <c r="F250" i="7"/>
  <c r="E250" i="7"/>
  <c r="D249" i="7"/>
  <c r="B249" i="7"/>
  <c r="D248" i="7"/>
  <c r="B248" i="7"/>
  <c r="AC247" i="7"/>
  <c r="D247" i="7" s="1"/>
  <c r="B247" i="7"/>
  <c r="AC246" i="7"/>
  <c r="D246" i="7" s="1"/>
  <c r="B246" i="7"/>
  <c r="AC245" i="7"/>
  <c r="D245" i="7" s="1"/>
  <c r="B245" i="7"/>
  <c r="CD244" i="7"/>
  <c r="N244" i="7"/>
  <c r="AC244" i="7" s="1"/>
  <c r="B244" i="7"/>
  <c r="AE243" i="7"/>
  <c r="AD243" i="7"/>
  <c r="AB243" i="7"/>
  <c r="AA243" i="7"/>
  <c r="Z243" i="7"/>
  <c r="Y243" i="7"/>
  <c r="X243" i="7"/>
  <c r="W243" i="7"/>
  <c r="V243" i="7"/>
  <c r="U243" i="7"/>
  <c r="T243" i="7"/>
  <c r="S243" i="7"/>
  <c r="R243" i="7"/>
  <c r="Q243" i="7"/>
  <c r="P243" i="7"/>
  <c r="O243" i="7"/>
  <c r="M243" i="7"/>
  <c r="K243" i="7"/>
  <c r="J243" i="7"/>
  <c r="I243" i="7"/>
  <c r="H243" i="7"/>
  <c r="F243" i="7"/>
  <c r="E243" i="7"/>
  <c r="D234" i="7"/>
  <c r="D233" i="7"/>
  <c r="D232" i="7"/>
  <c r="D231" i="7"/>
  <c r="D230" i="7"/>
  <c r="D229" i="7"/>
  <c r="D228" i="7"/>
  <c r="D227" i="7"/>
  <c r="N226" i="7"/>
  <c r="AC226" i="7" s="1"/>
  <c r="D226" i="7" s="1"/>
  <c r="D225" i="7"/>
  <c r="R224" i="7"/>
  <c r="AC224" i="7" s="1"/>
  <c r="D224" i="7" s="1"/>
  <c r="AC223" i="7"/>
  <c r="D223" i="7" s="1"/>
  <c r="D222" i="7"/>
  <c r="AC221" i="7"/>
  <c r="D221" i="7" s="1"/>
  <c r="CD220" i="7"/>
  <c r="AC220" i="7"/>
  <c r="D220" i="7" s="1"/>
  <c r="AC219" i="7"/>
  <c r="D219" i="7" s="1"/>
  <c r="CD218" i="7"/>
  <c r="AC218" i="7"/>
  <c r="D218" i="7" s="1"/>
  <c r="AC217" i="7"/>
  <c r="D217" i="7" s="1"/>
  <c r="D216" i="7"/>
  <c r="CD215" i="7"/>
  <c r="N215" i="7"/>
  <c r="AC215" i="7" s="1"/>
  <c r="D215" i="7" s="1"/>
  <c r="AC214" i="7"/>
  <c r="D214" i="7" s="1"/>
  <c r="CD213" i="7"/>
  <c r="AC213" i="7"/>
  <c r="D213" i="7" s="1"/>
  <c r="D212" i="7"/>
  <c r="G211" i="7"/>
  <c r="AC211" i="7" s="1"/>
  <c r="D211" i="7" s="1"/>
  <c r="D210" i="7"/>
  <c r="D209" i="7"/>
  <c r="D208" i="7"/>
  <c r="D207" i="7"/>
  <c r="AC206" i="7"/>
  <c r="D206" i="7" s="1"/>
  <c r="B205" i="7"/>
  <c r="AC204" i="7"/>
  <c r="D204" i="7" s="1"/>
  <c r="B204" i="7"/>
  <c r="AE203" i="7"/>
  <c r="AD203" i="7"/>
  <c r="AB203" i="7"/>
  <c r="AA203" i="7"/>
  <c r="Z203" i="7"/>
  <c r="Y203" i="7"/>
  <c r="X203" i="7"/>
  <c r="W203" i="7"/>
  <c r="V203" i="7"/>
  <c r="U203" i="7"/>
  <c r="T203" i="7"/>
  <c r="S203" i="7"/>
  <c r="Q203" i="7"/>
  <c r="P203" i="7"/>
  <c r="O203" i="7"/>
  <c r="M203" i="7"/>
  <c r="L203" i="7"/>
  <c r="K203" i="7"/>
  <c r="J203" i="7"/>
  <c r="I203" i="7"/>
  <c r="H203" i="7"/>
  <c r="F203" i="7"/>
  <c r="E203" i="7"/>
  <c r="T161" i="7"/>
  <c r="N161" i="7"/>
  <c r="AC199" i="7"/>
  <c r="D199" i="7" s="1"/>
  <c r="AC198" i="7"/>
  <c r="D198" i="7" s="1"/>
  <c r="CD197" i="7"/>
  <c r="D197" i="7"/>
  <c r="AC196" i="7"/>
  <c r="D196" i="7" s="1"/>
  <c r="AC195" i="7"/>
  <c r="D195" i="7" s="1"/>
  <c r="AC194" i="7"/>
  <c r="D194" i="7" s="1"/>
  <c r="AC193" i="7"/>
  <c r="D193" i="7" s="1"/>
  <c r="AC192" i="7"/>
  <c r="D192" i="7" s="1"/>
  <c r="AC191" i="7"/>
  <c r="D191" i="7" s="1"/>
  <c r="D190" i="7"/>
  <c r="D189" i="7"/>
  <c r="D188" i="7"/>
  <c r="AC187" i="7"/>
  <c r="D187" i="7" s="1"/>
  <c r="AC186" i="7"/>
  <c r="D186" i="7" s="1"/>
  <c r="AC185" i="7"/>
  <c r="D185" i="7" s="1"/>
  <c r="AC184" i="7"/>
  <c r="D184" i="7" s="1"/>
  <c r="D183" i="7"/>
  <c r="AC182" i="7"/>
  <c r="D182" i="7" s="1"/>
  <c r="D181" i="7"/>
  <c r="D180" i="7"/>
  <c r="AC748" i="7"/>
  <c r="D748" i="7" s="1"/>
  <c r="CD179" i="7"/>
  <c r="D179" i="7"/>
  <c r="AC178" i="7"/>
  <c r="D178" i="7" s="1"/>
  <c r="AC177" i="7"/>
  <c r="D177" i="7" s="1"/>
  <c r="CD176" i="7"/>
  <c r="D176" i="7"/>
  <c r="D175" i="7"/>
  <c r="AC174" i="7"/>
  <c r="D174" i="7" s="1"/>
  <c r="CD173" i="7"/>
  <c r="D173" i="7"/>
  <c r="CD172" i="7"/>
  <c r="D172" i="7"/>
  <c r="AC171" i="7"/>
  <c r="D171" i="7" s="1"/>
  <c r="AC170" i="7"/>
  <c r="D170" i="7" s="1"/>
  <c r="D169" i="7"/>
  <c r="CD168" i="7"/>
  <c r="D168" i="7"/>
  <c r="AT167" i="7"/>
  <c r="D167" i="7"/>
  <c r="AC166" i="7"/>
  <c r="D166" i="7" s="1"/>
  <c r="D165" i="7"/>
  <c r="CD164" i="7"/>
  <c r="D164" i="7"/>
  <c r="AC163" i="7"/>
  <c r="D163" i="7" s="1"/>
  <c r="B163" i="7"/>
  <c r="CD162" i="7"/>
  <c r="D162" i="7"/>
  <c r="B162" i="7"/>
  <c r="AE161" i="7"/>
  <c r="AD161" i="7"/>
  <c r="AB161" i="7"/>
  <c r="AA161" i="7"/>
  <c r="Z161" i="7"/>
  <c r="Y161" i="7"/>
  <c r="X161" i="7"/>
  <c r="W161" i="7"/>
  <c r="V161" i="7"/>
  <c r="U161" i="7"/>
  <c r="S161" i="7"/>
  <c r="R161" i="7"/>
  <c r="Q161" i="7"/>
  <c r="P161" i="7"/>
  <c r="O161" i="7"/>
  <c r="M161" i="7"/>
  <c r="L161" i="7"/>
  <c r="K161" i="7"/>
  <c r="J161" i="7"/>
  <c r="I161" i="7"/>
  <c r="H161" i="7"/>
  <c r="G161" i="7"/>
  <c r="F161" i="7"/>
  <c r="E161" i="7"/>
  <c r="AD129" i="7"/>
  <c r="AC160" i="7"/>
  <c r="AC159" i="7"/>
  <c r="D159" i="7" s="1"/>
  <c r="AC158" i="7"/>
  <c r="D158" i="7" s="1"/>
  <c r="CD157" i="7"/>
  <c r="D157" i="7"/>
  <c r="CD156" i="7"/>
  <c r="AC156" i="7"/>
  <c r="D156" i="7" s="1"/>
  <c r="AC155" i="7"/>
  <c r="D155" i="7" s="1"/>
  <c r="AC154" i="7"/>
  <c r="D154" i="7" s="1"/>
  <c r="AC153" i="7"/>
  <c r="D153" i="7" s="1"/>
  <c r="D152" i="7"/>
  <c r="AC712" i="7"/>
  <c r="D712" i="7" s="1"/>
  <c r="AC151" i="7"/>
  <c r="D151" i="7" s="1"/>
  <c r="AC150" i="7"/>
  <c r="D150" i="7" s="1"/>
  <c r="AC149" i="7"/>
  <c r="D149" i="7" s="1"/>
  <c r="AC148" i="7"/>
  <c r="D148" i="7" s="1"/>
  <c r="AC147" i="7"/>
  <c r="D147" i="7" s="1"/>
  <c r="AC146" i="7"/>
  <c r="D146" i="7" s="1"/>
  <c r="AC145" i="7"/>
  <c r="D145" i="7" s="1"/>
  <c r="AC144" i="7"/>
  <c r="D144" i="7" s="1"/>
  <c r="D143" i="7"/>
  <c r="AC142" i="7"/>
  <c r="D142" i="7" s="1"/>
  <c r="CD141" i="7"/>
  <c r="AC141" i="7"/>
  <c r="D141" i="7" s="1"/>
  <c r="CD140" i="7"/>
  <c r="AC140" i="7"/>
  <c r="D140" i="7" s="1"/>
  <c r="CD139" i="7"/>
  <c r="AC139" i="7"/>
  <c r="D139" i="7" s="1"/>
  <c r="CD138" i="7"/>
  <c r="AC138" i="7"/>
  <c r="D138" i="7" s="1"/>
  <c r="CD137" i="7"/>
  <c r="AC137" i="7"/>
  <c r="D137" i="7" s="1"/>
  <c r="CD136" i="7"/>
  <c r="AC136" i="7"/>
  <c r="D136" i="7" s="1"/>
  <c r="CD135" i="7"/>
  <c r="AC135" i="7"/>
  <c r="D135" i="7" s="1"/>
  <c r="CD134" i="7"/>
  <c r="AC134" i="7"/>
  <c r="D134" i="7" s="1"/>
  <c r="AC133" i="7"/>
  <c r="D133" i="7" s="1"/>
  <c r="AC132" i="7"/>
  <c r="D132" i="7" s="1"/>
  <c r="AC131" i="7"/>
  <c r="D131" i="7" s="1"/>
  <c r="B131" i="7"/>
  <c r="CD130" i="7"/>
  <c r="AC130" i="7"/>
  <c r="D130" i="7" s="1"/>
  <c r="B130" i="7"/>
  <c r="AE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16" i="7"/>
  <c r="B116" i="7"/>
  <c r="D115" i="7"/>
  <c r="B115" i="7"/>
  <c r="D114" i="7"/>
  <c r="B114" i="7"/>
  <c r="D113" i="7"/>
  <c r="B113" i="7"/>
  <c r="D112" i="7"/>
  <c r="B112" i="7"/>
  <c r="D111" i="7"/>
  <c r="B111" i="7"/>
  <c r="D110" i="7"/>
  <c r="B110" i="7"/>
  <c r="CD109" i="7"/>
  <c r="D109" i="7"/>
  <c r="B109" i="7"/>
  <c r="D108" i="7"/>
  <c r="B108" i="7"/>
  <c r="CD107" i="7"/>
  <c r="D107" i="7"/>
  <c r="B107" i="7"/>
  <c r="CD106" i="7"/>
  <c r="D106" i="7"/>
  <c r="B106" i="7"/>
  <c r="CD105" i="7"/>
  <c r="D105" i="7"/>
  <c r="B105" i="7"/>
  <c r="CD104" i="7"/>
  <c r="D104" i="7"/>
  <c r="B104" i="7"/>
  <c r="CD103" i="7"/>
  <c r="D103" i="7"/>
  <c r="B103" i="7"/>
  <c r="CD102" i="7"/>
  <c r="D102" i="7"/>
  <c r="B102" i="7"/>
  <c r="D101" i="7"/>
  <c r="B101" i="7"/>
  <c r="D100" i="7"/>
  <c r="B100" i="7"/>
  <c r="D99" i="7"/>
  <c r="B99" i="7"/>
  <c r="D98" i="7"/>
  <c r="B98" i="7"/>
  <c r="D97" i="7"/>
  <c r="B97" i="7"/>
  <c r="CD96" i="7"/>
  <c r="D96" i="7"/>
  <c r="B96" i="7"/>
  <c r="D95" i="7"/>
  <c r="B95" i="7"/>
  <c r="D94" i="7"/>
  <c r="B94" i="7"/>
  <c r="D93" i="7"/>
  <c r="B93" i="7"/>
  <c r="D92" i="7"/>
  <c r="B92" i="7"/>
  <c r="CD91" i="7"/>
  <c r="D91" i="7"/>
  <c r="B91" i="7"/>
  <c r="D90" i="7"/>
  <c r="B90" i="7"/>
  <c r="D89" i="7"/>
  <c r="B89" i="7"/>
  <c r="D88" i="7"/>
  <c r="B88" i="7"/>
  <c r="CD87" i="7"/>
  <c r="D87" i="7"/>
  <c r="B87" i="7"/>
  <c r="CD86" i="7"/>
  <c r="D86" i="7"/>
  <c r="B86" i="7"/>
  <c r="CD85" i="7"/>
  <c r="D85" i="7"/>
  <c r="B85" i="7"/>
  <c r="CD84" i="7"/>
  <c r="D84" i="7"/>
  <c r="B84" i="7"/>
  <c r="D83" i="7"/>
  <c r="B83" i="7"/>
  <c r="CD82" i="7"/>
  <c r="D82" i="7"/>
  <c r="B82" i="7"/>
  <c r="D81" i="7"/>
  <c r="B81" i="7"/>
  <c r="CD80" i="7"/>
  <c r="D80" i="7"/>
  <c r="B80" i="7"/>
  <c r="CD79" i="7"/>
  <c r="D79" i="7"/>
  <c r="B79" i="7"/>
  <c r="D78" i="7"/>
  <c r="B78" i="7"/>
  <c r="D77" i="7"/>
  <c r="B77" i="7"/>
  <c r="D76" i="7"/>
  <c r="B76" i="7"/>
  <c r="CD75" i="7"/>
  <c r="D75" i="7"/>
  <c r="B75" i="7"/>
  <c r="CD74" i="7"/>
  <c r="D74" i="7"/>
  <c r="B74" i="7"/>
  <c r="CD73" i="7"/>
  <c r="D73" i="7"/>
  <c r="B73" i="7"/>
  <c r="D72" i="7"/>
  <c r="B72" i="7"/>
  <c r="D71" i="7"/>
  <c r="B71" i="7"/>
  <c r="D70" i="7"/>
  <c r="B70" i="7"/>
  <c r="D69" i="7"/>
  <c r="B69" i="7"/>
  <c r="CD68" i="7"/>
  <c r="D68" i="7"/>
  <c r="B68" i="7"/>
  <c r="CD67" i="7"/>
  <c r="D67" i="7"/>
  <c r="B67" i="7"/>
  <c r="D66" i="7"/>
  <c r="B66" i="7"/>
  <c r="CD65" i="7"/>
  <c r="D65" i="7"/>
  <c r="B65" i="7"/>
  <c r="CD64" i="7"/>
  <c r="D64" i="7"/>
  <c r="B64" i="7"/>
  <c r="D63" i="7"/>
  <c r="B63" i="7"/>
  <c r="CD62" i="7"/>
  <c r="D62" i="7"/>
  <c r="B62" i="7"/>
  <c r="D61" i="7"/>
  <c r="B61" i="7"/>
  <c r="CD60" i="7"/>
  <c r="D60" i="7"/>
  <c r="B60" i="7"/>
  <c r="CD59" i="7"/>
  <c r="D59" i="7"/>
  <c r="B59" i="7"/>
  <c r="D58" i="7"/>
  <c r="B58" i="7"/>
  <c r="CD57" i="7"/>
  <c r="D57" i="7"/>
  <c r="B57" i="7"/>
  <c r="D56" i="7"/>
  <c r="B56" i="7"/>
  <c r="D55" i="7"/>
  <c r="B55" i="7"/>
  <c r="CD54" i="7"/>
  <c r="D54" i="7"/>
  <c r="B54" i="7"/>
  <c r="CD53" i="7"/>
  <c r="D53" i="7"/>
  <c r="B53" i="7"/>
  <c r="D52" i="7"/>
  <c r="B52" i="7"/>
  <c r="D51" i="7"/>
  <c r="B51" i="7"/>
  <c r="D50" i="7"/>
  <c r="B50" i="7"/>
  <c r="CD49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624" i="7"/>
  <c r="D41" i="7"/>
  <c r="B41" i="7"/>
  <c r="D40" i="7"/>
  <c r="B40" i="7"/>
  <c r="D39" i="7"/>
  <c r="B39" i="7"/>
  <c r="D38" i="7"/>
  <c r="B38" i="7"/>
  <c r="D37" i="7"/>
  <c r="B37" i="7"/>
  <c r="D623" i="7"/>
  <c r="D622" i="7"/>
  <c r="D36" i="7"/>
  <c r="B36" i="7"/>
  <c r="AT35" i="7"/>
  <c r="D35" i="7"/>
  <c r="B35" i="7"/>
  <c r="CD34" i="7"/>
  <c r="D34" i="7"/>
  <c r="B34" i="7"/>
  <c r="CD33" i="7"/>
  <c r="D33" i="7"/>
  <c r="B33" i="7"/>
  <c r="D621" i="7"/>
  <c r="D32" i="7"/>
  <c r="B32" i="7"/>
  <c r="CD31" i="7"/>
  <c r="D31" i="7"/>
  <c r="B31" i="7"/>
  <c r="D30" i="7"/>
  <c r="B30" i="7"/>
  <c r="D29" i="7"/>
  <c r="B29" i="7"/>
  <c r="D28" i="7"/>
  <c r="B28" i="7"/>
  <c r="CD27" i="7"/>
  <c r="D27" i="7"/>
  <c r="B27" i="7"/>
  <c r="D26" i="7"/>
  <c r="B26" i="7"/>
  <c r="D25" i="7"/>
  <c r="B25" i="7"/>
  <c r="D620" i="7"/>
  <c r="D24" i="7"/>
  <c r="B24" i="7"/>
  <c r="D23" i="7"/>
  <c r="B23" i="7"/>
  <c r="D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H558" i="7" l="1"/>
  <c r="L558" i="7"/>
  <c r="P558" i="7"/>
  <c r="T558" i="7"/>
  <c r="X558" i="7"/>
  <c r="AB558" i="7"/>
  <c r="AD558" i="7"/>
  <c r="I558" i="7"/>
  <c r="M558" i="7"/>
  <c r="AE558" i="7"/>
  <c r="E558" i="7"/>
  <c r="F558" i="7"/>
  <c r="J558" i="7"/>
  <c r="V558" i="7"/>
  <c r="Z558" i="7"/>
  <c r="G558" i="7"/>
  <c r="K558" i="7"/>
  <c r="Q558" i="7"/>
  <c r="U558" i="7"/>
  <c r="Y558" i="7"/>
  <c r="O558" i="7"/>
  <c r="S558" i="7"/>
  <c r="W558" i="7"/>
  <c r="AA558" i="7"/>
  <c r="AC926" i="7"/>
  <c r="D926" i="7" s="1"/>
  <c r="N924" i="7"/>
  <c r="D925" i="7"/>
  <c r="I10" i="9"/>
  <c r="P10" i="9" s="1"/>
  <c r="J10" i="9"/>
  <c r="L10" i="9"/>
  <c r="D946" i="7"/>
  <c r="AC945" i="7"/>
  <c r="D559" i="7"/>
  <c r="AC982" i="7"/>
  <c r="AC427" i="7"/>
  <c r="D428" i="7"/>
  <c r="D427" i="7" s="1"/>
  <c r="AC355" i="7"/>
  <c r="D356" i="7"/>
  <c r="AC866" i="7"/>
  <c r="D865" i="7"/>
  <c r="R850" i="7"/>
  <c r="R558" i="7" s="1"/>
  <c r="D913" i="7"/>
  <c r="AC912" i="7"/>
  <c r="D922" i="7"/>
  <c r="AC921" i="7"/>
  <c r="H11" i="8"/>
  <c r="L11" i="8"/>
  <c r="G11" i="8"/>
  <c r="K11" i="8"/>
  <c r="O11" i="8"/>
  <c r="T20" i="7"/>
  <c r="X20" i="7"/>
  <c r="AC975" i="7"/>
  <c r="D975" i="7" s="1"/>
  <c r="N973" i="7"/>
  <c r="D974" i="7"/>
  <c r="W11" i="8"/>
  <c r="AF11" i="8"/>
  <c r="T11" i="8"/>
  <c r="X11" i="8"/>
  <c r="AB11" i="8"/>
  <c r="AG11" i="8"/>
  <c r="I11" i="8"/>
  <c r="M11" i="8"/>
  <c r="Q11" i="8"/>
  <c r="U11" i="8"/>
  <c r="Y11" i="8"/>
  <c r="AC11" i="8"/>
  <c r="S11" i="8"/>
  <c r="AA11" i="8"/>
  <c r="J11" i="8"/>
  <c r="N11" i="8"/>
  <c r="R11" i="8"/>
  <c r="V11" i="8"/>
  <c r="Z11" i="8"/>
  <c r="AD11" i="8"/>
  <c r="F33" i="8"/>
  <c r="D530" i="7"/>
  <c r="D416" i="7"/>
  <c r="D514" i="7"/>
  <c r="D846" i="7"/>
  <c r="D848" i="7"/>
  <c r="D871" i="7"/>
  <c r="D875" i="7"/>
  <c r="D877" i="7"/>
  <c r="D937" i="7"/>
  <c r="D967" i="7"/>
  <c r="D969" i="7"/>
  <c r="D368" i="7"/>
  <c r="D462" i="7"/>
  <c r="D897" i="7"/>
  <c r="D899" i="7"/>
  <c r="D953" i="7"/>
  <c r="D957" i="7"/>
  <c r="D990" i="7"/>
  <c r="D1156" i="7"/>
  <c r="D1168" i="7"/>
  <c r="D1193" i="7"/>
  <c r="D1199" i="7"/>
  <c r="D1201" i="7"/>
  <c r="D1209" i="7"/>
  <c r="D1211" i="7"/>
  <c r="D1219" i="7"/>
  <c r="D1221" i="7"/>
  <c r="D1223" i="7"/>
  <c r="D468" i="7"/>
  <c r="D949" i="7"/>
  <c r="D458" i="7"/>
  <c r="D401" i="7"/>
  <c r="D910" i="7"/>
  <c r="D915" i="7"/>
  <c r="D917" i="7"/>
  <c r="D919" i="7"/>
  <c r="D978" i="7"/>
  <c r="D1244" i="7"/>
  <c r="D1257" i="7"/>
  <c r="D1263" i="7"/>
  <c r="C10" i="5"/>
  <c r="D1160" i="7"/>
  <c r="AC1158" i="7"/>
  <c r="D10" i="5"/>
  <c r="F14" i="8"/>
  <c r="C14" i="4"/>
  <c r="C16" i="4" s="1"/>
  <c r="AC933" i="7"/>
  <c r="D964" i="7"/>
  <c r="AC963" i="7"/>
  <c r="F30" i="8"/>
  <c r="F36" i="8"/>
  <c r="F46" i="8"/>
  <c r="P56" i="8"/>
  <c r="P11" i="8" s="1"/>
  <c r="F58" i="8"/>
  <c r="F56" i="8" s="1"/>
  <c r="D960" i="7"/>
  <c r="AC959" i="7"/>
  <c r="D807" i="7"/>
  <c r="AC819" i="7"/>
  <c r="D819" i="7" s="1"/>
  <c r="N806" i="7"/>
  <c r="G370" i="7"/>
  <c r="N778" i="7"/>
  <c r="P552" i="7"/>
  <c r="R284" i="7"/>
  <c r="R331" i="7"/>
  <c r="N365" i="7"/>
  <c r="K29" i="9"/>
  <c r="G243" i="7"/>
  <c r="N243" i="7"/>
  <c r="N535" i="7"/>
  <c r="AC295" i="7"/>
  <c r="D295" i="7" s="1"/>
  <c r="D424" i="7"/>
  <c r="D473" i="7"/>
  <c r="N476" i="7"/>
  <c r="N523" i="7"/>
  <c r="G537" i="7"/>
  <c r="U1170" i="7"/>
  <c r="U992" i="7" s="1"/>
  <c r="AC1254" i="7"/>
  <c r="D1254" i="7" s="1"/>
  <c r="N391" i="7"/>
  <c r="N460" i="7"/>
  <c r="N506" i="7"/>
  <c r="R203" i="7"/>
  <c r="AC290" i="7"/>
  <c r="D290" i="7" s="1"/>
  <c r="AC698" i="7"/>
  <c r="D698" i="7" s="1"/>
  <c r="K13" i="9"/>
  <c r="G488" i="7"/>
  <c r="AE50" i="8"/>
  <c r="N203" i="7"/>
  <c r="N277" i="7"/>
  <c r="D489" i="7"/>
  <c r="N714" i="7"/>
  <c r="N1257" i="7"/>
  <c r="AC857" i="7"/>
  <c r="D857" i="7" s="1"/>
  <c r="AC366" i="7"/>
  <c r="D366" i="7" s="1"/>
  <c r="N420" i="7"/>
  <c r="G431" i="7"/>
  <c r="N448" i="7"/>
  <c r="R470" i="7"/>
  <c r="AC498" i="7"/>
  <c r="D498" i="7" s="1"/>
  <c r="G521" i="7"/>
  <c r="N1097" i="7"/>
  <c r="D160" i="7"/>
  <c r="AE52" i="8"/>
  <c r="AE54" i="8"/>
  <c r="AE64" i="8"/>
  <c r="AE62" i="8"/>
  <c r="AE56" i="8"/>
  <c r="AE60" i="8"/>
  <c r="C8" i="4"/>
  <c r="G203" i="7"/>
  <c r="D314" i="7"/>
  <c r="D394" i="7"/>
  <c r="AC395" i="7"/>
  <c r="D395" i="7" s="1"/>
  <c r="AC465" i="7"/>
  <c r="D465" i="7" s="1"/>
  <c r="N470" i="7"/>
  <c r="AC478" i="7"/>
  <c r="D478" i="7" s="1"/>
  <c r="AC494" i="7"/>
  <c r="D494" i="7" s="1"/>
  <c r="AC520" i="7"/>
  <c r="AC519" i="7" s="1"/>
  <c r="AC952" i="7"/>
  <c r="D952" i="7" s="1"/>
  <c r="N1170" i="7"/>
  <c r="L243" i="7"/>
  <c r="N250" i="7"/>
  <c r="G291" i="7"/>
  <c r="AC297" i="7"/>
  <c r="D297" i="7" s="1"/>
  <c r="AC309" i="7"/>
  <c r="D309" i="7" s="1"/>
  <c r="AC322" i="7"/>
  <c r="D322" i="7" s="1"/>
  <c r="D421" i="7"/>
  <c r="AC426" i="7"/>
  <c r="D426" i="7" s="1"/>
  <c r="D467" i="7"/>
  <c r="AC500" i="7"/>
  <c r="D500" i="7" s="1"/>
  <c r="D533" i="7"/>
  <c r="AC534" i="7"/>
  <c r="D534" i="7" s="1"/>
  <c r="D880" i="7"/>
  <c r="N1055" i="7"/>
  <c r="AC1075" i="7"/>
  <c r="D1075" i="7" s="1"/>
  <c r="AC1263" i="7"/>
  <c r="C7" i="4"/>
  <c r="C21" i="4"/>
  <c r="C22" i="4"/>
  <c r="AC915" i="7"/>
  <c r="AC1168" i="7"/>
  <c r="AC967" i="7"/>
  <c r="AC468" i="7"/>
  <c r="AC1211" i="7"/>
  <c r="D842" i="7"/>
  <c r="AC1223" i="7"/>
  <c r="AC848" i="7"/>
  <c r="AC899" i="7"/>
  <c r="AC1156" i="7"/>
  <c r="AC386" i="7"/>
  <c r="AC949" i="7"/>
  <c r="AC1201" i="7"/>
  <c r="AC358" i="7"/>
  <c r="AC1177" i="7"/>
  <c r="K35" i="9"/>
  <c r="K45" i="9"/>
  <c r="AE12" i="8"/>
  <c r="AE36" i="8"/>
  <c r="AE28" i="8"/>
  <c r="AE42" i="8"/>
  <c r="AE14" i="8"/>
  <c r="AE26" i="8"/>
  <c r="AE40" i="8"/>
  <c r="AE30" i="8"/>
  <c r="AE46" i="8"/>
  <c r="AE33" i="8"/>
  <c r="AC466" i="7"/>
  <c r="AC523" i="7"/>
  <c r="AC875" i="7"/>
  <c r="AC969" i="7"/>
  <c r="AC1199" i="7"/>
  <c r="AC1209" i="7"/>
  <c r="AC1219" i="7"/>
  <c r="D1235" i="7"/>
  <c r="AC552" i="7"/>
  <c r="AC1149" i="7"/>
  <c r="D894" i="7"/>
  <c r="X992" i="7"/>
  <c r="D1170" i="7"/>
  <c r="D525" i="7"/>
  <c r="AC877" i="7"/>
  <c r="AC957" i="7"/>
  <c r="AC1221" i="7"/>
  <c r="AC1244" i="7"/>
  <c r="AC953" i="7"/>
  <c r="D21" i="7"/>
  <c r="AC530" i="7"/>
  <c r="AC937" i="7"/>
  <c r="AD992" i="7"/>
  <c r="P11" i="9"/>
  <c r="AE24" i="8"/>
  <c r="D552" i="7"/>
  <c r="D1149" i="7"/>
  <c r="AC537" i="7"/>
  <c r="AC1255" i="7"/>
  <c r="AC1193" i="7"/>
  <c r="AC361" i="7"/>
  <c r="AC506" i="7"/>
  <c r="AC832" i="7"/>
  <c r="AC871" i="7"/>
  <c r="H992" i="7"/>
  <c r="AC1112" i="7"/>
  <c r="AC1121" i="7"/>
  <c r="D1121" i="7"/>
  <c r="D537" i="7"/>
  <c r="AC1134" i="7"/>
  <c r="AC298" i="7"/>
  <c r="AC514" i="7"/>
  <c r="D907" i="7"/>
  <c r="D446" i="7"/>
  <c r="AC917" i="7"/>
  <c r="AC978" i="7"/>
  <c r="AC990" i="7"/>
  <c r="AC1189" i="7"/>
  <c r="D390" i="7"/>
  <c r="AC389" i="7"/>
  <c r="D461" i="7"/>
  <c r="AC460" i="7"/>
  <c r="D557" i="7"/>
  <c r="AC556" i="7"/>
  <c r="D522" i="7"/>
  <c r="AC521" i="7"/>
  <c r="D800" i="7"/>
  <c r="D893" i="7"/>
  <c r="AC892" i="7"/>
  <c r="L992" i="7"/>
  <c r="T992" i="7"/>
  <c r="D358" i="7"/>
  <c r="D392" i="7"/>
  <c r="AC391" i="7"/>
  <c r="D513" i="7"/>
  <c r="AC512" i="7"/>
  <c r="AC714" i="7"/>
  <c r="AC800" i="7"/>
  <c r="D826" i="7"/>
  <c r="AC826" i="7"/>
  <c r="AC901" i="7"/>
  <c r="F992" i="7"/>
  <c r="V992" i="7"/>
  <c r="D450" i="7"/>
  <c r="AC448" i="7"/>
  <c r="D956" i="7"/>
  <c r="AC955" i="7"/>
  <c r="D1126" i="7"/>
  <c r="AC1124" i="7"/>
  <c r="D1181" i="7"/>
  <c r="AC1180" i="7"/>
  <c r="AC1242" i="7"/>
  <c r="D1243" i="7"/>
  <c r="D1248" i="7"/>
  <c r="AC1246" i="7"/>
  <c r="D410" i="7"/>
  <c r="P992" i="7"/>
  <c r="AB992" i="7"/>
  <c r="D1109" i="7"/>
  <c r="AC1259" i="7"/>
  <c r="D1259" i="7"/>
  <c r="AC546" i="7"/>
  <c r="D547" i="7"/>
  <c r="D779" i="7"/>
  <c r="AC778" i="7"/>
  <c r="D832" i="7"/>
  <c r="D837" i="7"/>
  <c r="D1144" i="7"/>
  <c r="AC1141" i="7"/>
  <c r="D386" i="7"/>
  <c r="AC462" i="7"/>
  <c r="AC837" i="7"/>
  <c r="D843" i="7"/>
  <c r="D851" i="7"/>
  <c r="D874" i="7"/>
  <c r="AC873" i="7"/>
  <c r="E992" i="7"/>
  <c r="I992" i="7"/>
  <c r="M992" i="7"/>
  <c r="Q992" i="7"/>
  <c r="Y992" i="7"/>
  <c r="J992" i="7"/>
  <c r="R992" i="7"/>
  <c r="Z992" i="7"/>
  <c r="AC1109" i="7"/>
  <c r="AC1139" i="7"/>
  <c r="D1140" i="7"/>
  <c r="D1167" i="7"/>
  <c r="AC1166" i="7"/>
  <c r="D1232" i="7"/>
  <c r="AC1231" i="7"/>
  <c r="D331" i="7"/>
  <c r="D883" i="7"/>
  <c r="AC882" i="7"/>
  <c r="AC971" i="7"/>
  <c r="D972" i="7"/>
  <c r="D1133" i="7"/>
  <c r="AC1132" i="7"/>
  <c r="AC1235" i="7"/>
  <c r="D939" i="7"/>
  <c r="D1177" i="7"/>
  <c r="AC860" i="7"/>
  <c r="D901" i="7"/>
  <c r="G992" i="7"/>
  <c r="K992" i="7"/>
  <c r="O992" i="7"/>
  <c r="S992" i="7"/>
  <c r="W992" i="7"/>
  <c r="AA992" i="7"/>
  <c r="AE992" i="7"/>
  <c r="D1134" i="7"/>
  <c r="AC1170" i="7"/>
  <c r="D279" i="7"/>
  <c r="AC277" i="7"/>
  <c r="AC348" i="7"/>
  <c r="D351" i="7"/>
  <c r="D253" i="7"/>
  <c r="AC250" i="7"/>
  <c r="D285" i="7"/>
  <c r="D404" i="7"/>
  <c r="AC403" i="7"/>
  <c r="D244" i="7"/>
  <c r="AC243" i="7"/>
  <c r="AC301" i="7"/>
  <c r="D302" i="7"/>
  <c r="D361" i="7"/>
  <c r="AC370" i="7"/>
  <c r="D372" i="7"/>
  <c r="AC398" i="7"/>
  <c r="D399" i="7"/>
  <c r="D422" i="7"/>
  <c r="D205" i="7"/>
  <c r="AC203" i="7"/>
  <c r="D298" i="7"/>
  <c r="AC331" i="7"/>
  <c r="D409" i="7"/>
  <c r="AC408" i="7"/>
  <c r="AC368" i="7"/>
  <c r="AC401" i="7"/>
  <c r="AC439" i="7"/>
  <c r="D516" i="7"/>
  <c r="D714" i="7"/>
  <c r="AC129" i="7"/>
  <c r="D419" i="7"/>
  <c r="AC418" i="7"/>
  <c r="D434" i="7"/>
  <c r="AC431" i="7"/>
  <c r="D439" i="7"/>
  <c r="D506" i="7"/>
  <c r="AC410" i="7"/>
  <c r="AC416" i="7"/>
  <c r="D536" i="7"/>
  <c r="AC470" i="7"/>
  <c r="AC516" i="7"/>
  <c r="AC843" i="7"/>
  <c r="AC846" i="7"/>
  <c r="D867" i="7"/>
  <c r="D870" i="7"/>
  <c r="AC869" i="7"/>
  <c r="D983" i="7"/>
  <c r="D993" i="7"/>
  <c r="D1098" i="7"/>
  <c r="AC1097" i="7"/>
  <c r="AC1215" i="7"/>
  <c r="D1216" i="7"/>
  <c r="AC894" i="7"/>
  <c r="AC897" i="7"/>
  <c r="AC907" i="7"/>
  <c r="AC910" i="7"/>
  <c r="AC919" i="7"/>
  <c r="AC939" i="7"/>
  <c r="D1112" i="7"/>
  <c r="D1196" i="7"/>
  <c r="AC1195" i="7"/>
  <c r="AC1205" i="7"/>
  <c r="D1206" i="7"/>
  <c r="D1228" i="7"/>
  <c r="AC988" i="7"/>
  <c r="D989" i="7"/>
  <c r="AC1055" i="7"/>
  <c r="D1056" i="7"/>
  <c r="AC1130" i="7"/>
  <c r="D1131" i="7"/>
  <c r="AC1164" i="7"/>
  <c r="D1165" i="7"/>
  <c r="D1226" i="7"/>
  <c r="AC1225" i="7"/>
  <c r="D1153" i="7"/>
  <c r="AC1152" i="7"/>
  <c r="D1185" i="7"/>
  <c r="AC1184" i="7"/>
  <c r="D1188" i="7"/>
  <c r="D1198" i="7"/>
  <c r="AC1228" i="7"/>
  <c r="D1155" i="7"/>
  <c r="D1204" i="7"/>
  <c r="AC1203" i="7"/>
  <c r="D1214" i="7"/>
  <c r="AC1213" i="7"/>
  <c r="D1128" i="7"/>
  <c r="AC1127" i="7"/>
  <c r="D1138" i="7"/>
  <c r="AC1137" i="7"/>
  <c r="D1162" i="7"/>
  <c r="AC1161" i="7"/>
  <c r="D1189" i="7"/>
  <c r="D1240" i="7"/>
  <c r="AC1239" i="7"/>
  <c r="D1250" i="7"/>
  <c r="AC1249" i="7"/>
  <c r="AC1257" i="7"/>
  <c r="N558" i="7" l="1"/>
  <c r="D924" i="7"/>
  <c r="AC924" i="7"/>
  <c r="K10" i="9"/>
  <c r="D945" i="7"/>
  <c r="D982" i="7"/>
  <c r="AC850" i="7"/>
  <c r="D355" i="7"/>
  <c r="L20" i="7"/>
  <c r="L19" i="7" s="1"/>
  <c r="AD20" i="7"/>
  <c r="AD19" i="7" s="1"/>
  <c r="Y20" i="7"/>
  <c r="Y19" i="7" s="1"/>
  <c r="I20" i="7"/>
  <c r="I19" i="7" s="1"/>
  <c r="AE20" i="7"/>
  <c r="AE19" i="7" s="1"/>
  <c r="W20" i="7"/>
  <c r="W19" i="7" s="1"/>
  <c r="AB20" i="7"/>
  <c r="AB19" i="7" s="1"/>
  <c r="U20" i="7"/>
  <c r="U19" i="7" s="1"/>
  <c r="E20" i="7"/>
  <c r="E19" i="7" s="1"/>
  <c r="O20" i="7"/>
  <c r="O19" i="7" s="1"/>
  <c r="Z20" i="7"/>
  <c r="Z19" i="7" s="1"/>
  <c r="J20" i="7"/>
  <c r="J19" i="7" s="1"/>
  <c r="S20" i="7"/>
  <c r="S19" i="7" s="1"/>
  <c r="H20" i="7"/>
  <c r="H19" i="7" s="1"/>
  <c r="M20" i="7"/>
  <c r="M19" i="7" s="1"/>
  <c r="Q20" i="7"/>
  <c r="Q19" i="7" s="1"/>
  <c r="AA20" i="7"/>
  <c r="AA19" i="7" s="1"/>
  <c r="K20" i="7"/>
  <c r="K19" i="7" s="1"/>
  <c r="V20" i="7"/>
  <c r="V19" i="7" s="1"/>
  <c r="F20" i="7"/>
  <c r="F19" i="7" s="1"/>
  <c r="D860" i="7"/>
  <c r="D866" i="7"/>
  <c r="P20" i="7"/>
  <c r="P19" i="7" s="1"/>
  <c r="G20" i="7"/>
  <c r="G19" i="7" s="1"/>
  <c r="D912" i="7"/>
  <c r="D921" i="7"/>
  <c r="R20" i="7"/>
  <c r="R19" i="7" s="1"/>
  <c r="AC973" i="7"/>
  <c r="D973" i="7"/>
  <c r="D879" i="7"/>
  <c r="AE11" i="8"/>
  <c r="CB877" i="7"/>
  <c r="F11" i="8"/>
  <c r="CB514" i="7"/>
  <c r="D1127" i="7"/>
  <c r="D301" i="7"/>
  <c r="D277" i="7"/>
  <c r="D1132" i="7"/>
  <c r="D1242" i="7"/>
  <c r="D841" i="7"/>
  <c r="D499" i="7"/>
  <c r="D1137" i="7"/>
  <c r="D1213" i="7"/>
  <c r="D1184" i="7"/>
  <c r="D1225" i="7"/>
  <c r="D1097" i="7"/>
  <c r="D431" i="7"/>
  <c r="D850" i="7"/>
  <c r="D1141" i="7"/>
  <c r="D778" i="7"/>
  <c r="D512" i="7"/>
  <c r="D892" i="7"/>
  <c r="D523" i="7"/>
  <c r="D425" i="7"/>
  <c r="D296" i="7"/>
  <c r="D161" i="7"/>
  <c r="D464" i="7"/>
  <c r="D129" i="7"/>
  <c r="D365" i="7"/>
  <c r="D470" i="7"/>
  <c r="CB957" i="7"/>
  <c r="D1161" i="7"/>
  <c r="D1152" i="7"/>
  <c r="D418" i="7"/>
  <c r="D1139" i="7"/>
  <c r="D1249" i="7"/>
  <c r="D1197" i="7"/>
  <c r="D1164" i="7"/>
  <c r="D1055" i="7"/>
  <c r="D1195" i="7"/>
  <c r="D1215" i="7"/>
  <c r="D869" i="7"/>
  <c r="D535" i="7"/>
  <c r="D398" i="7"/>
  <c r="D243" i="7"/>
  <c r="D1166" i="7"/>
  <c r="D546" i="7"/>
  <c r="D1246" i="7"/>
  <c r="D1180" i="7"/>
  <c r="D955" i="7"/>
  <c r="D556" i="7"/>
  <c r="D389" i="7"/>
  <c r="D1070" i="7"/>
  <c r="D933" i="7"/>
  <c r="CB875" i="7"/>
  <c r="CB530" i="7"/>
  <c r="D1203" i="7"/>
  <c r="D408" i="7"/>
  <c r="D250" i="7"/>
  <c r="D1187" i="7"/>
  <c r="D1205" i="7"/>
  <c r="D882" i="7"/>
  <c r="D873" i="7"/>
  <c r="D391" i="7"/>
  <c r="D951" i="7"/>
  <c r="D476" i="7"/>
  <c r="D291" i="7"/>
  <c r="D1239" i="7"/>
  <c r="D1154" i="7"/>
  <c r="D1130" i="7"/>
  <c r="D988" i="7"/>
  <c r="D203" i="7"/>
  <c r="D370" i="7"/>
  <c r="D403" i="7"/>
  <c r="D348" i="7"/>
  <c r="D971" i="7"/>
  <c r="D1231" i="7"/>
  <c r="D1124" i="7"/>
  <c r="D448" i="7"/>
  <c r="D521" i="7"/>
  <c r="D460" i="7"/>
  <c r="D445" i="7"/>
  <c r="D466" i="7"/>
  <c r="D307" i="7"/>
  <c r="D929" i="7"/>
  <c r="D313" i="7"/>
  <c r="D497" i="7"/>
  <c r="D1253" i="7"/>
  <c r="D959" i="7"/>
  <c r="D963" i="7"/>
  <c r="D1158" i="7"/>
  <c r="CB386" i="7"/>
  <c r="CB1170" i="7"/>
  <c r="CB516" i="7"/>
  <c r="CB298" i="7"/>
  <c r="CB361" i="7"/>
  <c r="CB800" i="7"/>
  <c r="CB537" i="7"/>
  <c r="CB552" i="7"/>
  <c r="CB358" i="7"/>
  <c r="CB714" i="7"/>
  <c r="CB331" i="7"/>
  <c r="CB439" i="7"/>
  <c r="C23" i="4"/>
  <c r="AC806" i="7"/>
  <c r="D806" i="7"/>
  <c r="D284" i="7"/>
  <c r="AC284" i="7"/>
  <c r="D690" i="7"/>
  <c r="AC690" i="7"/>
  <c r="AC1253" i="7"/>
  <c r="AC1070" i="7"/>
  <c r="AC291" i="7"/>
  <c r="AC365" i="7"/>
  <c r="D488" i="7"/>
  <c r="AC497" i="7"/>
  <c r="D315" i="7"/>
  <c r="AC161" i="7"/>
  <c r="N992" i="7"/>
  <c r="D420" i="7"/>
  <c r="AC313" i="7"/>
  <c r="AC929" i="7"/>
  <c r="AC307" i="7"/>
  <c r="AC499" i="7"/>
  <c r="AC951" i="7"/>
  <c r="AC315" i="7"/>
  <c r="AC476" i="7"/>
  <c r="D393" i="7"/>
  <c r="D520" i="7"/>
  <c r="D532" i="7"/>
  <c r="AC464" i="7"/>
  <c r="AC425" i="7"/>
  <c r="AC532" i="7"/>
  <c r="AC296" i="7"/>
  <c r="AC393" i="7"/>
  <c r="AC420" i="7"/>
  <c r="AC488" i="7"/>
  <c r="T19" i="7"/>
  <c r="X19" i="7"/>
  <c r="CB506" i="7"/>
  <c r="CE506" i="7"/>
  <c r="CD239" i="7" l="1"/>
  <c r="CD242" i="7"/>
  <c r="CD241" i="7"/>
  <c r="CD240" i="7"/>
  <c r="CD201" i="7"/>
  <c r="CD202" i="7"/>
  <c r="CD839" i="7"/>
  <c r="CD127" i="7"/>
  <c r="CD128" i="7"/>
  <c r="AC558" i="7"/>
  <c r="D558" i="7"/>
  <c r="CD788" i="7"/>
  <c r="CD947" i="7"/>
  <c r="CD981" i="7"/>
  <c r="CD980" i="7"/>
  <c r="CD1054" i="7"/>
  <c r="CD1053" i="7"/>
  <c r="CD1052" i="7"/>
  <c r="CD932" i="7"/>
  <c r="CD687" i="7"/>
  <c r="CB860" i="7"/>
  <c r="CD828" i="7"/>
  <c r="N20" i="7"/>
  <c r="N19" i="7" s="1"/>
  <c r="CD891" i="7"/>
  <c r="CD890" i="7"/>
  <c r="CD936" i="7"/>
  <c r="CD935" i="7"/>
  <c r="CD976" i="7"/>
  <c r="CD977" i="7"/>
  <c r="CD987" i="7"/>
  <c r="CD985" i="7"/>
  <c r="CD986" i="7"/>
  <c r="CD804" i="7"/>
  <c r="CD805" i="7"/>
  <c r="CD856" i="7"/>
  <c r="CD859" i="7"/>
  <c r="CD824" i="7"/>
  <c r="CD505" i="7"/>
  <c r="CD501" i="7"/>
  <c r="CD502" i="7"/>
  <c r="CD504" i="7"/>
  <c r="CD503" i="7"/>
  <c r="CD803" i="7"/>
  <c r="CD125" i="7"/>
  <c r="CD750" i="7"/>
  <c r="CD799" i="7"/>
  <c r="CD628" i="7"/>
  <c r="CD236" i="7"/>
  <c r="CB521" i="7"/>
  <c r="CB879" i="7"/>
  <c r="CD200" i="7"/>
  <c r="CD749" i="7"/>
  <c r="CD713" i="7"/>
  <c r="CD751" i="7"/>
  <c r="CD711" i="7"/>
  <c r="CD708" i="7"/>
  <c r="CD710" i="7"/>
  <c r="CD709" i="7"/>
  <c r="CD131" i="7"/>
  <c r="CB161" i="7"/>
  <c r="CD1051" i="7"/>
  <c r="CD1050" i="7"/>
  <c r="CD685" i="7"/>
  <c r="CD684" i="7"/>
  <c r="CD117" i="7"/>
  <c r="CD626" i="7"/>
  <c r="CD627" i="7"/>
  <c r="CD58" i="7"/>
  <c r="CD447" i="7"/>
  <c r="CD399" i="7"/>
  <c r="CD465" i="7"/>
  <c r="CD56" i="7"/>
  <c r="CD318" i="7"/>
  <c r="CB873" i="7"/>
  <c r="CB250" i="7"/>
  <c r="F11" i="5"/>
  <c r="CB1055" i="7"/>
  <c r="CB370" i="7"/>
  <c r="CB476" i="7"/>
  <c r="CB365" i="7"/>
  <c r="CB523" i="7"/>
  <c r="CB512" i="7"/>
  <c r="CB203" i="7"/>
  <c r="D992" i="7"/>
  <c r="CB348" i="7"/>
  <c r="CB129" i="7"/>
  <c r="CB243" i="7"/>
  <c r="CB535" i="7"/>
  <c r="AW370" i="7"/>
  <c r="D519" i="7"/>
  <c r="F138" i="5"/>
  <c r="CB556" i="7"/>
  <c r="CB470" i="7"/>
  <c r="CB806" i="7"/>
  <c r="CB532" i="7"/>
  <c r="CB315" i="7"/>
  <c r="CB690" i="7"/>
  <c r="F79" i="5"/>
  <c r="CD619" i="7"/>
  <c r="CD706" i="7"/>
  <c r="CD625" i="7"/>
  <c r="CD682" i="7"/>
  <c r="CD681" i="7"/>
  <c r="CD928" i="7"/>
  <c r="CD927" i="7"/>
  <c r="CD934" i="7"/>
  <c r="CD406" i="7"/>
  <c r="CD966" i="7"/>
  <c r="CD965" i="7"/>
  <c r="CD864" i="7"/>
  <c r="CD865" i="7"/>
  <c r="CD349" i="7"/>
  <c r="CD905" i="7"/>
  <c r="CD906" i="7"/>
  <c r="CD746" i="7"/>
  <c r="CD786" i="7"/>
  <c r="CD1237" i="7"/>
  <c r="CD747" i="7"/>
  <c r="AC992" i="7"/>
  <c r="CD235" i="7"/>
  <c r="CD785" i="7"/>
  <c r="CD991" i="7"/>
  <c r="CD988" i="7"/>
  <c r="CD982" i="7"/>
  <c r="CD974" i="7"/>
  <c r="CD971" i="7"/>
  <c r="CD984" i="7"/>
  <c r="CD979" i="7"/>
  <c r="CD975" i="7"/>
  <c r="CD969" i="7"/>
  <c r="CD968" i="7"/>
  <c r="CD967" i="7"/>
  <c r="CD961" i="7"/>
  <c r="CD958" i="7"/>
  <c r="CD956" i="7"/>
  <c r="CD953" i="7"/>
  <c r="CD951" i="7"/>
  <c r="CD941" i="7"/>
  <c r="CD938" i="7"/>
  <c r="CD933" i="7"/>
  <c r="CD930" i="7"/>
  <c r="CD924" i="7"/>
  <c r="CD918" i="7"/>
  <c r="CD915" i="7"/>
  <c r="CD909" i="7"/>
  <c r="CD901" i="7"/>
  <c r="CD896" i="7"/>
  <c r="CD893" i="7"/>
  <c r="CD889" i="7"/>
  <c r="CD885" i="7"/>
  <c r="CD867" i="7"/>
  <c r="CD866" i="7"/>
  <c r="CD860" i="7"/>
  <c r="CD978" i="7"/>
  <c r="CD973" i="7"/>
  <c r="CD960" i="7"/>
  <c r="CD957" i="7"/>
  <c r="CD955" i="7"/>
  <c r="CD948" i="7"/>
  <c r="CD944" i="7"/>
  <c r="CD940" i="7"/>
  <c r="CD937" i="7"/>
  <c r="CD929" i="7"/>
  <c r="CD920" i="7"/>
  <c r="CD917" i="7"/>
  <c r="CD911" i="7"/>
  <c r="CD908" i="7"/>
  <c r="CD904" i="7"/>
  <c r="CD898" i="7"/>
  <c r="CD895" i="7"/>
  <c r="CD892" i="7"/>
  <c r="CD888" i="7"/>
  <c r="CD884" i="7"/>
  <c r="CD880" i="7"/>
  <c r="CD870" i="7"/>
  <c r="CD983" i="7"/>
  <c r="CD964" i="7"/>
  <c r="CD963" i="7"/>
  <c r="CD959" i="7"/>
  <c r="CD952" i="7"/>
  <c r="CD950" i="7"/>
  <c r="CD946" i="7"/>
  <c r="CD943" i="7"/>
  <c r="CD939" i="7"/>
  <c r="CD922" i="7"/>
  <c r="CD919" i="7"/>
  <c r="CD913" i="7"/>
  <c r="CD910" i="7"/>
  <c r="CD907" i="7"/>
  <c r="CD903" i="7"/>
  <c r="CD900" i="7"/>
  <c r="CD897" i="7"/>
  <c r="CD894" i="7"/>
  <c r="CD887" i="7"/>
  <c r="CD883" i="7"/>
  <c r="CD878" i="7"/>
  <c r="CD876" i="7"/>
  <c r="CD874" i="7"/>
  <c r="CD872" i="7"/>
  <c r="CD869" i="7"/>
  <c r="CD863" i="7"/>
  <c r="CD990" i="7"/>
  <c r="CD989" i="7"/>
  <c r="CD972" i="7"/>
  <c r="CD970" i="7"/>
  <c r="CD954" i="7"/>
  <c r="CD949" i="7"/>
  <c r="CD945" i="7"/>
  <c r="CD942" i="7"/>
  <c r="CD931" i="7"/>
  <c r="CD925" i="7"/>
  <c r="CD921" i="7"/>
  <c r="CD916" i="7"/>
  <c r="CD912" i="7"/>
  <c r="CD902" i="7"/>
  <c r="CD899" i="7"/>
  <c r="CD886" i="7"/>
  <c r="CD882" i="7"/>
  <c r="CD879" i="7"/>
  <c r="CD877" i="7"/>
  <c r="CD875" i="7"/>
  <c r="CD873" i="7"/>
  <c r="CD871" i="7"/>
  <c r="CD862" i="7"/>
  <c r="CD855" i="7"/>
  <c r="CD851" i="7"/>
  <c r="CD848" i="7"/>
  <c r="CD840" i="7"/>
  <c r="CD836" i="7"/>
  <c r="CD832" i="7"/>
  <c r="CD826" i="7"/>
  <c r="CD817" i="7"/>
  <c r="CD812" i="7"/>
  <c r="CD808" i="7"/>
  <c r="CD797" i="7"/>
  <c r="CD793" i="7"/>
  <c r="CD789" i="7"/>
  <c r="CD738" i="7"/>
  <c r="CD735" i="7"/>
  <c r="CD731" i="7"/>
  <c r="CD727" i="7"/>
  <c r="CD723" i="7"/>
  <c r="CD861" i="7"/>
  <c r="CD854" i="7"/>
  <c r="CD850" i="7"/>
  <c r="CD845" i="7"/>
  <c r="CD842" i="7"/>
  <c r="CD838" i="7"/>
  <c r="CD835" i="7"/>
  <c r="CD816" i="7"/>
  <c r="CD815" i="7"/>
  <c r="CD811" i="7"/>
  <c r="CD807" i="7"/>
  <c r="CD798" i="7"/>
  <c r="CD794" i="7"/>
  <c r="CD790" i="7"/>
  <c r="CD238" i="7"/>
  <c r="CD781" i="7"/>
  <c r="CD777" i="7"/>
  <c r="CD776" i="7"/>
  <c r="CD775" i="7"/>
  <c r="CD774" i="7"/>
  <c r="CD745" i="7"/>
  <c r="CD773" i="7"/>
  <c r="CD772" i="7"/>
  <c r="CD771" i="7"/>
  <c r="CD770" i="7"/>
  <c r="CD853" i="7"/>
  <c r="CD847" i="7"/>
  <c r="CD844" i="7"/>
  <c r="CD841" i="7"/>
  <c r="CD837" i="7"/>
  <c r="CD834" i="7"/>
  <c r="CD823" i="7"/>
  <c r="CD822" i="7"/>
  <c r="CD821" i="7"/>
  <c r="CD820" i="7"/>
  <c r="CD819" i="7"/>
  <c r="CD814" i="7"/>
  <c r="CD810" i="7"/>
  <c r="CD806" i="7"/>
  <c r="CD802" i="7"/>
  <c r="CD795" i="7"/>
  <c r="CD791" i="7"/>
  <c r="CD780" i="7"/>
  <c r="CD237" i="7"/>
  <c r="CD779" i="7"/>
  <c r="CD740" i="7"/>
  <c r="CD737" i="7"/>
  <c r="CD733" i="7"/>
  <c r="CD729" i="7"/>
  <c r="CD852" i="7"/>
  <c r="CD849" i="7"/>
  <c r="CD846" i="7"/>
  <c r="CD843" i="7"/>
  <c r="CD833" i="7"/>
  <c r="CD827" i="7"/>
  <c r="CD818" i="7"/>
  <c r="CD813" i="7"/>
  <c r="CD809" i="7"/>
  <c r="CD801" i="7"/>
  <c r="CD800" i="7"/>
  <c r="CD796" i="7"/>
  <c r="CD792" i="7"/>
  <c r="CD784" i="7"/>
  <c r="CD783" i="7"/>
  <c r="CD782" i="7"/>
  <c r="CD778" i="7"/>
  <c r="CD739" i="7"/>
  <c r="CD736" i="7"/>
  <c r="CD732" i="7"/>
  <c r="CD728" i="7"/>
  <c r="CD724" i="7"/>
  <c r="CD767" i="7"/>
  <c r="CD763" i="7"/>
  <c r="CD759" i="7"/>
  <c r="CD755" i="7"/>
  <c r="CD744" i="7"/>
  <c r="CD722" i="7"/>
  <c r="CD718" i="7"/>
  <c r="CD714" i="7"/>
  <c r="CD705" i="7"/>
  <c r="CD704" i="7"/>
  <c r="CD703" i="7"/>
  <c r="CD702" i="7"/>
  <c r="CD699" i="7"/>
  <c r="CD696" i="7"/>
  <c r="CD692" i="7"/>
  <c r="CD683" i="7"/>
  <c r="CD677" i="7"/>
  <c r="CD673" i="7"/>
  <c r="CD671" i="7"/>
  <c r="CD668" i="7"/>
  <c r="CD664" i="7"/>
  <c r="CD660" i="7"/>
  <c r="CD656" i="7"/>
  <c r="CD652" i="7"/>
  <c r="CD648" i="7"/>
  <c r="CD641" i="7"/>
  <c r="CD637" i="7"/>
  <c r="CD633" i="7"/>
  <c r="CD630" i="7"/>
  <c r="CD617" i="7"/>
  <c r="CD607" i="7"/>
  <c r="CD603" i="7"/>
  <c r="CD599" i="7"/>
  <c r="CD587" i="7"/>
  <c r="CD586" i="7"/>
  <c r="CD585" i="7"/>
  <c r="CD584" i="7"/>
  <c r="CD124" i="7"/>
  <c r="CD123" i="7"/>
  <c r="CD120" i="7"/>
  <c r="CD119" i="7"/>
  <c r="CD562" i="7"/>
  <c r="CD556" i="7"/>
  <c r="CD554" i="7"/>
  <c r="CD553" i="7"/>
  <c r="CD551" i="7"/>
  <c r="CD550" i="7"/>
  <c r="CD547" i="7"/>
  <c r="CD544" i="7"/>
  <c r="CD529" i="7"/>
  <c r="CD528" i="7"/>
  <c r="CD525" i="7"/>
  <c r="CD512" i="7"/>
  <c r="CD507" i="7"/>
  <c r="CD462" i="7"/>
  <c r="CD460" i="7"/>
  <c r="CD451" i="7"/>
  <c r="CD431" i="7"/>
  <c r="CD420" i="7"/>
  <c r="CD768" i="7"/>
  <c r="CD764" i="7"/>
  <c r="CD760" i="7"/>
  <c r="CD756" i="7"/>
  <c r="CD752" i="7"/>
  <c r="CD741" i="7"/>
  <c r="CD730" i="7"/>
  <c r="CD726" i="7"/>
  <c r="CD725" i="7"/>
  <c r="CD721" i="7"/>
  <c r="CD717" i="7"/>
  <c r="CD701" i="7"/>
  <c r="CD698" i="7"/>
  <c r="CD695" i="7"/>
  <c r="CD691" i="7"/>
  <c r="CD678" i="7"/>
  <c r="CD674" i="7"/>
  <c r="CD665" i="7"/>
  <c r="CD661" i="7"/>
  <c r="CD657" i="7"/>
  <c r="CD653" i="7"/>
  <c r="CD649" i="7"/>
  <c r="CD645" i="7"/>
  <c r="CD642" i="7"/>
  <c r="CD638" i="7"/>
  <c r="CD634" i="7"/>
  <c r="CD631" i="7"/>
  <c r="CD614" i="7"/>
  <c r="CD608" i="7"/>
  <c r="CD604" i="7"/>
  <c r="CD600" i="7"/>
  <c r="CD591" i="7"/>
  <c r="CD590" i="7"/>
  <c r="CD589" i="7"/>
  <c r="CD588" i="7"/>
  <c r="CD563" i="7"/>
  <c r="CD688" i="7"/>
  <c r="CD558" i="7"/>
  <c r="CD552" i="7"/>
  <c r="CD546" i="7"/>
  <c r="CD542" i="7"/>
  <c r="CD541" i="7"/>
  <c r="CD540" i="7"/>
  <c r="CD539" i="7"/>
  <c r="CD543" i="7"/>
  <c r="CD532" i="7"/>
  <c r="CD530" i="7"/>
  <c r="CD520" i="7"/>
  <c r="CD497" i="7"/>
  <c r="CD491" i="7"/>
  <c r="CD488" i="7"/>
  <c r="CD485" i="7"/>
  <c r="CD475" i="7"/>
  <c r="CD467" i="7"/>
  <c r="CD458" i="7"/>
  <c r="CD450" i="7"/>
  <c r="CD445" i="7"/>
  <c r="CD438" i="7"/>
  <c r="CD437" i="7"/>
  <c r="CD427" i="7"/>
  <c r="CD425" i="7"/>
  <c r="CD413" i="7"/>
  <c r="CD411" i="7"/>
  <c r="CD409" i="7"/>
  <c r="CD408" i="7"/>
  <c r="CD400" i="7"/>
  <c r="CD396" i="7"/>
  <c r="CD769" i="7"/>
  <c r="CD765" i="7"/>
  <c r="CD761" i="7"/>
  <c r="CD757" i="7"/>
  <c r="CD753" i="7"/>
  <c r="CD742" i="7"/>
  <c r="CD734" i="7"/>
  <c r="CD720" i="7"/>
  <c r="CD716" i="7"/>
  <c r="CD700" i="7"/>
  <c r="CD694" i="7"/>
  <c r="CD690" i="7"/>
  <c r="CD679" i="7"/>
  <c r="CD675" i="7"/>
  <c r="CD669" i="7"/>
  <c r="CD666" i="7"/>
  <c r="CD662" i="7"/>
  <c r="CD658" i="7"/>
  <c r="CD654" i="7"/>
  <c r="CD650" i="7"/>
  <c r="CD646" i="7"/>
  <c r="CD643" i="7"/>
  <c r="CD639" i="7"/>
  <c r="CD635" i="7"/>
  <c r="CD632" i="7"/>
  <c r="CD618" i="7"/>
  <c r="CD615" i="7"/>
  <c r="CD612" i="7"/>
  <c r="CD609" i="7"/>
  <c r="CD605" i="7"/>
  <c r="CD601" i="7"/>
  <c r="CD597" i="7"/>
  <c r="CD596" i="7"/>
  <c r="CD595" i="7"/>
  <c r="CD594" i="7"/>
  <c r="CD593" i="7"/>
  <c r="CD592" i="7"/>
  <c r="CD573" i="7"/>
  <c r="CD572" i="7"/>
  <c r="CD571" i="7"/>
  <c r="CD686" i="7"/>
  <c r="CD569" i="7"/>
  <c r="CD570" i="7"/>
  <c r="CD568" i="7"/>
  <c r="CD567" i="7"/>
  <c r="CD566" i="7"/>
  <c r="CD565" i="7"/>
  <c r="CD564" i="7"/>
  <c r="CD121" i="7"/>
  <c r="CD549" i="7"/>
  <c r="CD537" i="7"/>
  <c r="CD534" i="7"/>
  <c r="CD522" i="7"/>
  <c r="CD518" i="7"/>
  <c r="CD517" i="7"/>
  <c r="CD515" i="7"/>
  <c r="CD500" i="7"/>
  <c r="CD496" i="7"/>
  <c r="CD490" i="7"/>
  <c r="CD482" i="7"/>
  <c r="CD481" i="7"/>
  <c r="CD480" i="7"/>
  <c r="CD476" i="7"/>
  <c r="CD473" i="7"/>
  <c r="CD471" i="7"/>
  <c r="CD469" i="7"/>
  <c r="CD464" i="7"/>
  <c r="CD449" i="7"/>
  <c r="CD766" i="7"/>
  <c r="CD762" i="7"/>
  <c r="CD758" i="7"/>
  <c r="CD754" i="7"/>
  <c r="CD743" i="7"/>
  <c r="CD719" i="7"/>
  <c r="CD715" i="7"/>
  <c r="CD697" i="7"/>
  <c r="CD693" i="7"/>
  <c r="CD680" i="7"/>
  <c r="CD676" i="7"/>
  <c r="CD672" i="7"/>
  <c r="CD670" i="7"/>
  <c r="CD667" i="7"/>
  <c r="CD663" i="7"/>
  <c r="CD659" i="7"/>
  <c r="CD655" i="7"/>
  <c r="CD651" i="7"/>
  <c r="CD647" i="7"/>
  <c r="CD644" i="7"/>
  <c r="CD640" i="7"/>
  <c r="CD636" i="7"/>
  <c r="CD629" i="7"/>
  <c r="CD616" i="7"/>
  <c r="CD610" i="7"/>
  <c r="CD606" i="7"/>
  <c r="CD602" i="7"/>
  <c r="CD598" i="7"/>
  <c r="CD583" i="7"/>
  <c r="CD582" i="7"/>
  <c r="CD581" i="7"/>
  <c r="CD689" i="7"/>
  <c r="CD580" i="7"/>
  <c r="CD579" i="7"/>
  <c r="CD578" i="7"/>
  <c r="CD577" i="7"/>
  <c r="CD576" i="7"/>
  <c r="CD575" i="7"/>
  <c r="CD122" i="7"/>
  <c r="CD574" i="7"/>
  <c r="CD561" i="7"/>
  <c r="CD560" i="7"/>
  <c r="CD559" i="7"/>
  <c r="CD555" i="7"/>
  <c r="CD545" i="7"/>
  <c r="CD535" i="7"/>
  <c r="CD523" i="7"/>
  <c r="CD521" i="7"/>
  <c r="CD519" i="7"/>
  <c r="CD516" i="7"/>
  <c r="CD514" i="7"/>
  <c r="CD510" i="7"/>
  <c r="CD509" i="7"/>
  <c r="CD508" i="7"/>
  <c r="CD506" i="7"/>
  <c r="CD499" i="7"/>
  <c r="CD495" i="7"/>
  <c r="CD478" i="7"/>
  <c r="CD470" i="7"/>
  <c r="CD468" i="7"/>
  <c r="CD466" i="7"/>
  <c r="CD455" i="7"/>
  <c r="CD452" i="7"/>
  <c r="CD448" i="7"/>
  <c r="CD443" i="7"/>
  <c r="CD434" i="7"/>
  <c r="CD429" i="7"/>
  <c r="CD426" i="7"/>
  <c r="CD419" i="7"/>
  <c r="CD416" i="7"/>
  <c r="CD410" i="7"/>
  <c r="CD407" i="7"/>
  <c r="CD405" i="7"/>
  <c r="CD404" i="7"/>
  <c r="CD403" i="7"/>
  <c r="CD389" i="7"/>
  <c r="CD376" i="7"/>
  <c r="CD372" i="7"/>
  <c r="CD364" i="7"/>
  <c r="CD363" i="7"/>
  <c r="CD362" i="7"/>
  <c r="CD868" i="7"/>
  <c r="CD357" i="7"/>
  <c r="CD356" i="7"/>
  <c r="CD352" i="7"/>
  <c r="CD335" i="7"/>
  <c r="CD332" i="7"/>
  <c r="CD857" i="7"/>
  <c r="CD321" i="7"/>
  <c r="CD308" i="7"/>
  <c r="CD306" i="7"/>
  <c r="CD305" i="7"/>
  <c r="CD304" i="7"/>
  <c r="CD303" i="7"/>
  <c r="CD302" i="7"/>
  <c r="CD297" i="7"/>
  <c r="CD290" i="7"/>
  <c r="CD285" i="7"/>
  <c r="CD829" i="7"/>
  <c r="CD279" i="7"/>
  <c r="CD277" i="7"/>
  <c r="CD825" i="7"/>
  <c r="CD267" i="7"/>
  <c r="CD265" i="7"/>
  <c r="CD261" i="7"/>
  <c r="CD258" i="7"/>
  <c r="CD254" i="7"/>
  <c r="CD253" i="7"/>
  <c r="CD234" i="7"/>
  <c r="CD230" i="7"/>
  <c r="CD226" i="7"/>
  <c r="CD224" i="7"/>
  <c r="CD221" i="7"/>
  <c r="CD219" i="7"/>
  <c r="CD217" i="7"/>
  <c r="CD216" i="7"/>
  <c r="CD212" i="7"/>
  <c r="CD205" i="7"/>
  <c r="CD187" i="7"/>
  <c r="CD186" i="7"/>
  <c r="CD185" i="7"/>
  <c r="CD184" i="7"/>
  <c r="CD183" i="7"/>
  <c r="CD175" i="7"/>
  <c r="CD171" i="7"/>
  <c r="CD165" i="7"/>
  <c r="CD161" i="7"/>
  <c r="CD133" i="7"/>
  <c r="CD129" i="7"/>
  <c r="CD114" i="7"/>
  <c r="CD110" i="7"/>
  <c r="CD98" i="7"/>
  <c r="CD94" i="7"/>
  <c r="CD90" i="7"/>
  <c r="CD435" i="7"/>
  <c r="CD430" i="7"/>
  <c r="CD923" i="7"/>
  <c r="CD398" i="7"/>
  <c r="CD395" i="7"/>
  <c r="CD393" i="7"/>
  <c r="CD391" i="7"/>
  <c r="CD371" i="7"/>
  <c r="CD365" i="7"/>
  <c r="CD361" i="7"/>
  <c r="CD358" i="7"/>
  <c r="CD355" i="7"/>
  <c r="CD351" i="7"/>
  <c r="CD350" i="7"/>
  <c r="CD334" i="7"/>
  <c r="CD331" i="7"/>
  <c r="CD327" i="7"/>
  <c r="CD326" i="7"/>
  <c r="CD325" i="7"/>
  <c r="CD323" i="7"/>
  <c r="CD316" i="7"/>
  <c r="CD314" i="7"/>
  <c r="CD312" i="7"/>
  <c r="CD311" i="7"/>
  <c r="CD310" i="7"/>
  <c r="CD301" i="7"/>
  <c r="CD298" i="7"/>
  <c r="CD296" i="7"/>
  <c r="CD292" i="7"/>
  <c r="CD288" i="7"/>
  <c r="CD284" i="7"/>
  <c r="CD247" i="7"/>
  <c r="CD231" i="7"/>
  <c r="CD227" i="7"/>
  <c r="CD225" i="7"/>
  <c r="CD223" i="7"/>
  <c r="CD222" i="7"/>
  <c r="CD211" i="7"/>
  <c r="CD204" i="7"/>
  <c r="CD188" i="7"/>
  <c r="CD174" i="7"/>
  <c r="CD170" i="7"/>
  <c r="CD159" i="7"/>
  <c r="CD132" i="7"/>
  <c r="CD115" i="7"/>
  <c r="CD111" i="7"/>
  <c r="CD99" i="7"/>
  <c r="CD95" i="7"/>
  <c r="CD83" i="7"/>
  <c r="CD71" i="7"/>
  <c r="CD439" i="7"/>
  <c r="CD433" i="7"/>
  <c r="CD432" i="7"/>
  <c r="CD428" i="7"/>
  <c r="CD418" i="7"/>
  <c r="CD417" i="7"/>
  <c r="CD401" i="7"/>
  <c r="CD397" i="7"/>
  <c r="CD392" i="7"/>
  <c r="CD386" i="7"/>
  <c r="CD378" i="7"/>
  <c r="CD377" i="7"/>
  <c r="CD373" i="7"/>
  <c r="CD368" i="7"/>
  <c r="CD366" i="7"/>
  <c r="CD348" i="7"/>
  <c r="CD336" i="7"/>
  <c r="CD317" i="7"/>
  <c r="CD313" i="7"/>
  <c r="CD293" i="7"/>
  <c r="CD286" i="7"/>
  <c r="CD271" i="7"/>
  <c r="CD251" i="7"/>
  <c r="CD250" i="7"/>
  <c r="CD245" i="7"/>
  <c r="CD233" i="7"/>
  <c r="CD229" i="7"/>
  <c r="CD210" i="7"/>
  <c r="CD209" i="7"/>
  <c r="CD208" i="7"/>
  <c r="CD207" i="7"/>
  <c r="CD206" i="7"/>
  <c r="CD199" i="7"/>
  <c r="CD198" i="7"/>
  <c r="CD196" i="7"/>
  <c r="CD195" i="7"/>
  <c r="CD194" i="7"/>
  <c r="CD193" i="7"/>
  <c r="CD192" i="7"/>
  <c r="CD191" i="7"/>
  <c r="CD190" i="7"/>
  <c r="CD182" i="7"/>
  <c r="CD181" i="7"/>
  <c r="CD180" i="7"/>
  <c r="CD167" i="7"/>
  <c r="CD166" i="7"/>
  <c r="CD160" i="7"/>
  <c r="CD155" i="7"/>
  <c r="CD154" i="7"/>
  <c r="CD153" i="7"/>
  <c r="CD152" i="7"/>
  <c r="CD113" i="7"/>
  <c r="CD101" i="7"/>
  <c r="CD97" i="7"/>
  <c r="CD93" i="7"/>
  <c r="CD89" i="7"/>
  <c r="CD81" i="7"/>
  <c r="CD77" i="7"/>
  <c r="CD69" i="7"/>
  <c r="CD48" i="7"/>
  <c r="CD47" i="7"/>
  <c r="CD46" i="7"/>
  <c r="CD45" i="7"/>
  <c r="CD44" i="7"/>
  <c r="CD43" i="7"/>
  <c r="CD624" i="7"/>
  <c r="CD41" i="7"/>
  <c r="CD40" i="7"/>
  <c r="CD39" i="7"/>
  <c r="CD322" i="7"/>
  <c r="CD287" i="7"/>
  <c r="CD249" i="7"/>
  <c r="CD248" i="7"/>
  <c r="CD243" i="7"/>
  <c r="CD169" i="7"/>
  <c r="CD712" i="7"/>
  <c r="CD151" i="7"/>
  <c r="CD150" i="7"/>
  <c r="CD149" i="7"/>
  <c r="CD148" i="7"/>
  <c r="CD147" i="7"/>
  <c r="CD146" i="7"/>
  <c r="CD145" i="7"/>
  <c r="CD144" i="7"/>
  <c r="CD143" i="7"/>
  <c r="CD142" i="7"/>
  <c r="CD100" i="7"/>
  <c r="CD88" i="7"/>
  <c r="CD78" i="7"/>
  <c r="CD61" i="7"/>
  <c r="CD35" i="7"/>
  <c r="CD621" i="7"/>
  <c r="CD32" i="7"/>
  <c r="CD30" i="7"/>
  <c r="CD29" i="7"/>
  <c r="CD28" i="7"/>
  <c r="CD26" i="7"/>
  <c r="CD25" i="7"/>
  <c r="CD620" i="7"/>
  <c r="CD24" i="7"/>
  <c r="CD23" i="7"/>
  <c r="CD22" i="7"/>
  <c r="CD37" i="7"/>
  <c r="CD622" i="7"/>
  <c r="CD116" i="7"/>
  <c r="CD70" i="7"/>
  <c r="CD51" i="7"/>
  <c r="CD436" i="7"/>
  <c r="CD163" i="7"/>
  <c r="CD52" i="7"/>
  <c r="CD382" i="7"/>
  <c r="CD315" i="7"/>
  <c r="CD309" i="7"/>
  <c r="CD307" i="7"/>
  <c r="CD276" i="7"/>
  <c r="CD275" i="7"/>
  <c r="CD274" i="7"/>
  <c r="CD252" i="7"/>
  <c r="CD232" i="7"/>
  <c r="CD203" i="7"/>
  <c r="CD189" i="7"/>
  <c r="CD108" i="7"/>
  <c r="CD76" i="7"/>
  <c r="CD72" i="7"/>
  <c r="CD66" i="7"/>
  <c r="CD50" i="7"/>
  <c r="CD38" i="7"/>
  <c r="CD623" i="7"/>
  <c r="CD36" i="7"/>
  <c r="CD63" i="7"/>
  <c r="CD412" i="7"/>
  <c r="CD369" i="7"/>
  <c r="CD347" i="7"/>
  <c r="CD341" i="7"/>
  <c r="CD340" i="7"/>
  <c r="CD339" i="7"/>
  <c r="CD338" i="7"/>
  <c r="CD337" i="7"/>
  <c r="CD333" i="7"/>
  <c r="CD278" i="7"/>
  <c r="CD246" i="7"/>
  <c r="CD228" i="7"/>
  <c r="CD214" i="7"/>
  <c r="CD748" i="7"/>
  <c r="CD178" i="7"/>
  <c r="CD177" i="7"/>
  <c r="CD158" i="7"/>
  <c r="CD92" i="7"/>
  <c r="CD55" i="7"/>
  <c r="CD388" i="7"/>
  <c r="CD370" i="7"/>
  <c r="CD367" i="7"/>
  <c r="CD291" i="7"/>
  <c r="CD259" i="7"/>
  <c r="CD112" i="7"/>
  <c r="AT241" i="7" l="1"/>
  <c r="AT240" i="7"/>
  <c r="AT239" i="7"/>
  <c r="AT839" i="7"/>
  <c r="AT127" i="7"/>
  <c r="AT787" i="7"/>
  <c r="AT947" i="7"/>
  <c r="AT1123" i="7"/>
  <c r="AT830" i="7"/>
  <c r="AT981" i="7"/>
  <c r="AT980" i="7"/>
  <c r="AT687" i="7"/>
  <c r="AT1054" i="7"/>
  <c r="AT1052" i="7"/>
  <c r="AT828" i="7"/>
  <c r="AC20" i="7"/>
  <c r="AC19" i="7" s="1"/>
  <c r="AT891" i="7"/>
  <c r="AT890" i="7"/>
  <c r="AT976" i="7"/>
  <c r="AT935" i="7"/>
  <c r="D20" i="7"/>
  <c r="AT985" i="7"/>
  <c r="AT977" i="7"/>
  <c r="AT805" i="7"/>
  <c r="AT856" i="7"/>
  <c r="AT859" i="7"/>
  <c r="AT504" i="7"/>
  <c r="AT505" i="7"/>
  <c r="AT501" i="7"/>
  <c r="AT503" i="7"/>
  <c r="AT502" i="7"/>
  <c r="AT803" i="7"/>
  <c r="AT824" i="7"/>
  <c r="AT713" i="7"/>
  <c r="AT1059" i="7"/>
  <c r="AT707" i="7"/>
  <c r="AT47" i="7"/>
  <c r="AT165" i="7"/>
  <c r="AT567" i="7"/>
  <c r="AT1090" i="7"/>
  <c r="AT26" i="7"/>
  <c r="AT1092" i="7"/>
  <c r="AT129" i="7"/>
  <c r="AT536" i="7"/>
  <c r="AT168" i="7"/>
  <c r="AT697" i="7"/>
  <c r="AT310" i="7"/>
  <c r="AT356" i="7"/>
  <c r="AT854" i="7"/>
  <c r="AT398" i="7"/>
  <c r="AT391" i="7"/>
  <c r="AT291" i="7"/>
  <c r="AT162" i="7"/>
  <c r="AT486" i="7"/>
  <c r="AT897" i="7"/>
  <c r="AT1206" i="7"/>
  <c r="AT413" i="7"/>
  <c r="AT30" i="7"/>
  <c r="AT402" i="7"/>
  <c r="AT359" i="7"/>
  <c r="AT432" i="7"/>
  <c r="AT940" i="7"/>
  <c r="AT623" i="7"/>
  <c r="AT45" i="7"/>
  <c r="AT37" i="7"/>
  <c r="AT170" i="7"/>
  <c r="AT298" i="7"/>
  <c r="AT205" i="7"/>
  <c r="AT203" i="7"/>
  <c r="AT568" i="7"/>
  <c r="AT516" i="7"/>
  <c r="AT439" i="7"/>
  <c r="AT826" i="7"/>
  <c r="AT1033" i="7"/>
  <c r="AT1109" i="7"/>
  <c r="AT334" i="7"/>
  <c r="AT49" i="7"/>
  <c r="AT24" i="7"/>
  <c r="AT131" i="7"/>
  <c r="AT331" i="7"/>
  <c r="AT277" i="7"/>
  <c r="AT245" i="7"/>
  <c r="AT597" i="7"/>
  <c r="AT120" i="7"/>
  <c r="AT860" i="7"/>
  <c r="AT964" i="7"/>
  <c r="AT989" i="7"/>
  <c r="AT174" i="7"/>
  <c r="AT38" i="7"/>
  <c r="AT316" i="7"/>
  <c r="AT31" i="7"/>
  <c r="AT169" i="7"/>
  <c r="AT53" i="7"/>
  <c r="AT360" i="7"/>
  <c r="AT373" i="7"/>
  <c r="AT589" i="7"/>
  <c r="AT729" i="7"/>
  <c r="AT907" i="7"/>
  <c r="AT899" i="7"/>
  <c r="AT1209" i="7"/>
  <c r="AT301" i="7"/>
  <c r="AT46" i="7"/>
  <c r="AT164" i="7"/>
  <c r="AT34" i="7"/>
  <c r="AT246" i="7"/>
  <c r="AT61" i="7"/>
  <c r="AT403" i="7"/>
  <c r="AT461" i="7"/>
  <c r="AT726" i="7"/>
  <c r="AT537" i="7"/>
  <c r="AT933" i="7"/>
  <c r="AT1103" i="7"/>
  <c r="AT371" i="7"/>
  <c r="AT395" i="7"/>
  <c r="AT23" i="7"/>
  <c r="AT204" i="7"/>
  <c r="AT211" i="7"/>
  <c r="AT25" i="7"/>
  <c r="AT41" i="7"/>
  <c r="AT135" i="7"/>
  <c r="AT255" i="7"/>
  <c r="AT337" i="7"/>
  <c r="AT62" i="7"/>
  <c r="AT302" i="7"/>
  <c r="AT416" i="7"/>
  <c r="AT251" i="7"/>
  <c r="AT513" i="7"/>
  <c r="AT720" i="7"/>
  <c r="AT731" i="7"/>
  <c r="AT587" i="7"/>
  <c r="AT560" i="7"/>
  <c r="AT730" i="7"/>
  <c r="AT833" i="7"/>
  <c r="AT1065" i="7"/>
  <c r="AT951" i="7"/>
  <c r="AT1022" i="7"/>
  <c r="AT1049" i="7"/>
  <c r="AT1223" i="7"/>
  <c r="AT1256" i="7"/>
  <c r="AT1100" i="7"/>
  <c r="AT1011" i="7"/>
  <c r="AT1089" i="7"/>
  <c r="AT889" i="7"/>
  <c r="AT898" i="7"/>
  <c r="AT963" i="7"/>
  <c r="AT872" i="7"/>
  <c r="AT728" i="7"/>
  <c r="AT842" i="7"/>
  <c r="AT802" i="7"/>
  <c r="AT689" i="7"/>
  <c r="AT508" i="7"/>
  <c r="AT718" i="7"/>
  <c r="AT547" i="7"/>
  <c r="AT472" i="7"/>
  <c r="AT698" i="7"/>
  <c r="AT477" i="7"/>
  <c r="AT595" i="7"/>
  <c r="AT532" i="7"/>
  <c r="AT411" i="7"/>
  <c r="AT336" i="7"/>
  <c r="AT209" i="7"/>
  <c r="AT130" i="7"/>
  <c r="AT399" i="7"/>
  <c r="AT332" i="7"/>
  <c r="AT253" i="7"/>
  <c r="AT141" i="7"/>
  <c r="AT57" i="7"/>
  <c r="AT369" i="7"/>
  <c r="AT322" i="7"/>
  <c r="AT278" i="7"/>
  <c r="AT214" i="7"/>
  <c r="AT163" i="7"/>
  <c r="AT314" i="7"/>
  <c r="AT48" i="7"/>
  <c r="AT33" i="7"/>
  <c r="AT27" i="7"/>
  <c r="AT393" i="7"/>
  <c r="AT430" i="7"/>
  <c r="AT132" i="7"/>
  <c r="AT620" i="7"/>
  <c r="AT622" i="7"/>
  <c r="AT624" i="7"/>
  <c r="AT319" i="7"/>
  <c r="AT1210" i="7"/>
  <c r="AT1163" i="7"/>
  <c r="AT1121" i="7"/>
  <c r="AT1040" i="7"/>
  <c r="AT970" i="7"/>
  <c r="AT982" i="7"/>
  <c r="AT1138" i="7"/>
  <c r="AT895" i="7"/>
  <c r="AT939" i="7"/>
  <c r="AT843" i="7"/>
  <c r="AT724" i="7"/>
  <c r="AT807" i="7"/>
  <c r="AT737" i="7"/>
  <c r="AT579" i="7"/>
  <c r="AT463" i="7"/>
  <c r="AT692" i="7"/>
  <c r="AT538" i="7"/>
  <c r="AT441" i="7"/>
  <c r="AT590" i="7"/>
  <c r="AT467" i="7"/>
  <c r="AT571" i="7"/>
  <c r="AT515" i="7"/>
  <c r="AT396" i="7"/>
  <c r="AT300" i="7"/>
  <c r="AT206" i="7"/>
  <c r="AT449" i="7"/>
  <c r="AT372" i="7"/>
  <c r="AT308" i="7"/>
  <c r="AT250" i="7"/>
  <c r="AT65" i="7"/>
  <c r="AT54" i="7"/>
  <c r="AT365" i="7"/>
  <c r="AT307" i="7"/>
  <c r="AT259" i="7"/>
  <c r="AT177" i="7"/>
  <c r="AT139" i="7"/>
  <c r="AT284" i="7"/>
  <c r="AT44" i="7"/>
  <c r="AT32" i="7"/>
  <c r="AT292" i="7"/>
  <c r="AT375" i="7"/>
  <c r="AT256" i="7"/>
  <c r="AT43" i="7"/>
  <c r="AT161" i="7"/>
  <c r="AT28" i="7"/>
  <c r="AT140" i="7"/>
  <c r="AT350" i="7"/>
  <c r="AT260" i="7"/>
  <c r="AT22" i="7"/>
  <c r="AT29" i="7"/>
  <c r="AT621" i="7"/>
  <c r="AT40" i="7"/>
  <c r="AT136" i="7"/>
  <c r="AT323" i="7"/>
  <c r="AT142" i="7"/>
  <c r="AT173" i="7"/>
  <c r="AT252" i="7"/>
  <c r="AT287" i="7"/>
  <c r="AT318" i="7"/>
  <c r="AT355" i="7"/>
  <c r="AT412" i="7"/>
  <c r="AT58" i="7"/>
  <c r="AT66" i="7"/>
  <c r="AT212" i="7"/>
  <c r="AT279" i="7"/>
  <c r="AT335" i="7"/>
  <c r="AT376" i="7"/>
  <c r="AT421" i="7"/>
  <c r="AT166" i="7"/>
  <c r="AT210" i="7"/>
  <c r="AT313" i="7"/>
  <c r="AT377" i="7"/>
  <c r="AT469" i="7"/>
  <c r="AT552" i="7"/>
  <c r="AT572" i="7"/>
  <c r="AT735" i="7"/>
  <c r="AT546" i="7"/>
  <c r="AT701" i="7"/>
  <c r="AT446" i="7"/>
  <c r="AT523" i="7"/>
  <c r="AT124" i="7"/>
  <c r="AT722" i="7"/>
  <c r="AT476" i="7"/>
  <c r="AT561" i="7"/>
  <c r="AT837" i="7"/>
  <c r="AT811" i="7"/>
  <c r="AT836" i="7"/>
  <c r="AT801" i="7"/>
  <c r="AT876" i="7"/>
  <c r="AT943" i="7"/>
  <c r="AT1147" i="7"/>
  <c r="AT955" i="7"/>
  <c r="AT893" i="7"/>
  <c r="AT1017" i="7"/>
  <c r="AT916" i="7"/>
  <c r="AT1104" i="7"/>
  <c r="AT1137" i="7"/>
  <c r="AT1153" i="7"/>
  <c r="AT1060" i="7"/>
  <c r="AT1243" i="7"/>
  <c r="AT685" i="7"/>
  <c r="AT1051" i="7"/>
  <c r="AT1050" i="7"/>
  <c r="AT1156" i="7"/>
  <c r="AT1154" i="7"/>
  <c r="AT1149" i="7"/>
  <c r="AT1018" i="7"/>
  <c r="AT1194" i="7"/>
  <c r="AT1119" i="7"/>
  <c r="AT1201" i="7"/>
  <c r="AT1095" i="7"/>
  <c r="AT1012" i="7"/>
  <c r="AT1070" i="7"/>
  <c r="AT942" i="7"/>
  <c r="AT1085" i="7"/>
  <c r="AT968" i="7"/>
  <c r="AT930" i="7"/>
  <c r="AT875" i="7"/>
  <c r="AT994" i="7"/>
  <c r="AT937" i="7"/>
  <c r="AT880" i="7"/>
  <c r="AT1013" i="7"/>
  <c r="AT957" i="7"/>
  <c r="AT913" i="7"/>
  <c r="AT894" i="7"/>
  <c r="AT866" i="7"/>
  <c r="AT813" i="7"/>
  <c r="AT778" i="7"/>
  <c r="AT862" i="7"/>
  <c r="AT808" i="7"/>
  <c r="AT838" i="7"/>
  <c r="AT238" i="7"/>
  <c r="AT844" i="7"/>
  <c r="AT780" i="7"/>
  <c r="AT725" i="7"/>
  <c r="AT583" i="7"/>
  <c r="AT577" i="7"/>
  <c r="AT489" i="7"/>
  <c r="AT452" i="7"/>
  <c r="AT428" i="7"/>
  <c r="AT699" i="7"/>
  <c r="AT586" i="7"/>
  <c r="AT119" i="7"/>
  <c r="AT531" i="7"/>
  <c r="AT514" i="7"/>
  <c r="AT470" i="7"/>
  <c r="AT420" i="7"/>
  <c r="AT721" i="7"/>
  <c r="AT695" i="7"/>
  <c r="AT558" i="7"/>
  <c r="AT520" i="7"/>
  <c r="AT458" i="7"/>
  <c r="AT700" i="7"/>
  <c r="AT594" i="7"/>
  <c r="AT686" i="7"/>
  <c r="AT565" i="7"/>
  <c r="AT530" i="7"/>
  <c r="AT490" i="7"/>
  <c r="AT433" i="7"/>
  <c r="AT394" i="7"/>
  <c r="AT368" i="7"/>
  <c r="AT317" i="7"/>
  <c r="AT293" i="7"/>
  <c r="AT243" i="7"/>
  <c r="AT208" i="7"/>
  <c r="AT176" i="7"/>
  <c r="AT138" i="7"/>
  <c r="AT425" i="7"/>
  <c r="AT410" i="7"/>
  <c r="AT389" i="7"/>
  <c r="AT370" i="7"/>
  <c r="AT352" i="7"/>
  <c r="AT321" i="7"/>
  <c r="AT299" i="7"/>
  <c r="AT258" i="7"/>
  <c r="AT244" i="7"/>
  <c r="AT175" i="7"/>
  <c r="AT137" i="7"/>
  <c r="AT64" i="7"/>
  <c r="AT60" i="7"/>
  <c r="AT56" i="7"/>
  <c r="AT52" i="7"/>
  <c r="AT387" i="7"/>
  <c r="AT361" i="7"/>
  <c r="AT333" i="7"/>
  <c r="AT309" i="7"/>
  <c r="AT1245" i="7"/>
  <c r="AT1120" i="7"/>
  <c r="AT1130" i="7"/>
  <c r="AT1077" i="7"/>
  <c r="AT998" i="7"/>
  <c r="AT1185" i="7"/>
  <c r="AT1114" i="7"/>
  <c r="AT1160" i="7"/>
  <c r="AT1094" i="7"/>
  <c r="AT990" i="7"/>
  <c r="AT1021" i="7"/>
  <c r="AT1227" i="7"/>
  <c r="AT1027" i="7"/>
  <c r="AT967" i="7"/>
  <c r="AT909" i="7"/>
  <c r="AT1162" i="7"/>
  <c r="AT988" i="7"/>
  <c r="AT911" i="7"/>
  <c r="AT1203" i="7"/>
  <c r="AT999" i="7"/>
  <c r="AT950" i="7"/>
  <c r="AT910" i="7"/>
  <c r="AT883" i="7"/>
  <c r="AT846" i="7"/>
  <c r="AT809" i="7"/>
  <c r="AT739" i="7"/>
  <c r="AT840" i="7"/>
  <c r="AT869" i="7"/>
  <c r="AT835" i="7"/>
  <c r="AT741" i="7"/>
  <c r="AT841" i="7"/>
  <c r="AT779" i="7"/>
  <c r="AT715" i="7"/>
  <c r="AT582" i="7"/>
  <c r="AT576" i="7"/>
  <c r="AT548" i="7"/>
  <c r="AT478" i="7"/>
  <c r="AT448" i="7"/>
  <c r="AT417" i="7"/>
  <c r="AT696" i="7"/>
  <c r="AT585" i="7"/>
  <c r="AT550" i="7"/>
  <c r="AT525" i="7"/>
  <c r="AT507" i="7"/>
  <c r="AT460" i="7"/>
  <c r="AT738" i="7"/>
  <c r="AT717" i="7"/>
  <c r="AT591" i="7"/>
  <c r="AT556" i="7"/>
  <c r="AT512" i="7"/>
  <c r="AT445" i="7"/>
  <c r="AT694" i="7"/>
  <c r="AT593" i="7"/>
  <c r="AT570" i="7"/>
  <c r="AT564" i="7"/>
  <c r="AT524" i="7"/>
  <c r="AT471" i="7"/>
  <c r="AT427" i="7"/>
  <c r="AT392" i="7"/>
  <c r="AT366" i="7"/>
  <c r="AT315" i="7"/>
  <c r="AT286" i="7"/>
  <c r="AT213" i="7"/>
  <c r="AT207" i="7"/>
  <c r="AT172" i="7"/>
  <c r="AT134" i="7"/>
  <c r="AT422" i="7"/>
  <c r="AT404" i="7"/>
  <c r="AT386" i="7"/>
  <c r="AT362" i="7"/>
  <c r="AT348" i="7"/>
  <c r="AT320" i="7"/>
  <c r="AT285" i="7"/>
  <c r="AT257" i="7"/>
  <c r="AT215" i="7"/>
  <c r="AT171" i="7"/>
  <c r="AT133" i="7"/>
  <c r="AT63" i="7"/>
  <c r="AT59" i="7"/>
  <c r="AT55" i="7"/>
  <c r="AT51" i="7"/>
  <c r="AT374" i="7"/>
  <c r="AT358" i="7"/>
  <c r="AT390" i="7"/>
  <c r="AT401" i="7"/>
  <c r="AT440" i="7"/>
  <c r="AT479" i="7"/>
  <c r="AT517" i="7"/>
  <c r="AT549" i="7"/>
  <c r="AT566" i="7"/>
  <c r="AT569" i="7"/>
  <c r="AT573" i="7"/>
  <c r="AT596" i="7"/>
  <c r="AT716" i="7"/>
  <c r="AT450" i="7"/>
  <c r="AT488" i="7"/>
  <c r="AT543" i="7"/>
  <c r="AT563" i="7"/>
  <c r="AT691" i="7"/>
  <c r="AT714" i="7"/>
  <c r="AT727" i="7"/>
  <c r="AT431" i="7"/>
  <c r="AT462" i="7"/>
  <c r="AT506" i="7"/>
  <c r="AT519" i="7"/>
  <c r="AT535" i="7"/>
  <c r="AT553" i="7"/>
  <c r="AT584" i="7"/>
  <c r="AT702" i="7"/>
  <c r="AT426" i="7"/>
  <c r="AT442" i="7"/>
  <c r="AT468" i="7"/>
  <c r="AT495" i="7"/>
  <c r="AT557" i="7"/>
  <c r="AT575" i="7"/>
  <c r="AT580" i="7"/>
  <c r="AT690" i="7"/>
  <c r="AT723" i="7"/>
  <c r="AT740" i="7"/>
  <c r="AT814" i="7"/>
  <c r="AT853" i="7"/>
  <c r="AT781" i="7"/>
  <c r="AT815" i="7"/>
  <c r="AT850" i="7"/>
  <c r="AT817" i="7"/>
  <c r="AT848" i="7"/>
  <c r="AT736" i="7"/>
  <c r="AT783" i="7"/>
  <c r="AT818" i="7"/>
  <c r="AT852" i="7"/>
  <c r="AT878" i="7"/>
  <c r="AT900" i="7"/>
  <c r="AT922" i="7"/>
  <c r="AT952" i="7"/>
  <c r="AT971" i="7"/>
  <c r="AT1067" i="7"/>
  <c r="AT884" i="7"/>
  <c r="AT917" i="7"/>
  <c r="AT960" i="7"/>
  <c r="AT1042" i="7"/>
  <c r="AT877" i="7"/>
  <c r="AT915" i="7"/>
  <c r="AT953" i="7"/>
  <c r="AT996" i="7"/>
  <c r="AT1086" i="7"/>
  <c r="AT921" i="7"/>
  <c r="AT975" i="7"/>
  <c r="AT1072" i="7"/>
  <c r="AT993" i="7"/>
  <c r="AT1043" i="7"/>
  <c r="AT1122" i="7"/>
  <c r="AT1211" i="7"/>
  <c r="AT1115" i="7"/>
  <c r="AT1169" i="7"/>
  <c r="AT969" i="7"/>
  <c r="AT1024" i="7"/>
  <c r="AT1081" i="7"/>
  <c r="AT1248" i="7"/>
  <c r="AT1208" i="7"/>
  <c r="AT1172" i="7"/>
  <c r="AT1254" i="7"/>
  <c r="AT1107" i="7"/>
  <c r="AT1234" i="7"/>
  <c r="AT1189" i="7"/>
  <c r="AT1148" i="7"/>
  <c r="AT1229" i="7"/>
  <c r="AT1187" i="7"/>
  <c r="AT1251" i="7"/>
  <c r="AT1193" i="7"/>
  <c r="AT1129" i="7"/>
  <c r="AT1075" i="7"/>
  <c r="AT1056" i="7"/>
  <c r="AT1008" i="7"/>
  <c r="AT983" i="7"/>
  <c r="AT1225" i="7"/>
  <c r="AT1173" i="7"/>
  <c r="AT1145" i="7"/>
  <c r="AT1118" i="7"/>
  <c r="AT1112" i="7"/>
  <c r="AT1246" i="7"/>
  <c r="AT1196" i="7"/>
  <c r="AT1127" i="7"/>
  <c r="AT1099" i="7"/>
  <c r="AT1093" i="7"/>
  <c r="AT1030" i="7"/>
  <c r="AT1006" i="7"/>
  <c r="AT1074" i="7"/>
  <c r="AT1048" i="7"/>
  <c r="AT1007" i="7"/>
  <c r="AT949" i="7"/>
  <c r="AT931" i="7"/>
  <c r="AT912" i="7"/>
  <c r="AT882" i="7"/>
  <c r="AT1213" i="7"/>
  <c r="AT1088" i="7"/>
  <c r="AT1044" i="7"/>
  <c r="AT118" i="7"/>
  <c r="AT979" i="7"/>
  <c r="AT958" i="7"/>
  <c r="AT941" i="7"/>
  <c r="AT924" i="7"/>
  <c r="AT901" i="7"/>
  <c r="AT885" i="7"/>
  <c r="AT873" i="7"/>
  <c r="AT1128" i="7"/>
  <c r="AT1025" i="7"/>
  <c r="AT984" i="7"/>
  <c r="AT948" i="7"/>
  <c r="AT929" i="7"/>
  <c r="AT908" i="7"/>
  <c r="AT892" i="7"/>
  <c r="AT870" i="7"/>
  <c r="AT1096" i="7"/>
  <c r="AT1031" i="7"/>
  <c r="AT991" i="7"/>
  <c r="AT959" i="7"/>
  <c r="AT946" i="7"/>
  <c r="AT919" i="7"/>
  <c r="AT903" i="7"/>
  <c r="AT887" i="7"/>
  <c r="AT874" i="7"/>
  <c r="AT849" i="7"/>
  <c r="AT827" i="7"/>
  <c r="AT806" i="7"/>
  <c r="AT782" i="7"/>
  <c r="AT732" i="7"/>
  <c r="AT855" i="7"/>
  <c r="AT832" i="7"/>
  <c r="AT800" i="7"/>
  <c r="AT845" i="7"/>
  <c r="AT816" i="7"/>
  <c r="AT734" i="7"/>
  <c r="AT847" i="7"/>
  <c r="AT834" i="7"/>
  <c r="AT237" i="7"/>
  <c r="AT733" i="7"/>
  <c r="AT719" i="7"/>
  <c r="AT693" i="7"/>
  <c r="AT581" i="7"/>
  <c r="AT578" i="7"/>
  <c r="AT122" i="7"/>
  <c r="AT559" i="7"/>
  <c r="AT533" i="7"/>
  <c r="AT487" i="7"/>
  <c r="AT466" i="7"/>
  <c r="AT1231" i="7"/>
  <c r="AT1178" i="7"/>
  <c r="AT1141" i="7"/>
  <c r="AT1215" i="7"/>
  <c r="AT1164" i="7"/>
  <c r="AT1249" i="7"/>
  <c r="AT1180" i="7"/>
  <c r="AT1082" i="7"/>
  <c r="AT1064" i="7"/>
  <c r="AT1032" i="7"/>
  <c r="AT1004" i="7"/>
  <c r="AT978" i="7"/>
  <c r="AT1195" i="7"/>
  <c r="AT1170" i="7"/>
  <c r="AT1135" i="7"/>
  <c r="AT1116" i="7"/>
  <c r="AT1110" i="7"/>
  <c r="AT1235" i="7"/>
  <c r="AT1161" i="7"/>
  <c r="AT1126" i="7"/>
  <c r="AT1098" i="7"/>
  <c r="AT1026" i="7"/>
  <c r="AT1000" i="7"/>
  <c r="AT1212" i="7"/>
  <c r="AT1073" i="7"/>
  <c r="AT1036" i="7"/>
  <c r="AT992" i="7"/>
  <c r="AT945" i="7"/>
  <c r="AT925" i="7"/>
  <c r="AT902" i="7"/>
  <c r="AT871" i="7"/>
  <c r="AT1091" i="7"/>
  <c r="AT1087" i="7"/>
  <c r="AT1034" i="7"/>
  <c r="AT1005" i="7"/>
  <c r="AT974" i="7"/>
  <c r="AT956" i="7"/>
  <c r="AT938" i="7"/>
  <c r="AT918" i="7"/>
  <c r="AT896" i="7"/>
  <c r="AT879" i="7"/>
  <c r="AT1202" i="7"/>
  <c r="AT1055" i="7"/>
  <c r="AT1015" i="7"/>
  <c r="AT973" i="7"/>
  <c r="AT944" i="7"/>
  <c r="AT920" i="7"/>
  <c r="AT904" i="7"/>
  <c r="AT888" i="7"/>
  <c r="AT1263" i="7"/>
  <c r="AT1068" i="7"/>
  <c r="AT1023" i="7"/>
  <c r="AT1014" i="7"/>
  <c r="AT1045" i="7"/>
  <c r="AT1061" i="7"/>
  <c r="AT1079" i="7"/>
  <c r="AT1134" i="7"/>
  <c r="AT1182" i="7"/>
  <c r="AT1241" i="7"/>
  <c r="AT1131" i="7"/>
  <c r="AT1188" i="7"/>
  <c r="AT1228" i="7"/>
  <c r="AT1132" i="7"/>
  <c r="AT1157" i="7"/>
  <c r="AT1192" i="7"/>
  <c r="AT1232" i="7"/>
  <c r="AT1261" i="7"/>
  <c r="AT1152" i="7"/>
  <c r="AT1184" i="7"/>
  <c r="AT1255" i="7"/>
  <c r="AT1257" i="7"/>
  <c r="AT1155" i="7"/>
  <c r="AT1198" i="7"/>
  <c r="AT1218" i="7"/>
  <c r="AT1253" i="7"/>
  <c r="AT1142" i="7"/>
  <c r="AT1171" i="7"/>
  <c r="AT1191" i="7"/>
  <c r="AT1219" i="7"/>
  <c r="AT1236" i="7"/>
  <c r="AT1262" i="7"/>
  <c r="AT954" i="7"/>
  <c r="AT1002" i="7"/>
  <c r="AT1029" i="7"/>
  <c r="AT1071" i="7"/>
  <c r="AT1101" i="7"/>
  <c r="AT1247" i="7"/>
  <c r="AT997" i="7"/>
  <c r="AT1016" i="7"/>
  <c r="AT1066" i="7"/>
  <c r="AT1097" i="7"/>
  <c r="AT1105" i="7"/>
  <c r="AT1136" i="7"/>
  <c r="AT1186" i="7"/>
  <c r="AT1226" i="7"/>
  <c r="AT1106" i="7"/>
  <c r="AT1113" i="7"/>
  <c r="AT1117" i="7"/>
  <c r="AT1125" i="7"/>
  <c r="AT1158" i="7"/>
  <c r="AT1174" i="7"/>
  <c r="AT1224" i="7"/>
  <c r="AT972" i="7"/>
  <c r="AT995" i="7"/>
  <c r="AT1010" i="7"/>
  <c r="AT1028" i="7"/>
  <c r="AT1057" i="7"/>
  <c r="AT1063" i="7"/>
  <c r="AT1078" i="7"/>
  <c r="AT1083" i="7"/>
  <c r="AT1151" i="7"/>
  <c r="AT1181" i="7"/>
  <c r="AT1204" i="7"/>
  <c r="AT1240" i="7"/>
  <c r="AT1252" i="7"/>
  <c r="AT1139" i="7"/>
  <c r="AT1175" i="7"/>
  <c r="AT1205" i="7"/>
  <c r="AT1216" i="7"/>
  <c r="AT1242" i="7"/>
  <c r="AT1143" i="7"/>
  <c r="AT1167" i="7"/>
  <c r="AT1179" i="7"/>
  <c r="AT1199" i="7"/>
  <c r="AT1222" i="7"/>
  <c r="AT1259" i="7"/>
  <c r="AT1035" i="7"/>
  <c r="AT1058" i="7"/>
  <c r="AT1062" i="7"/>
  <c r="AT1076" i="7"/>
  <c r="AT1080" i="7"/>
  <c r="AT1124" i="7"/>
  <c r="AT1150" i="7"/>
  <c r="AT1168" i="7"/>
  <c r="AT1183" i="7"/>
  <c r="AT1214" i="7"/>
  <c r="AT1239" i="7"/>
  <c r="AT1250" i="7"/>
  <c r="AT1111" i="7"/>
  <c r="AT1140" i="7"/>
  <c r="AT1165" i="7"/>
  <c r="AT1197" i="7"/>
  <c r="AT1207" i="7"/>
  <c r="AT1217" i="7"/>
  <c r="AT1230" i="7"/>
  <c r="AT1258" i="7"/>
  <c r="AT1133" i="7"/>
  <c r="AT1144" i="7"/>
  <c r="AT1166" i="7"/>
  <c r="AT1177" i="7"/>
  <c r="AT1190" i="7"/>
  <c r="AT1200" i="7"/>
  <c r="AT1221" i="7"/>
  <c r="AT1233" i="7"/>
  <c r="AT1244" i="7"/>
  <c r="AT1260" i="7"/>
  <c r="AT934" i="7"/>
  <c r="AT1237" i="7"/>
  <c r="AT905" i="7"/>
  <c r="AT965" i="7"/>
  <c r="AT962" i="7"/>
  <c r="AT349" i="7"/>
  <c r="AT1159" i="7"/>
  <c r="AT451" i="7"/>
  <c r="CB519" i="7"/>
  <c r="AT927" i="7"/>
  <c r="AT1046" i="7"/>
  <c r="AT928" i="7"/>
  <c r="AT1047" i="7"/>
  <c r="F10" i="5"/>
  <c r="CB355" i="7" l="1"/>
  <c r="D19" i="7"/>
  <c r="C9" i="4" l="1"/>
  <c r="V419" i="3" l="1"/>
  <c r="V456" i="3"/>
  <c r="U14" i="3"/>
  <c r="V1249" i="3"/>
  <c r="U986" i="3"/>
  <c r="V986" i="3" s="1"/>
  <c r="U1268" i="3"/>
  <c r="U13" i="3" l="1"/>
</calcChain>
</file>

<file path=xl/comments1.xml><?xml version="1.0" encoding="utf-8"?>
<comments xmlns="http://schemas.openxmlformats.org/spreadsheetml/2006/main">
  <authors>
    <author>Татьяна Николаевна Базжина</author>
    <author/>
    <author>RePack by Diakov</author>
  </authors>
  <commentList>
    <comment ref="N269" authorId="0" shapeId="0">
      <text>
        <r>
          <rPr>
            <b/>
            <sz val="36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36"/>
            <color indexed="81"/>
            <rFont val="Tahoma"/>
            <family val="2"/>
            <charset val="204"/>
          </rPr>
          <t xml:space="preserve">
Будет 2-й этап на 377278,61, выставили
</t>
        </r>
      </text>
    </comment>
    <comment ref="AD285" authorId="0" shapeId="0">
      <text>
        <r>
          <rPr>
            <b/>
            <sz val="48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48"/>
            <color indexed="81"/>
            <rFont val="Tahoma"/>
            <family val="2"/>
            <charset val="204"/>
          </rPr>
          <t xml:space="preserve">
с учетом ПСД на фасад</t>
        </r>
      </text>
    </comment>
    <comment ref="AD426" authorId="1" shapeId="0">
      <text>
        <r>
          <rPr>
            <sz val="11"/>
            <color rgb="FF000000"/>
            <rFont val="Calibri"/>
            <family val="2"/>
            <charset val="204"/>
          </rPr>
          <t xml:space="preserve">Татьяна Николаевна Базжина:
</t>
        </r>
        <r>
          <rPr>
            <sz val="48"/>
            <color rgb="FF000000"/>
            <rFont val="Tahoma"/>
            <family val="2"/>
            <charset val="204"/>
          </rPr>
          <t xml:space="preserve">есть МО
</t>
        </r>
      </text>
    </comment>
    <comment ref="C502" authorId="2" shapeId="0">
      <text>
        <r>
          <rPr>
            <b/>
            <sz val="16"/>
            <color indexed="81"/>
            <rFont val="Tahoma"/>
            <family val="2"/>
            <charset val="204"/>
          </rPr>
          <t>RePack by Diakov:</t>
        </r>
        <r>
          <rPr>
            <sz val="36"/>
            <color indexed="81"/>
            <rFont val="Tahoma"/>
            <family val="2"/>
            <charset val="204"/>
          </rPr>
          <t xml:space="preserve">
корп.1</t>
        </r>
      </text>
    </comment>
    <comment ref="C503" authorId="2" shapeId="0">
      <text>
        <r>
          <rPr>
            <b/>
            <sz val="14"/>
            <color indexed="81"/>
            <rFont val="Tahoma"/>
            <family val="2"/>
            <charset val="204"/>
          </rPr>
          <t>RePack by Diakov:</t>
        </r>
        <r>
          <rPr>
            <sz val="36"/>
            <color indexed="81"/>
            <rFont val="Tahoma"/>
            <family val="2"/>
            <charset val="204"/>
          </rPr>
          <t xml:space="preserve">
корп.3</t>
        </r>
      </text>
    </comment>
    <comment ref="C504" authorId="2" shapeId="0">
      <text>
        <r>
          <rPr>
            <b/>
            <sz val="18"/>
            <color indexed="81"/>
            <rFont val="Tahoma"/>
            <family val="2"/>
            <charset val="204"/>
          </rPr>
          <t>RePack by Diakov: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  <r>
          <rPr>
            <sz val="48"/>
            <color indexed="81"/>
            <rFont val="Tahoma"/>
            <family val="2"/>
            <charset val="204"/>
          </rPr>
          <t>корп.3</t>
        </r>
      </text>
    </comment>
    <comment ref="C505" authorId="2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36"/>
            <color indexed="81"/>
            <rFont val="Tahoma"/>
            <family val="2"/>
            <charset val="204"/>
          </rPr>
          <t>корп.1</t>
        </r>
      </text>
    </comment>
  </commentList>
</comments>
</file>

<file path=xl/comments2.xml><?xml version="1.0" encoding="utf-8"?>
<comments xmlns="http://schemas.openxmlformats.org/spreadsheetml/2006/main">
  <authors>
    <author>Татьяна Николаевна Базжина</author>
    <author>Екатерина Александровна Бутылина</author>
  </authors>
  <commentList>
    <comment ref="AE49" authorId="0" shapeId="0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36"/>
            <color indexed="81"/>
            <rFont val="Tahoma"/>
            <family val="2"/>
            <charset val="204"/>
          </rPr>
          <t xml:space="preserve">Оплачено только 6284,85
</t>
        </r>
      </text>
    </comment>
    <comment ref="C215" authorId="1" shapeId="0">
      <text>
        <r>
          <rPr>
            <sz val="36"/>
            <color indexed="81"/>
            <rFont val="Tahoma"/>
            <family val="2"/>
            <charset val="204"/>
          </rPr>
          <t xml:space="preserve">
корп. 1
</t>
        </r>
      </text>
    </comment>
  </commentList>
</comments>
</file>

<file path=xl/sharedStrings.xml><?xml version="1.0" encoding="utf-8"?>
<sst xmlns="http://schemas.openxmlformats.org/spreadsheetml/2006/main" count="12728" uniqueCount="1955">
  <si>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</si>
  <si>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</si>
  <si>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</si>
  <si>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</si>
  <si>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</si>
  <si>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</si>
  <si>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</si>
  <si>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</si>
  <si>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</si>
  <si>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</si>
  <si>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</si>
  <si>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</si>
  <si>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</si>
  <si>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</si>
  <si>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</si>
  <si>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</si>
  <si>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</si>
  <si>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</si>
  <si>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</si>
  <si>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</si>
  <si>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</si>
  <si>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</si>
  <si>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</si>
  <si>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</si>
  <si>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</si>
  <si>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</si>
  <si>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</si>
  <si>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</si>
  <si>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</si>
  <si>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</si>
  <si>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</si>
  <si>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</si>
  <si>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</si>
  <si>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</si>
  <si>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</si>
  <si>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</si>
  <si>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</si>
  <si>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</si>
  <si>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</si>
  <si>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</si>
  <si>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</si>
  <si>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</si>
  <si>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</si>
  <si>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</si>
  <si>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</si>
  <si>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</si>
  <si>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</si>
  <si>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</si>
  <si>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</si>
  <si>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</si>
  <si>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</si>
  <si>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</si>
  <si>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</si>
  <si>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</si>
  <si>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</si>
  <si>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</si>
  <si>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</si>
  <si>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</si>
  <si>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</si>
  <si>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</si>
  <si>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</si>
  <si>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</si>
  <si>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</si>
  <si>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</si>
  <si>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</si>
  <si>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</si>
  <si>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</si>
  <si>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</si>
  <si>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</si>
  <si>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</si>
  <si>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</si>
  <si>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</si>
  <si>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</si>
  <si>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</si>
  <si>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</si>
  <si>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</si>
  <si>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</si>
  <si>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</si>
  <si>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</si>
  <si>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</si>
  <si>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</si>
  <si>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</si>
  <si>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</si>
  <si>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</si>
  <si>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</si>
  <si>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</si>
  <si>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</si>
  <si>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</si>
  <si>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</si>
  <si>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</si>
  <si>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</si>
  <si>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</si>
  <si>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</si>
  <si>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</si>
  <si>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</si>
  <si>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</si>
  <si>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</si>
  <si>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</si>
  <si>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</si>
  <si>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</si>
  <si>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</si>
  <si>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</si>
  <si>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</si>
  <si>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</si>
  <si>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</si>
  <si>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</si>
  <si>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</si>
  <si>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</si>
  <si>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</si>
  <si>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</si>
  <si>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</si>
  <si>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</si>
  <si>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</si>
  <si>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</si>
  <si>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</si>
  <si>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</si>
  <si>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</si>
  <si>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</si>
  <si>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</si>
  <si>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</si>
  <si>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</si>
  <si>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</si>
  <si>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</si>
  <si>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</si>
  <si>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</si>
  <si>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</si>
  <si>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</si>
  <si>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</si>
  <si>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</si>
  <si>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</si>
  <si>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</si>
  <si>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</si>
  <si>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</si>
  <si>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</si>
  <si>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</si>
  <si>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</si>
  <si>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</si>
  <si>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</si>
  <si>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</si>
  <si>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</si>
  <si>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</si>
  <si>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</si>
  <si>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</si>
  <si>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</si>
  <si>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</si>
  <si>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</si>
  <si>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</si>
  <si>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</si>
  <si>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</si>
  <si>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</si>
  <si>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</si>
  <si>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</si>
  <si>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</si>
  <si>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</si>
  <si>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</si>
  <si>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</si>
  <si>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</si>
  <si>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</si>
  <si>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</si>
  <si>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</si>
  <si>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</si>
  <si>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</si>
  <si>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</si>
  <si>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</si>
  <si>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</si>
  <si>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</si>
  <si>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</si>
  <si>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</si>
  <si>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</si>
  <si>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</si>
  <si>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</si>
  <si>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</si>
  <si>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</si>
  <si>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</si>
  <si>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</si>
  <si>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</si>
  <si>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</si>
  <si>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</si>
  <si>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</si>
  <si>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</si>
  <si>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</si>
  <si>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</si>
  <si>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</si>
  <si>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</si>
  <si>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</si>
  <si>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</si>
  <si>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</si>
  <si>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</si>
  <si>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</si>
  <si>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</si>
  <si>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</si>
  <si>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</si>
  <si>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</si>
  <si>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</si>
  <si>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</si>
  <si>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</si>
  <si>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</si>
  <si>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</si>
  <si>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Садовый п, Центральная ул, 4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</si>
  <si>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</si>
  <si>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</si>
  <si>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</si>
  <si>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</si>
  <si>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</si>
  <si>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</si>
  <si>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</si>
  <si>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</si>
  <si>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</si>
  <si>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</si>
  <si>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</si>
  <si>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</si>
  <si>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</si>
  <si>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</si>
  <si>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</si>
  <si>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</si>
  <si>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</si>
  <si>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</si>
  <si>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</si>
  <si>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</si>
  <si>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</si>
  <si>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</si>
  <si>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</si>
  <si>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</si>
  <si>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</si>
  <si>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</si>
  <si>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</si>
  <si>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</si>
  <si>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</si>
  <si>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</si>
  <si>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</si>
  <si>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</si>
  <si>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</si>
  <si>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</si>
  <si>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</si>
  <si>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</si>
  <si>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</si>
  <si>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</si>
  <si>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</si>
  <si>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</si>
  <si>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</si>
  <si>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</si>
  <si>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</si>
  <si>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</si>
  <si>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</si>
  <si>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</si>
  <si>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</si>
  <si>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</si>
  <si>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</si>
  <si>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</si>
  <si>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</si>
  <si>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</si>
  <si>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</si>
  <si>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</si>
  <si>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</si>
  <si>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</si>
  <si>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</si>
  <si>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</si>
  <si>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</si>
  <si>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</si>
  <si>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</si>
  <si>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</si>
  <si>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</si>
  <si>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</si>
  <si>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</si>
  <si>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</si>
  <si>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</si>
  <si>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</si>
  <si>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</si>
  <si>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</si>
  <si>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</si>
  <si>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</si>
  <si>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</si>
  <si>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</si>
  <si>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</si>
  <si>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</si>
  <si>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</si>
  <si>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</si>
  <si>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</si>
  <si>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</si>
  <si>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</si>
  <si>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</si>
  <si>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</si>
  <si>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</si>
  <si>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</si>
  <si>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</si>
  <si>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</si>
  <si>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</si>
  <si>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</si>
  <si>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</si>
  <si>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</si>
  <si>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</si>
  <si>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</si>
  <si>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</si>
  <si>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</si>
  <si>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</si>
  <si>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</si>
  <si>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</si>
  <si>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</si>
  <si>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</si>
  <si>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</si>
  <si>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</si>
  <si>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</si>
  <si>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</si>
  <si>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</si>
  <si>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</si>
  <si>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</si>
  <si>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</si>
  <si>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</si>
  <si>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</si>
  <si>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</si>
  <si>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</si>
  <si>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</si>
  <si>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</si>
  <si>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</si>
  <si>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</si>
  <si>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</si>
  <si>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</si>
  <si>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</si>
  <si>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</si>
  <si>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</si>
  <si>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</si>
  <si>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</si>
  <si>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</si>
  <si>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</si>
  <si>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</si>
  <si>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</si>
  <si>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</si>
  <si>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</si>
  <si>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</si>
  <si>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</si>
  <si>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</si>
  <si>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</si>
  <si>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</si>
  <si>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</si>
  <si>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</si>
  <si>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</si>
  <si>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</si>
  <si>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</si>
  <si>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</si>
  <si>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</si>
  <si>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</si>
  <si>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</si>
  <si>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</si>
  <si>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</si>
  <si>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</si>
  <si>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</si>
  <si>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</si>
  <si>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</si>
  <si>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</si>
  <si>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</si>
  <si>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</si>
  <si>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</si>
  <si>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</si>
  <si>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</si>
  <si>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</si>
  <si>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</si>
  <si>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</si>
  <si>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</si>
  <si>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</si>
  <si>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</si>
  <si>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</si>
  <si>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</si>
  <si>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</si>
  <si>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</si>
  <si>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</si>
  <si>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</si>
  <si>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</si>
  <si>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</si>
  <si>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</si>
  <si>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</si>
  <si>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</si>
  <si>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</si>
  <si>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</si>
  <si>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</si>
  <si>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</si>
  <si>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</si>
  <si>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</si>
  <si>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</si>
  <si>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</si>
  <si>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</si>
  <si>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</si>
  <si>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</si>
  <si>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1973</t>
  </si>
  <si>
    <t>1963</t>
  </si>
  <si>
    <t>1965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</si>
  <si>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</si>
  <si>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</si>
  <si>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</si>
  <si>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</si>
  <si>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</si>
  <si>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</si>
  <si>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</si>
  <si>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</si>
  <si>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</si>
  <si>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</si>
  <si>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</si>
  <si>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</si>
  <si>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</si>
  <si>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</si>
  <si>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</si>
  <si>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</si>
  <si>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</si>
  <si>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</si>
  <si>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</si>
  <si>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</si>
  <si>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</si>
  <si>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</si>
  <si>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</si>
  <si>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</si>
  <si>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</si>
  <si>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</si>
  <si>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</si>
  <si>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</si>
  <si>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</si>
  <si>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</si>
  <si>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</si>
  <si>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</si>
  <si>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</si>
  <si>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</si>
  <si>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</si>
  <si>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</si>
  <si>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</si>
  <si>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</si>
  <si>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</si>
  <si>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</si>
  <si>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</si>
  <si>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</si>
  <si>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</si>
  <si>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</si>
  <si>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</si>
  <si>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</si>
  <si>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</si>
  <si>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</si>
  <si>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</si>
  <si>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</si>
  <si>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</si>
  <si>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</si>
  <si>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</si>
  <si>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</si>
  <si>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</si>
  <si>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</si>
  <si>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</si>
  <si>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</si>
  <si>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</si>
  <si>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</si>
  <si>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</si>
  <si>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</si>
  <si>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</si>
  <si>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</si>
  <si>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</si>
  <si>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</si>
  <si>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</si>
  <si>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</si>
  <si>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</si>
  <si>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</si>
  <si>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</si>
  <si>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</si>
  <si>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</si>
  <si>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</si>
  <si>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</si>
  <si>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</si>
  <si>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</si>
  <si>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</si>
  <si>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</si>
  <si>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</si>
  <si>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</si>
  <si>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</si>
  <si>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</si>
  <si>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</si>
  <si>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</si>
  <si>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</si>
  <si>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</si>
  <si>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</si>
  <si>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</si>
  <si>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</si>
  <si>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</si>
  <si>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</si>
  <si>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</si>
  <si>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</si>
  <si>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</si>
  <si>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</si>
  <si>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</si>
  <si>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</si>
  <si>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</si>
  <si>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</si>
  <si>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</si>
  <si>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</si>
  <si>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</si>
  <si>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</si>
  <si>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</si>
  <si>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</si>
  <si>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</si>
  <si>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</si>
  <si>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</si>
  <si>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</si>
  <si>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</si>
  <si>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</si>
  <si>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</si>
  <si>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</si>
  <si>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</si>
  <si>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</si>
  <si>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</si>
  <si>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</si>
  <si>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</si>
  <si>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</si>
  <si>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</si>
  <si>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</si>
  <si>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Коммунар мкр, Песочная ул, 11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</si>
  <si>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</si>
  <si>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</si>
  <si>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</si>
  <si>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</si>
  <si>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</si>
  <si>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</si>
  <si>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</si>
  <si>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</si>
  <si>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</si>
  <si>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</si>
  <si>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</si>
  <si>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</si>
  <si>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</si>
  <si>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</si>
  <si>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</si>
  <si>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</si>
  <si>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</si>
  <si>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</si>
  <si>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</si>
  <si>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</si>
  <si>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</si>
  <si>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</si>
  <si>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</si>
  <si>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</si>
  <si>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</si>
  <si>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</si>
  <si>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</si>
  <si>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</si>
  <si>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</si>
  <si>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</si>
  <si>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</si>
  <si>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</si>
  <si>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</si>
  <si>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</si>
  <si>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</si>
  <si>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</si>
  <si>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</si>
  <si>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</si>
  <si>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</si>
  <si>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</si>
  <si>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</si>
  <si>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</si>
  <si>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</si>
  <si>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</si>
  <si>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</si>
  <si>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</si>
  <si>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Мира ул, 32Б</t>
  </si>
  <si>
    <t>Владимир г, Мира ул, 42</t>
  </si>
  <si>
    <t>Владимир г, Михайловская ул, 20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</si>
  <si>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</si>
  <si>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</si>
  <si>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</si>
  <si>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</si>
  <si>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</si>
  <si>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</si>
  <si>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</si>
  <si>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</si>
  <si>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</si>
  <si>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</si>
  <si>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</si>
  <si>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</si>
  <si>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</si>
  <si>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</si>
  <si>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</si>
  <si>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</si>
  <si>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</si>
  <si>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</si>
  <si>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</si>
  <si>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</si>
  <si>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</si>
  <si>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</si>
  <si>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</si>
  <si>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</si>
  <si>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</si>
  <si>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</si>
  <si>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</si>
  <si>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</si>
  <si>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</si>
  <si>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</si>
  <si>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</si>
  <si>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</si>
  <si>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</si>
  <si>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</si>
  <si>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</si>
  <si>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</si>
  <si>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</si>
  <si>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153</t>
  </si>
  <si>
    <t>Владимир г, Ленина пр-кт, 35Б</t>
  </si>
  <si>
    <t>Владимир г, Ленина пр-кт, 67Б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</si>
  <si>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</si>
  <si>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</si>
  <si>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</si>
  <si>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</si>
  <si>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</si>
  <si>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</si>
  <si>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</si>
  <si>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</si>
  <si>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</si>
  <si>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</si>
  <si>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</si>
  <si>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</si>
  <si>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</si>
  <si>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</si>
  <si>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Фатьянова ул, 24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</si>
  <si>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</si>
  <si>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</si>
  <si>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</si>
  <si>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</si>
  <si>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</si>
  <si>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</si>
  <si>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</si>
  <si>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</si>
  <si>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</si>
  <si>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</si>
  <si>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</si>
  <si>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</si>
  <si>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</si>
  <si>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</si>
  <si>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</si>
  <si>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</si>
  <si>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</si>
  <si>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</si>
  <si>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</si>
  <si>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</si>
  <si>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</si>
  <si>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</si>
  <si>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</si>
  <si>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</si>
  <si>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</si>
  <si>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</si>
  <si>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</si>
  <si>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</si>
  <si>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</si>
  <si>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</si>
  <si>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</si>
  <si>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</si>
  <si>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</si>
  <si>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</si>
  <si>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</si>
  <si>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</si>
  <si>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</si>
  <si>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</si>
  <si>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</si>
  <si>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</si>
  <si>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</si>
  <si>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</si>
  <si>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</si>
  <si>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</si>
  <si>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</si>
  <si>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</si>
  <si>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</si>
  <si>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</si>
  <si>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</si>
  <si>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</si>
  <si>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</si>
  <si>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</si>
  <si>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</si>
  <si>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</si>
  <si>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</si>
  <si>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</si>
  <si>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</si>
  <si>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</si>
  <si>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</si>
  <si>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</si>
  <si>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</si>
  <si>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</si>
  <si>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</si>
  <si>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</si>
  <si>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</si>
  <si>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</si>
  <si>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</si>
  <si>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</si>
  <si>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</si>
  <si>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</si>
  <si>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</si>
  <si>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</si>
  <si>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</si>
  <si>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</si>
  <si>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</si>
  <si>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</si>
  <si>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</si>
  <si>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</si>
  <si>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</si>
  <si>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</si>
  <si>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</si>
  <si>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</si>
  <si>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</si>
  <si>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</si>
  <si>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</si>
  <si>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</si>
  <si>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</si>
  <si>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</si>
  <si>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</si>
  <si>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</si>
  <si>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</si>
  <si>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</si>
  <si>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</si>
  <si>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</si>
  <si>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</si>
  <si>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</si>
  <si>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</si>
  <si>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</si>
  <si>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</si>
  <si>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</si>
  <si>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</si>
  <si>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</si>
  <si>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</si>
  <si>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</si>
  <si>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</si>
  <si>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</si>
  <si>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</si>
  <si>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</si>
  <si>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</si>
  <si>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</si>
  <si>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</si>
  <si>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</si>
  <si>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</si>
  <si>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</si>
  <si>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</si>
  <si>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</si>
  <si>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</si>
  <si>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</si>
  <si>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</si>
  <si>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</si>
  <si>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</si>
  <si>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</si>
  <si>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</si>
  <si>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</si>
  <si>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</si>
  <si>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</si>
  <si>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</si>
  <si>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</si>
  <si>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</si>
  <si>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</si>
  <si>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</si>
  <si>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</si>
  <si>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</si>
  <si>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</si>
  <si>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</si>
  <si>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</si>
  <si>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</si>
  <si>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</si>
  <si>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</si>
  <si>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</si>
  <si>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</si>
  <si>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</si>
  <si>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</si>
  <si>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</si>
  <si>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</si>
  <si>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</si>
  <si>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</si>
  <si>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</si>
  <si>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</si>
  <si>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</si>
  <si>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</si>
  <si>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</si>
  <si>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</si>
  <si>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</si>
  <si>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</si>
  <si>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</si>
  <si>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</si>
  <si>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</si>
  <si>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</si>
  <si>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</si>
  <si>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</si>
  <si>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</si>
  <si>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</si>
  <si>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</si>
  <si>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</si>
  <si>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</si>
  <si>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</si>
  <si>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</si>
  <si>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</si>
  <si>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</si>
  <si>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</si>
  <si>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</si>
  <si>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</si>
  <si>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</si>
  <si>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</si>
  <si>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</si>
  <si>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</si>
  <si>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</si>
  <si>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</si>
  <si>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</si>
  <si>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</si>
  <si>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</si>
  <si>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</si>
  <si>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</si>
  <si>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</si>
  <si>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</si>
  <si>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</si>
  <si>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</si>
  <si>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</si>
  <si>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</si>
  <si>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</si>
  <si>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</si>
  <si>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</si>
  <si>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</si>
  <si>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</si>
  <si>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</si>
  <si>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</si>
  <si>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</si>
  <si>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</si>
  <si>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</si>
  <si>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</si>
  <si>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</si>
  <si>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</si>
  <si>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</si>
  <si>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</si>
  <si>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</si>
  <si>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</si>
  <si>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</si>
  <si>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</si>
  <si>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</si>
  <si>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</si>
  <si>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</si>
  <si>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</si>
  <si>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</si>
  <si>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</si>
  <si>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</si>
  <si>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</si>
  <si>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</si>
  <si>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</si>
  <si>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</si>
  <si>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</si>
  <si>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</si>
  <si>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</si>
  <si>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</si>
  <si>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</si>
  <si>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</si>
  <si>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</si>
  <si>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</si>
  <si>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</si>
  <si>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</si>
  <si>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</si>
  <si>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</si>
  <si>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</si>
  <si>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</si>
  <si>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</si>
  <si>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</si>
  <si>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</si>
  <si>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</si>
  <si>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</si>
  <si>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</si>
  <si>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</si>
  <si>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</si>
  <si>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</si>
  <si>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</si>
  <si>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</si>
  <si>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</si>
  <si>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</si>
  <si>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</si>
  <si>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</si>
  <si>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</si>
  <si>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</si>
  <si>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</si>
  <si>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</si>
  <si>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</si>
  <si>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</si>
  <si>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</si>
  <si>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</si>
  <si>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</si>
  <si>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</si>
  <si>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</si>
  <si>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</si>
  <si>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</si>
  <si>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</si>
  <si>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</si>
  <si>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</si>
  <si>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</si>
  <si>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</si>
  <si>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</si>
  <si>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</si>
  <si>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</si>
  <si>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</si>
  <si>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</si>
  <si>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</si>
  <si>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</si>
  <si>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</si>
  <si>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</si>
  <si>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</si>
  <si>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</si>
  <si>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</si>
  <si>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</si>
  <si>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</si>
  <si>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</si>
  <si>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</si>
  <si>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</si>
  <si>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</si>
  <si>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</si>
  <si>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</si>
  <si>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</si>
  <si>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</si>
  <si>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</si>
  <si>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</si>
  <si>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</si>
  <si>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</si>
  <si>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</si>
  <si>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</si>
  <si>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</si>
  <si>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</si>
  <si>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</si>
  <si>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</si>
  <si>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</si>
  <si>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</si>
  <si>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</si>
  <si>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</si>
  <si>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</si>
  <si>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</si>
  <si>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</si>
  <si>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</si>
  <si>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</si>
  <si>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</si>
  <si>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</si>
  <si>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</si>
  <si>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</si>
  <si>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</si>
  <si>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</si>
  <si>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</si>
  <si>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</si>
  <si>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</si>
  <si>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</si>
  <si>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</si>
  <si>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</si>
  <si>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</si>
  <si>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</si>
  <si>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</si>
  <si>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</si>
  <si>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</si>
  <si>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</si>
  <si>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</si>
  <si>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</si>
  <si>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</si>
  <si>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</si>
  <si>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</si>
  <si>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</si>
  <si>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</si>
  <si>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</si>
  <si>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</si>
  <si>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</si>
  <si>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</si>
  <si>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</si>
  <si>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</si>
  <si>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</si>
  <si>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</si>
  <si>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</si>
  <si>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</si>
  <si>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</si>
  <si>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</si>
  <si>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</si>
  <si>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</si>
  <si>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</si>
  <si>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</si>
  <si>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</si>
  <si>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</si>
  <si>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</si>
  <si>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</si>
  <si>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</si>
  <si>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</si>
  <si>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</si>
  <si>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</si>
  <si>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</si>
  <si>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</si>
  <si>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</si>
  <si>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</si>
  <si>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</si>
  <si>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</si>
  <si>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</si>
  <si>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</si>
  <si>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</si>
  <si>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</si>
  <si>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</si>
  <si>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</si>
  <si>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</si>
  <si>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</si>
  <si>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</si>
  <si>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</si>
  <si>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</si>
  <si>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</si>
  <si>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</si>
  <si>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</si>
  <si>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</si>
  <si>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</si>
  <si>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</si>
  <si>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</si>
  <si>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</si>
  <si>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</si>
  <si>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</si>
  <si>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</si>
  <si>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</si>
  <si>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</si>
  <si>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</si>
  <si>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</si>
  <si>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</si>
  <si>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>ООО "Универсалстрой"</t>
  </si>
  <si>
    <t>ООО УК "Старый город"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</si>
  <si>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</si>
  <si>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</si>
  <si>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</si>
  <si>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</si>
  <si>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</si>
  <si>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</si>
  <si>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</si>
  <si>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</si>
  <si>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</si>
  <si>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</si>
  <si>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</si>
  <si>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</si>
  <si>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</si>
  <si>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</si>
  <si>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</si>
  <si>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</si>
  <si>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</si>
  <si>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</si>
  <si>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</si>
  <si>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</si>
  <si>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</si>
  <si>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</si>
  <si>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</si>
  <si>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</si>
  <si>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</si>
  <si>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</si>
  <si>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</si>
  <si>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</si>
  <si>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</si>
  <si>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</si>
  <si>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</si>
  <si>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</si>
  <si>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</si>
  <si>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</si>
  <si>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</si>
  <si>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</si>
  <si>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</si>
  <si>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</si>
  <si>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</si>
  <si>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</si>
  <si>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</si>
  <si>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</si>
  <si>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</si>
  <si>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</si>
  <si>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</si>
  <si>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</si>
  <si>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</si>
  <si>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</si>
  <si>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</si>
  <si>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</si>
  <si>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</si>
  <si>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</si>
  <si>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</si>
  <si>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</si>
  <si>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</si>
  <si>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</si>
  <si>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</si>
  <si>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</si>
  <si>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</si>
  <si>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</si>
  <si>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</si>
  <si>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</si>
  <si>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</si>
  <si>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</si>
  <si>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</si>
  <si>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</si>
  <si>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</si>
  <si>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</si>
  <si>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</si>
  <si>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</si>
  <si>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</si>
  <si>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</si>
  <si>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</si>
  <si>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</si>
  <si>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</si>
  <si>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</si>
  <si>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</si>
  <si>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</si>
  <si>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</si>
  <si>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</si>
  <si>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</si>
  <si>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</si>
  <si>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</si>
  <si>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</si>
  <si>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</si>
  <si>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</si>
  <si>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</si>
  <si>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Ковров г, Пугачева ул, 29</t>
  </si>
  <si>
    <t>Ковров г, Ковров-8 тер, 8 </t>
  </si>
  <si>
    <t>ООО "Жилищник-Центр" </t>
  </si>
  <si>
    <t>Владимир г, Березина ул, 3</t>
  </si>
  <si>
    <t>Суздальский р-н, Новое с, Молодежная ул, 1</t>
  </si>
  <si>
    <t>ООО "УК СОДРУЖЕСТВО"</t>
  </si>
  <si>
    <t>ТСН "СОГЛАСИЕ 108"</t>
  </si>
  <si>
    <t>ООО "УК"Меленковского района"</t>
  </si>
  <si>
    <t>ООО "ЖКХ"УЮТ"</t>
  </si>
  <si>
    <t>ООО "ЖЭК №4"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</si>
  <si>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</si>
  <si>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</si>
  <si>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</si>
  <si>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</si>
  <si>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</si>
  <si>
    <t>Юрьев-Польский р-н, Небылое с, Луговая ул, 1</t>
  </si>
  <si>
    <t>Александров г, Гагарина ул, 1</t>
  </si>
  <si>
    <t>Александровский р-н, Балакирево пгт, Радужный кв-л, 2</t>
  </si>
  <si>
    <t>Владимир г, Безыменского ул, 14</t>
  </si>
  <si>
    <t>Владимир г, Большая Нижегородская ул, 34</t>
  </si>
  <si>
    <t>Владимир г, Большая Нижегородская ул, 32</t>
  </si>
  <si>
    <t>Владимир г, Диктора Левитана ул, 1А</t>
  </si>
  <si>
    <t>Владимир г, Казарменная ул, 9</t>
  </si>
  <si>
    <t>Владимир г, Кирова ул, 9</t>
  </si>
  <si>
    <t>Владимир г, Комиссарова ул, 35а</t>
  </si>
  <si>
    <t>Владимир г, Красноармейская ул, 32</t>
  </si>
  <si>
    <t>Владимир г, Красноармейская ул, 43</t>
  </si>
  <si>
    <t>Владимир г, Лакина ул, 145</t>
  </si>
  <si>
    <t>Владимир г, Лакина ул, 157А</t>
  </si>
  <si>
    <t>Владимир г, Луначарского ул, 27</t>
  </si>
  <si>
    <t>Владимир г, Модорова ул, 6</t>
  </si>
  <si>
    <t>Владимир г, Октябрьский военный городок, 23</t>
  </si>
  <si>
    <t>Владимир г, Рабочая ул, 13</t>
  </si>
  <si>
    <t>Владимир г, Строителей пр-кт, 17</t>
  </si>
  <si>
    <t>Владимир г, Строителей пр-кт, 32</t>
  </si>
  <si>
    <t>Владимир г, Строителей пр-кт, 36</t>
  </si>
  <si>
    <t>Владимир г, Строителей пр-кт, 40</t>
  </si>
  <si>
    <t>Владимир г, Соколова-Соколенка ул, 22</t>
  </si>
  <si>
    <t>Владимир г, Суздальский пр-кт, 25</t>
  </si>
  <si>
    <t>Владимир г, Труда ул, 10/20</t>
  </si>
  <si>
    <t>Владимир г, Электроприборовский проезд, 7</t>
  </si>
  <si>
    <t>Владимир г, Гагарина ул, 10</t>
  </si>
  <si>
    <t>Владимир г, 1-я Пионерская ул, 59</t>
  </si>
  <si>
    <t>Владимир г, Чайковского ул, 19/1</t>
  </si>
  <si>
    <t>Владимир г, Комиссарова ул, 12а</t>
  </si>
  <si>
    <t>Владимир г, Мира ул, 26</t>
  </si>
  <si>
    <t>Владимир г, 1-я Пионерская ул, 67</t>
  </si>
  <si>
    <t>Владимир г, Горького ул, 61</t>
  </si>
  <si>
    <t>Владимир г, Горького ул, 72</t>
  </si>
  <si>
    <t>Владимир г, Ильича ул, 7б</t>
  </si>
  <si>
    <t>Владимир г, Ильича ул, 13</t>
  </si>
  <si>
    <t>Владимир г, Северная ул, 15</t>
  </si>
  <si>
    <t>Владимир г, Труда ул, 14А</t>
  </si>
  <si>
    <t>Владимир г, Энергетик мкр, Энергетиков ул, 2Б</t>
  </si>
  <si>
    <t>Владимир г, Чайковского ул, 38В</t>
  </si>
  <si>
    <t>Владимир г, Добросельская ул, 161</t>
  </si>
  <si>
    <t>Владимир г, Баумана ул, 4</t>
  </si>
  <si>
    <t>Владимир г, Даргомыжского ул, 20</t>
  </si>
  <si>
    <t>Владимир г, Электроприборовский проезд, 4</t>
  </si>
  <si>
    <t>Владимир г, Большая Нижегородская ул, 99а</t>
  </si>
  <si>
    <t>Гусь-Хрустальный г, Муравьева-Апостола ул, 10</t>
  </si>
  <si>
    <t>Гусь-Хрустальный г, 2-я Народная ул, 2</t>
  </si>
  <si>
    <t>Гусь-Хрустальный г, Луначарского ул, 7</t>
  </si>
  <si>
    <t>Гусь-Хрустальный г, Осьмова ул, 7</t>
  </si>
  <si>
    <t>Гусь-Хрустальный г, Осьмова ул, 8</t>
  </si>
  <si>
    <t>Гусь-Хрустальный г, Плеханова ул, 1</t>
  </si>
  <si>
    <t>Гусь-Хрустальный г, 50 лет Советской Власти пр-кт, 25</t>
  </si>
  <si>
    <t>Гусь-Хрустальный г, Гусевский п, Мира ул, 11</t>
  </si>
  <si>
    <t>Гусь-Хрустальный г, Революции ул, 17/7</t>
  </si>
  <si>
    <t>Гусь-Хрустальный г, Рудницкой ул, 13</t>
  </si>
  <si>
    <t>Гусь-Хрустальный г, Транспортная ул, 13</t>
  </si>
  <si>
    <t>Гусь-Хрустальный г, Красных Партизан ул, 72/29</t>
  </si>
  <si>
    <t>Гусь-Хрустальный г, Ломоносова ул, 2а/8а</t>
  </si>
  <si>
    <t>Гусь-Хрустальный г, Теплицкий пр-кт, 4</t>
  </si>
  <si>
    <t>Гусь-Хрустальный г, Гусевский п, Интернациональная ул, 10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</si>
  <si>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</si>
  <si>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</si>
  <si>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</si>
  <si>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</si>
  <si>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</si>
  <si>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</si>
  <si>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</si>
  <si>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</si>
  <si>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</si>
  <si>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</si>
  <si>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</si>
  <si>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</si>
  <si>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</si>
  <si>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</si>
  <si>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Ковров г, 19 Партсъезда ул, 3</t>
  </si>
  <si>
    <t>Ковров г, Ковров-8 тер, 3</t>
  </si>
  <si>
    <t>Ковров г, Первомайская ул, 21</t>
  </si>
  <si>
    <t>Ковров г, Ковров-8 тер, 9</t>
  </si>
  <si>
    <t>Ковров г, Абельмана ул, 22</t>
  </si>
  <si>
    <t>Ковров г, Еловая ул, 86</t>
  </si>
  <si>
    <t>Ковров г, Кузнечная ул, 6А</t>
  </si>
  <si>
    <t>Ковров г, Пугачева ул, 35</t>
  </si>
  <si>
    <t>Ковров г, Волго-Донская ул, 6</t>
  </si>
  <si>
    <t>Ковров г, Туманова ул, 4</t>
  </si>
  <si>
    <t>Ковров г, Еловая ул, 82/1</t>
  </si>
  <si>
    <t>Радужный г, 1-й кв-л, 17</t>
  </si>
  <si>
    <t>Радужный г, 9-й кв-л, 8</t>
  </si>
  <si>
    <t>Александров г, Горького ул, 3</t>
  </si>
  <si>
    <t>Александров г, Лермонтова ул, 9</t>
  </si>
  <si>
    <t>Александров г, Ленина ул, 26</t>
  </si>
  <si>
    <t>Александров г, Стрелецкая Набережная ул, 1</t>
  </si>
  <si>
    <t>Александров г, Ческа-Липа ул, 2</t>
  </si>
  <si>
    <t>Александровский р-н, Карабаново г, Карпова ул, 3</t>
  </si>
  <si>
    <t>Александровский р-н, Лисавы д, Центральная ул, 2</t>
  </si>
  <si>
    <t>Александровский р-н, Струнино г, Дзержинского ул, 9</t>
  </si>
  <si>
    <t>Александров г, Кубасова ул, 5</t>
  </si>
  <si>
    <t>Александров г, Фабрика Калинина ул, 24</t>
  </si>
  <si>
    <t>Александров г, Революции ул, 77</t>
  </si>
  <si>
    <t>Александров г, Ленина ул, 30</t>
  </si>
  <si>
    <t>Александров г, Революции ул, 40</t>
  </si>
  <si>
    <t>Александров г, Институтская ул, 12</t>
  </si>
  <si>
    <t>Александров г, Терешковой ул, 10</t>
  </si>
  <si>
    <t>Александров г, Совхоз Правда ул, 32</t>
  </si>
  <si>
    <t>Александровский р-н, Балакирево пгт, Юго-Западный кв-л, 6</t>
  </si>
  <si>
    <t>Александровский р-н, Балакирево пгт, Вокзальная ул, 13</t>
  </si>
  <si>
    <t>Александровский р-н, Балакирево пгт, 60 лет Октября ул, 2</t>
  </si>
  <si>
    <t>Александровский р-н, Балакирево пгт, Юго-Западный кв-л, 8</t>
  </si>
  <si>
    <t>Александровский р-н, Карабаново г, Садовая ул, 6</t>
  </si>
  <si>
    <t>Александровский р-н, Струнино г, Дубки кв-л, 6</t>
  </si>
  <si>
    <t>Вязники г, Мошина ул, 28</t>
  </si>
  <si>
    <t>Вязники г, Сергиевских ул, 19/9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</si>
  <si>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</si>
  <si>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</si>
  <si>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13</t>
  </si>
  <si>
    <t>Вязниковский р-н, Эдон д, Советская ул, 28</t>
  </si>
  <si>
    <t>Вязники г, С.Лазо ул, 2</t>
  </si>
  <si>
    <t>Вязники г, Благовещенская ул, 42</t>
  </si>
  <si>
    <t>Вязники г, Ленина ул, 24</t>
  </si>
  <si>
    <t>Вязники г, Владимирская ул, 12/15</t>
  </si>
  <si>
    <t>Вязниковский р-н, Октябрьская д, Садовая ул, 1</t>
  </si>
  <si>
    <t>Вязниковский р-н, Паустово д, Текстильщиков ул, 15</t>
  </si>
  <si>
    <t>Гороховец г, Кирова ул, 5</t>
  </si>
  <si>
    <t>Гороховец г, Лермонтова ул, 4</t>
  </si>
  <si>
    <t>Гороховец г, Мира ул, 13</t>
  </si>
  <si>
    <t>Гороховец г, Кирова ул, 11</t>
  </si>
  <si>
    <t>Гороховец г, Льва Толстого ул, 46</t>
  </si>
  <si>
    <t>Гороховец г, Ленина ул, 29</t>
  </si>
  <si>
    <t>Гороховецкий р-н, Васильчиково д, 22</t>
  </si>
  <si>
    <t>Гороховецкий р-н, Пролетарский п, Новофабричная ул, 22</t>
  </si>
  <si>
    <t>Гороховецкий р-н, Арефино д, Совхозная ул, 1</t>
  </si>
  <si>
    <t>Камешково г, Молодежная ул, 11</t>
  </si>
  <si>
    <t>Камешковский р-н, им Максима Горького п, Морозова ул, 6</t>
  </si>
  <si>
    <t>Киржач г, Красный Октябрь мкр, Южный кв-л, 1</t>
  </si>
  <si>
    <t>Киржач г, Красный Октябрь мкр, Южный кв-л, 4</t>
  </si>
  <si>
    <t>Киржач г, Прибрежный кв-л, 3</t>
  </si>
  <si>
    <t>Киржач г, Привокзальная ул, 3</t>
  </si>
  <si>
    <t>Киржач г, Красный Октябрь мкр, Метленкова ул, 4</t>
  </si>
  <si>
    <t>Киржач г, Прибрежный кв-л, 4</t>
  </si>
  <si>
    <t>Киржачский р-н, Участок Мележи нп, ДРП-1 тер, 4</t>
  </si>
  <si>
    <t>Ковровский р-н, Новый п, Лесная ул, 3</t>
  </si>
  <si>
    <t>Ковровский р-н, Новый п, Школьная ул, 5</t>
  </si>
  <si>
    <t>Ковровский р-н, Малыгино п, Школьная ул, 60</t>
  </si>
  <si>
    <t>Ковровский р-н, Красный Октябрь п, Комсомольская ул, 1</t>
  </si>
  <si>
    <t>Кольчугино г, Коллективная ул, 35</t>
  </si>
  <si>
    <t>Кольчугино г, Щорса ул, 18</t>
  </si>
  <si>
    <t>Кольчугинский р-н, Бавлены п, Центральная ул, 8</t>
  </si>
  <si>
    <t>Меленки г, Красноармейская ул, 92</t>
  </si>
  <si>
    <t>Меленки г, Школьный пер, 4</t>
  </si>
  <si>
    <t>Меленки г, Коммунистическая ул, 28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</si>
  <si>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</si>
  <si>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</si>
  <si>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</si>
  <si>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</si>
  <si>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</si>
  <si>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</si>
  <si>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</si>
  <si>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</si>
  <si>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</si>
  <si>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</si>
  <si>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Петушинский р-н, Костерево г, им Горького ул, 14</t>
  </si>
  <si>
    <t>Петушинский р-н, Костерево г, Ленина ул, 7</t>
  </si>
  <si>
    <t>Петушинский р-н, Вольгинский п, Новосеменковская ул, 12</t>
  </si>
  <si>
    <t>Петушинский р-н, Воспушка д, Ленина ул, 2</t>
  </si>
  <si>
    <t>Собинский р-н, Лакинск г, 21 Партсъезда ул, 5</t>
  </si>
  <si>
    <t>Собинский р-н, Лакинск г, 21 Партсъезда ул, 9</t>
  </si>
  <si>
    <t>Собинский р-н, Лакинск г, Набережная ул, 5</t>
  </si>
  <si>
    <t>Итого по Колокшанское</t>
  </si>
  <si>
    <t>Собинский р-н, Колокша п, Центральная ул, 2</t>
  </si>
  <si>
    <t>Собинка г, Красная Звезда ул, 4</t>
  </si>
  <si>
    <t>Собинка г, Гагарина ул, 5</t>
  </si>
  <si>
    <t>Собинка г, Рабочий пр-кт, 17</t>
  </si>
  <si>
    <t>Собинский р-н, Ставрово п, Советская ул, 43</t>
  </si>
  <si>
    <t>Собинский р-н, Ставрово п, Ленина ул, 12</t>
  </si>
  <si>
    <t>Судогда г, Красная ул, 20</t>
  </si>
  <si>
    <t>Судогда г, Ленина ул, 54в</t>
  </si>
  <si>
    <t>Судогда г, Гагарина ул, 19</t>
  </si>
  <si>
    <t xml:space="preserve">Итого по Вяткинское </t>
  </si>
  <si>
    <t>Судогодский р-н, Гридино д, Молодежная ул, 10</t>
  </si>
  <si>
    <t>Суздаль г, Калинина ул, 3</t>
  </si>
  <si>
    <t>Суздаль г, Калинина ул, 1</t>
  </si>
  <si>
    <t>Суздаль г, Лоунская ул, 3</t>
  </si>
  <si>
    <t>Суздаль г, Лоунская ул, 5</t>
  </si>
  <si>
    <t>Юрьев-Польский г, Шибанкова ул, 142а</t>
  </si>
  <si>
    <t>Юрьев-Польский г, Чехова ул, 7А</t>
  </si>
  <si>
    <t>Юрьев-Польский г, Шибанкова ул, 8</t>
  </si>
  <si>
    <t>Юрьев-Польский г, Луговая ул, 41</t>
  </si>
  <si>
    <t>Юрьев-Польский р-н, Небылое с, Школьная ул, 9</t>
  </si>
  <si>
    <t>Итого по Краснопламенское</t>
  </si>
  <si>
    <t>Ковров г, Абельмана ул, 4</t>
  </si>
  <si>
    <t>Муром г, Первомайская ул, 101</t>
  </si>
  <si>
    <t xml:space="preserve">Итого по Денисовское </t>
  </si>
  <si>
    <t>Гороховецкий р-н, Чулково п, Парковая ул, 1</t>
  </si>
  <si>
    <t>Собинка г, Лакина ул, 9</t>
  </si>
  <si>
    <t>Собинский р-н, Лакинск г, Ленина пр-кт, 67</t>
  </si>
  <si>
    <t>Собинский р-н, Лакинск г, Советская ул, 63</t>
  </si>
  <si>
    <t>Гусь-Хрустальный г, 50 лет Советской Власти пр-кт, 43</t>
  </si>
  <si>
    <t>Гусь-Хрустальный г, Гусевский п, Пионерская ул, 15</t>
  </si>
  <si>
    <t>Гусь-Хрустальный г, Гусевский п, Октябрьская ул, 7</t>
  </si>
  <si>
    <t>Юрьев-Польский р-н, Сима с, Луговая ул, 3</t>
  </si>
  <si>
    <t>Юрьев-Польский р-н, Сима с, Луговая ул, 4</t>
  </si>
  <si>
    <t>Итого по Новлянское</t>
  </si>
  <si>
    <t>Селивановский р-н, Новлянка п, Молодежная ул, 4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</si>
  <si>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</si>
  <si>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</si>
  <si>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</si>
  <si>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</si>
  <si>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</si>
  <si>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Собинский р-н, Ставрово п, Советская ул, 92А</t>
  </si>
  <si>
    <t>ООО "АТ плюс"</t>
  </si>
  <si>
    <t>ООО "УК "Жилсервис"</t>
  </si>
  <si>
    <t>ООО  "Управляющая компания №1"</t>
  </si>
  <si>
    <t>ООО "МКД - Сервис"</t>
  </si>
  <si>
    <t>МУП "АЭЛИТА"</t>
  </si>
  <si>
    <t>МУП "РСУ" г.Петушки</t>
  </si>
  <si>
    <t>ООО "Эксперт"</t>
  </si>
  <si>
    <t>МУП г Кольчугино Коммунальник</t>
  </si>
  <si>
    <t>ООО "КОМФОРТ"</t>
  </si>
  <si>
    <t>ООО "ЖЭК №2"</t>
  </si>
  <si>
    <t>ООО"УК"Наш Дом"</t>
  </si>
  <si>
    <t xml:space="preserve">ООО"УК"Наш Дом" </t>
  </si>
  <si>
    <t>ИП Деркач В. Н. </t>
  </si>
  <si>
    <t>МУП "Коммунальщик"</t>
  </si>
  <si>
    <t xml:space="preserve">Блочные </t>
  </si>
  <si>
    <t>2001</t>
  </si>
  <si>
    <t>ООО РСК</t>
  </si>
  <si>
    <t>ООО "УК Содружество"</t>
  </si>
  <si>
    <t>ООО "ПОТЕНЦИАЛ"</t>
  </si>
  <si>
    <t>ООО"Жилтрест"</t>
  </si>
  <si>
    <t>ООО "УК СОДРУЖЕСТВО С"</t>
  </si>
  <si>
    <t>МКП Владимир ЖКХ</t>
  </si>
  <si>
    <t>Монолитные</t>
  </si>
  <si>
    <t>ООО «Мой дом»</t>
  </si>
  <si>
    <t>Непосредственное управление</t>
  </si>
  <si>
    <t>ООО «Жилищник-Центр»</t>
  </si>
  <si>
    <t>Каменные/блочные</t>
  </si>
  <si>
    <t>ООО "ЖКО" </t>
  </si>
  <si>
    <t>ООО "Новая управляющая компания"</t>
  </si>
  <si>
    <t>1957</t>
  </si>
  <si>
    <t>"Нить"</t>
  </si>
  <si>
    <t>ООО "Стройград"</t>
  </si>
  <si>
    <t>ООО "Монолит"</t>
  </si>
  <si>
    <t>ООО "УК Наш Дом"</t>
  </si>
  <si>
    <t>ООО "Уютный дом"</t>
  </si>
  <si>
    <t>ООО "Комсервис+" </t>
  </si>
  <si>
    <t>ООО "ЖЭК № 2"</t>
  </si>
  <si>
    <t>ООО "ЖЭК Никологоры"</t>
  </si>
  <si>
    <t>ООО "Степанцевское ЖКХ"</t>
  </si>
  <si>
    <t xml:space="preserve">ООО УК ЖКХ Собинского района </t>
  </si>
  <si>
    <t>ООО УК "Пономарев С.А." </t>
  </si>
  <si>
    <t>ООО"УК "Меленковского района </t>
  </si>
  <si>
    <t>ООО «Фортуна» </t>
  </si>
  <si>
    <t xml:space="preserve">ООО ДУК "Территория" </t>
  </si>
  <si>
    <t>ООО "Ремстрой Южный"</t>
  </si>
  <si>
    <t>Кирпичные/блочные</t>
  </si>
  <si>
    <t>ООО "Тепломир" </t>
  </si>
  <si>
    <t>ООО УК "Вика"</t>
  </si>
  <si>
    <t>ООО УК "ВИКА" </t>
  </si>
  <si>
    <t>МУП "ЖКХ"</t>
  </si>
  <si>
    <t>ИП Деркач В.Н.</t>
  </si>
  <si>
    <t>ООО "Жилищник" город Суздаль</t>
  </si>
  <si>
    <t>ООО "Управляющая компания № 3"</t>
  </si>
  <si>
    <t>Александров г, Коллективная Аллея ул, 16</t>
  </si>
  <si>
    <t>Александров г, Стрелецкая Набережная ул, 10</t>
  </si>
  <si>
    <t>ООО "УК РЭУ №1"</t>
  </si>
  <si>
    <t>ООО "ДОМОУПРАВ"</t>
  </si>
  <si>
    <t>ООО "УО "РМД"</t>
  </si>
  <si>
    <t>ООО "ЖИЛСТРОЙ"</t>
  </si>
  <si>
    <t>ТСЖ Г.СОБИНКА, УЛ.ЛАКИНА, Д.9</t>
  </si>
  <si>
    <t>ООО "БАЛРЕМСТРОЙ"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</si>
  <si>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</si>
  <si>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</si>
  <si>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</si>
  <si>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</si>
  <si>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</si>
  <si>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Краснопламенское</t>
  </si>
  <si>
    <t>Новлянское</t>
  </si>
  <si>
    <t>Колокшанское</t>
  </si>
  <si>
    <t xml:space="preserve">Вяткинское </t>
  </si>
  <si>
    <t xml:space="preserve">Денисовское </t>
  </si>
  <si>
    <t>Суздальский р-н, Сокол п, 1</t>
  </si>
  <si>
    <t>Ковров г, Мира пр-кт, 2</t>
  </si>
  <si>
    <t>Владимир г, Краснознаменная ул, 5</t>
  </si>
  <si>
    <t>Владимир г, Растопчина ул, 19</t>
  </si>
  <si>
    <t>Владимир г, Чайковского ул, 38</t>
  </si>
  <si>
    <t>Владимир г, Электроприборовский проезд, 2</t>
  </si>
  <si>
    <t>Владимир г, Василисина ул, 11</t>
  </si>
  <si>
    <t>Владимир г, Ленина пр-кт, 7</t>
  </si>
  <si>
    <t>Владимир г, Суздальская ул, 2</t>
  </si>
  <si>
    <t>Владимир г, Гагарина ул, 29</t>
  </si>
  <si>
    <t>Владимир г, Большая Нижегородская ул, 67г</t>
  </si>
  <si>
    <t>Владимир г, Каманина ул, 26</t>
  </si>
  <si>
    <t>Владимир г, Судогодское ш, 1</t>
  </si>
  <si>
    <t>МКП г.Владимира «ЖКХ»</t>
  </si>
  <si>
    <t>ООО «Владимирская управляющая компания»</t>
  </si>
  <si>
    <t>ООО «МУПЖРЭП»</t>
  </si>
  <si>
    <t>МУП г.Владимира «ГУК»</t>
  </si>
  <si>
    <t>Ковров г, Брюсова ул, 54</t>
  </si>
  <si>
    <t>Ковров г, Волго-Донская ул, 7в</t>
  </si>
  <si>
    <t>Ковров г, Запольная ул, 28</t>
  </si>
  <si>
    <t>Ковров г, Зои Космодемьянской ул, 30</t>
  </si>
  <si>
    <t>Ковров г, Свердлова ул, 15</t>
  </si>
  <si>
    <t>ТСЖ "Мир-2"</t>
  </si>
  <si>
    <t>ООО УК "Сфера"</t>
  </si>
  <si>
    <t>ЖСК № 55</t>
  </si>
  <si>
    <t>ООО УК "Восточное"</t>
  </si>
  <si>
    <t>ООО «ТЭК»</t>
  </si>
  <si>
    <t>ООО»Жилищник-Центр»</t>
  </si>
  <si>
    <t>ООО УК «Старый город»</t>
  </si>
  <si>
    <t>ООО ЖРП «Заклязьменский»</t>
  </si>
  <si>
    <t>Владимир г, Ленина пр-кт, 5</t>
  </si>
  <si>
    <t>Владимир г, Ленина пр-кт, 20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</si>
  <si>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</si>
  <si>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</si>
  <si>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</si>
  <si>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</si>
  <si>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</si>
  <si>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</si>
  <si>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Итого по ЗАТО город Радужный</t>
  </si>
  <si>
    <t>Итого по Второвское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</si>
  <si>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</si>
  <si>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</si>
  <si>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</si>
  <si>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</si>
  <si>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</si>
  <si>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</si>
  <si>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</si>
  <si>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</si>
  <si>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</si>
  <si>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</si>
  <si>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</si>
  <si>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</si>
  <si>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</si>
  <si>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</si>
  <si>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Рабочий спуск, 3</t>
  </si>
  <si>
    <t>Владимир г, Луначарского ул, 33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</si>
  <si>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</si>
  <si>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</si>
  <si>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</si>
  <si>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</si>
  <si>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</si>
  <si>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</si>
  <si>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</si>
  <si>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</si>
  <si>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</si>
  <si>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</si>
  <si>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</si>
  <si>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</si>
  <si>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</si>
  <si>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</si>
  <si>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</si>
  <si>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Брюсова ул, 23</t>
  </si>
  <si>
    <t>Ковров г, Ленина пр-кт, 7</t>
  </si>
  <si>
    <t>Ковров г, Дегтярева ул, 4</t>
  </si>
  <si>
    <t>Ковров г, Брюсова ул, 27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</si>
  <si>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</si>
  <si>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</si>
  <si>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</si>
  <si>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</si>
  <si>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</si>
  <si>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Социалистическая ул, 27</t>
  </si>
  <si>
    <t>Ковров г, Еловая ул, 84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</si>
  <si>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</si>
  <si>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</si>
  <si>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</si>
  <si>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</si>
  <si>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</si>
  <si>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</si>
  <si>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</si>
  <si>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</si>
  <si>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</si>
  <si>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</si>
  <si>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</si>
  <si>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</si>
  <si>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</si>
  <si>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</si>
  <si>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</si>
  <si>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</si>
  <si>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</si>
  <si>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</si>
  <si>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</si>
  <si>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</si>
  <si>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</si>
  <si>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</si>
  <si>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</si>
  <si>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</si>
  <si>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</si>
  <si>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</si>
  <si>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Луговая ул, 2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</si>
  <si>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</si>
  <si>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</si>
  <si>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</si>
  <si>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</si>
  <si>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</si>
  <si>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</si>
  <si>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</si>
  <si>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</si>
  <si>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</si>
  <si>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</si>
  <si>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</si>
  <si>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</si>
  <si>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</si>
  <si>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</si>
  <si>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</si>
  <si>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</si>
  <si>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</si>
  <si>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</si>
  <si>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</si>
  <si>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</si>
  <si>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</si>
  <si>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</si>
  <si>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</si>
  <si>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</si>
  <si>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Ковровский р-н, Мелехово пгт, Пионерская ул, 3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</si>
  <si>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</si>
  <si>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</si>
  <si>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</si>
  <si>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</si>
  <si>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</si>
  <si>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</si>
  <si>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</si>
  <si>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</si>
  <si>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</si>
  <si>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</si>
  <si>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</si>
  <si>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</si>
  <si>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</si>
  <si>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</si>
  <si>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</si>
  <si>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</si>
  <si>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ООО УК "УПРАВДОМ"</t>
  </si>
  <si>
    <t>ООО УК "ВИКА"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</si>
  <si>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</si>
  <si>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</si>
  <si>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</si>
  <si>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</si>
  <si>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</si>
  <si>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</si>
  <si>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</si>
  <si>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</si>
  <si>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</si>
  <si>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</si>
  <si>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</si>
  <si>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</si>
  <si>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</si>
  <si>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</si>
  <si>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Владимир г, Верхняя Дуброва ул, 16</t>
  </si>
  <si>
    <t>Владимир г, Московское ш, 1</t>
  </si>
  <si>
    <t>Гороховец г, Краснова ул, 5</t>
  </si>
  <si>
    <t>Гороховец г, Полевая ул, 1</t>
  </si>
  <si>
    <t>Гороховецкий р-н, Торфопредприятия Большое п, Октябрьская ул, 8</t>
  </si>
  <si>
    <t>Гороховецкий р-н, Галицы п, Пролетарская ул, 34</t>
  </si>
  <si>
    <t>Ковров г, Киркижа ул, 30</t>
  </si>
  <si>
    <t>Ковров г, Лопатина ул, 23</t>
  </si>
  <si>
    <t>Ковров г, Машиностроителей ул, 11</t>
  </si>
  <si>
    <t>Вязники г, Благовещенская ул, 38</t>
  </si>
  <si>
    <t>Владимир г, Токарева ул, 10</t>
  </si>
  <si>
    <t>Владимир г, Горького ул, 57</t>
  </si>
  <si>
    <t>Владимир г, Диктора Левитана ул, 39</t>
  </si>
  <si>
    <t>Владимир г, Егорова ул, 2</t>
  </si>
  <si>
    <t>Владимир г, Дворянская ул, 13</t>
  </si>
  <si>
    <t>Владимир г, Асаткина ул, 12</t>
  </si>
  <si>
    <t>Суздальский р-н, Новоалександрово с, Студенческая ул, 6</t>
  </si>
  <si>
    <t>Гороховец г, Мира ул, 18</t>
  </si>
  <si>
    <t>Гороховец г, Советская ул, 13</t>
  </si>
  <si>
    <t>Вязники г, Соборная пл, 4</t>
  </si>
  <si>
    <t>Муром г, Мечникова ул, 81</t>
  </si>
  <si>
    <t>Петушинский р-н, Вольгинский п, Новосеменковская ул, 5</t>
  </si>
  <si>
    <t>Петушинский р-н, Пахомово д, 37</t>
  </si>
  <si>
    <t>Петушинский р-н, Городищи п, Октябрьская 2-я ул, 25</t>
  </si>
  <si>
    <t>Камешковский р-н, им Максима Горького п, Шоссейная ул, 1</t>
  </si>
  <si>
    <t>Радужный г, 1-й кв-л, 20</t>
  </si>
  <si>
    <t>Александров г, Терешковой ул, 7 корп. 2</t>
  </si>
  <si>
    <t>Гусь-Хрустальный г, Каляевская ул, 3</t>
  </si>
  <si>
    <t>Киржач г, Больничный проезд, 4</t>
  </si>
  <si>
    <t>Собинский р-н, Лакинск г, 21 Партсъезда ул, 11</t>
  </si>
  <si>
    <t>Юрьев-Польский г, Герцена ул, 13А</t>
  </si>
  <si>
    <t>Юрьев-Польский г, Герцена ул, 15</t>
  </si>
  <si>
    <t>Муромский р-н, Фабрики им П.Л.Войкова п, 25</t>
  </si>
  <si>
    <t>Муром г, Спортивная ул, 10</t>
  </si>
  <si>
    <t>Александровский р-н, Карабаново г, Мира ул, 16</t>
  </si>
  <si>
    <t>Петушинский р-н, Вольгинский п, Старовская ул, 3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</si>
  <si>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</si>
  <si>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</si>
  <si>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</si>
  <si>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</si>
  <si>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</si>
  <si>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Камешково г, Рабочая ул, 7В</t>
  </si>
  <si>
    <t>Ковровский р-н, подстанция Заря р-н, 3</t>
  </si>
  <si>
    <t>Ковровский р-н, Мелехово пгт, Советская ул, 9</t>
  </si>
  <si>
    <t>ООО "УПРАВЛЯЮЩАЯ ОРГАНИЗАЦИЯ" Г.ГУСЬ-ХРУСТАЛЬНЫЙ</t>
  </si>
  <si>
    <t>Кирпичные, блочные</t>
  </si>
  <si>
    <t>ООО "Домоуправ" </t>
  </si>
  <si>
    <t>ООО "ЖКО Роско"</t>
  </si>
  <si>
    <t>1880</t>
  </si>
  <si>
    <t>"Галицы"</t>
  </si>
  <si>
    <t>ООО "УЮТ"</t>
  </si>
  <si>
    <t>ООО "Жилфонд"</t>
  </si>
  <si>
    <t>ООО "МОНОЛИТ"</t>
  </si>
  <si>
    <t>УК "Порядок"</t>
  </si>
  <si>
    <t>Гороховец г, Ленина ул, 15</t>
  </si>
  <si>
    <t>Владимир г, Асаткина ул, 15</t>
  </si>
  <si>
    <t>Владимир г, Завадского ул, 13</t>
  </si>
  <si>
    <t>Владимир г, Юрьевец мкр, Институтский городок, 4</t>
  </si>
  <si>
    <t>Владимир г, Кирова ул, 10</t>
  </si>
  <si>
    <t>Владимир г, Полины Осипенко ул, 15</t>
  </si>
  <si>
    <t>Владимир г, Труда ул, 32</t>
  </si>
  <si>
    <t>ООО «Жилищная компания»</t>
  </si>
  <si>
    <t>ООО «УК Лидер»</t>
  </si>
  <si>
    <t>Муром г, Кленовая ул, 1/3</t>
  </si>
  <si>
    <t>Гусь-Хрустальный г, Октябрьская ул, 2</t>
  </si>
  <si>
    <t>Гусь-Хрустальный г, Ломоносова ул, 24а</t>
  </si>
  <si>
    <t>Киржач г, Совхозная ул, 1</t>
  </si>
  <si>
    <t>Александров г, Лермонтова ул, 14</t>
  </si>
  <si>
    <t>Каменные, блочные</t>
  </si>
  <si>
    <t>Петушинский р-н, Покров г, 3 Интернационала ул, 68</t>
  </si>
  <si>
    <t>ООО "МКД-СЕРВИС"</t>
  </si>
  <si>
    <t>МУП города Владимира "ГУК" </t>
  </si>
  <si>
    <t>Владимир г, Семашко ул, 13</t>
  </si>
  <si>
    <t>Ковров г, Блинова ул, 74</t>
  </si>
  <si>
    <t>Ковров г, Сосновая ул, 28</t>
  </si>
  <si>
    <t>ООО УК "Парадигма"</t>
  </si>
  <si>
    <t>ООО "УК"Парадигма"</t>
  </si>
  <si>
    <t>ООО "Наше ЖКО"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</si>
  <si>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05.10.2018) </t>
  </si>
  <si>
    <t>Гороховец г, Ленина ул, 6</t>
  </si>
  <si>
    <t>Гороховец г, Набережная ул, 28</t>
  </si>
  <si>
    <t>Судогодский р-н, Гонобилово д, Центральная ул, 1</t>
  </si>
  <si>
    <t>Владимир г, Офицерская ул, 1</t>
  </si>
  <si>
    <t>Владимир г, Юбилейная ул, 78</t>
  </si>
  <si>
    <t>Владимир г, Даргомыжского ул, 10/20</t>
  </si>
  <si>
    <t>Владимир г, Диктора Левитана ул, 55А</t>
  </si>
  <si>
    <t>Владимир г, Лакина ул, 151</t>
  </si>
  <si>
    <t>Владимир г, Чайковского ул, 32</t>
  </si>
  <si>
    <t>Владимир г, Модорова ул, 8</t>
  </si>
  <si>
    <t>Владимир г, Фейгина ул, 6/25</t>
  </si>
  <si>
    <t>Александров г, Юбилейная ул, 2</t>
  </si>
  <si>
    <t>Александров г, 1-я Крестьянская ул, 16</t>
  </si>
  <si>
    <t>Александров г, Охотный луг ул, 23</t>
  </si>
  <si>
    <t>Александров г, Маяковского ул, 18</t>
  </si>
  <si>
    <t>Муром г, Пушкина ул, 16</t>
  </si>
  <si>
    <t>Гусь-Хрустальный г, Ленинградская ул, 1а</t>
  </si>
  <si>
    <t>Гусь-Хрустальный г, Транспортная ул, 7</t>
  </si>
  <si>
    <t>Гусь-Хрустальный г, Транспортная ул, 8</t>
  </si>
  <si>
    <t>Гусь-Хрустальный г, Фрезерная ул, 4</t>
  </si>
  <si>
    <t>Владимир г, Перекопский военный городок, 20</t>
  </si>
  <si>
    <t>Владимир г, Перекопский военный городок, 10</t>
  </si>
  <si>
    <t>Владимир г, Василисина ул, 1</t>
  </si>
  <si>
    <t>Владимир г, Доватора ул, 3А</t>
  </si>
  <si>
    <t>Владимир г, Завадского ул, 3</t>
  </si>
  <si>
    <t>Владимир г, Ленина пр-кт, 64</t>
  </si>
  <si>
    <t>Владимир г, Ленина пр-кт, 68</t>
  </si>
  <si>
    <t>Владимир г, Ставровская ул, 2Б</t>
  </si>
  <si>
    <t>Владимир г, Тихонравова ул, 10</t>
  </si>
  <si>
    <t>ООО «ЖилСтройСтандарт»</t>
  </si>
  <si>
    <t>ТСЖ «Центр»</t>
  </si>
  <si>
    <t>ООО «КЭЧ»</t>
  </si>
  <si>
    <t>ООО  «Универсал Строй»»</t>
  </si>
  <si>
    <t>ООО «Квартал»</t>
  </si>
  <si>
    <t>ООО "Жилищник</t>
  </si>
  <si>
    <t>ООО «Жилремстрой»</t>
  </si>
  <si>
    <t>ЗАО «Альтернатива»</t>
  </si>
  <si>
    <t xml:space="preserve"> ООО «ТЭК»</t>
  </si>
  <si>
    <t xml:space="preserve"> ООО «УниверсалСтрой»</t>
  </si>
  <si>
    <t xml:space="preserve"> ООО «Жилремстрой»</t>
  </si>
  <si>
    <t xml:space="preserve"> МУП г.Владимира «ГУК»</t>
  </si>
  <si>
    <t>НО</t>
  </si>
  <si>
    <t>ООО «Оникс»</t>
  </si>
  <si>
    <t xml:space="preserve"> ООО «Жилищник»</t>
  </si>
  <si>
    <t>ООО «ВУК»</t>
  </si>
  <si>
    <t>ООО "ЖКС "Алдега"</t>
  </si>
  <si>
    <t>Муром г, Филатова ул, 19</t>
  </si>
  <si>
    <t>Муром г, Цветочный б-р, 4</t>
  </si>
  <si>
    <t>Радужный г, 1-й кв-л, 24</t>
  </si>
  <si>
    <t>п Красный Октябрь ул Мира д.15</t>
  </si>
  <si>
    <t>п Красный Октябрь ул Комсомольская д.1</t>
  </si>
  <si>
    <t>х</t>
  </si>
  <si>
    <t>п Малыгино ул Юбилейная д.51</t>
  </si>
  <si>
    <t>п Мелехово ул Первомайская д.53</t>
  </si>
  <si>
    <t>г Гусь-Хрустальный ул Дружбы Народов д.8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</si>
  <si>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</t>
  </si>
  <si>
    <t xml:space="preserve">Итого по Владимирской области по 2020 году: </t>
  </si>
  <si>
    <t>Юрьев-Польский г, Шибанкова ул, 160</t>
  </si>
  <si>
    <t>Итого по Владимирской области по 2020 году:</t>
  </si>
  <si>
    <t>в том числе нераспределенный остаток</t>
  </si>
  <si>
    <t>Итого по Владимирской области на 2020 год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</si>
  <si>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от 05.10.2018 №742) </t>
  </si>
  <si>
    <t>Информация по многоквартирным домам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(данные уточняются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</si>
  <si>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</si>
  <si>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</si>
  <si>
    <t>Ковров г, Волго-Донская ул, 10/1</t>
  </si>
  <si>
    <t>Ковров г, Федорова ул, 93</t>
  </si>
  <si>
    <t>Муром г, Цветочный б-р, 3</t>
  </si>
  <si>
    <t>Муром г, Советская ул, 66</t>
  </si>
  <si>
    <t>Ковров г, Брюсова ул, 52/1</t>
  </si>
  <si>
    <t>ООО"УК"ЖКО РОСКО"</t>
  </si>
  <si>
    <t>Кольчугино г, Мира ул, 15</t>
  </si>
  <si>
    <t>Кольчугино г, Луговая ул, 7</t>
  </si>
  <si>
    <t>Собинский р-н, Заречное с, Парковая ул, 5</t>
  </si>
  <si>
    <t>Собинский р-н, Заречное с, Парковая ул, 2</t>
  </si>
  <si>
    <t>Собинский р-н, Заречное с, Парковая ул, 3</t>
  </si>
  <si>
    <t>Собинский р-н, Заречное с, Парковая ул, 4</t>
  </si>
  <si>
    <t>Александров г, Совхоз Правда ул, 37</t>
  </si>
  <si>
    <t>Петушинский р-н, Костерево г, 40 лет Октября ул, 2</t>
  </si>
  <si>
    <t>Владимир г, Михайловская ул, 53</t>
  </si>
  <si>
    <t>Владимир г, Лакина ул, 159</t>
  </si>
  <si>
    <t>Владимир г, Фатьянова ул, 28</t>
  </si>
  <si>
    <t>Александров г, Стрелецкая Набережная ул, 9</t>
  </si>
  <si>
    <t>ТСЖ "Стрелецкий"</t>
  </si>
  <si>
    <t>ООО"УК ЛЮКС"</t>
  </si>
  <si>
    <t>ООО "ЖЭУ"</t>
  </si>
  <si>
    <t>ООО "ЖРЭП № 8"</t>
  </si>
  <si>
    <t>Гусь-Хрустальный р-н, Иванищи п, Южная ул, 1а</t>
  </si>
  <si>
    <t>Гусь-Хрустальный р-н, Иванищи п, Южная ул, 6</t>
  </si>
  <si>
    <t>Ковровский р-н, Гигант п, Первомайская ул, 15</t>
  </si>
  <si>
    <t>Гусь-Хрустальный г, Транспортная ул, 4а</t>
  </si>
  <si>
    <t>Петушинский р-н, Андреевское с, 11</t>
  </si>
  <si>
    <t>Каркаснозасыпной</t>
  </si>
  <si>
    <t>Владимир г, Перекопский военный городок, 8</t>
  </si>
  <si>
    <t>Владимир г, Перекопский военный городок, 14</t>
  </si>
  <si>
    <t>Муром г, Ленинградская ул, 29 корп. 2</t>
  </si>
  <si>
    <t>Владимир г, Безыменского ул, 12</t>
  </si>
  <si>
    <t>Владимир г, Усти-на-Лабе ул, 14</t>
  </si>
  <si>
    <t>Меленковский р-н, Денятино с, Механизаторов ул, 1</t>
  </si>
  <si>
    <t>Итого по Денятинское</t>
  </si>
  <si>
    <t>ТСЖ "Денятино"</t>
  </si>
  <si>
    <t>Денятинское</t>
  </si>
  <si>
    <t>Срок проведения капитального ремонта в           МКД</t>
  </si>
  <si>
    <t>замена плоской кровли на           стропильную</t>
  </si>
  <si>
    <t>капитальный ремонт внутридомовых инженерных систем вентиляции и дымоудаления при капитальном            ремонте крыш</t>
  </si>
  <si>
    <t>ремонт внутридомовых инженерных               систем теплоснабжения с заменой отопительных приборов (радиаторов) в               местах общего пользования и                    отопительных приборов (радиаторов), расположенных в жилых помещениях,         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</si>
  <si>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           канализации</t>
  </si>
  <si>
    <t>ремонт выпусков системы              водоотведения до первого                          смотрового колодца при капитальном               ремонте внутридомовых инженерных                      систем водоотведения</t>
  </si>
  <si>
    <t>установка узлов управления и                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</si>
  <si>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          капитального ремонта внутридомовых инженерных систем теплоснабжения</t>
  </si>
  <si>
    <t>авторский надзор при выполнении работ             по  МКД, имеющих статус объекта культурного наследия (памятника истории             и культуры) народов РФ</t>
  </si>
  <si>
    <t>Итого по Владимирской области за период 2020-2022 годы:</t>
  </si>
  <si>
    <t>Итого по Владимирской области в 2020 году:</t>
  </si>
  <si>
    <t>Киржачский р-н, Горка п, Шелковиков ул, 6</t>
  </si>
  <si>
    <t>Итого по Горкинское</t>
  </si>
  <si>
    <t>Информация о ранее проведенных отдельных работах по капитальному ремонту общего имущества многоквартирных домов на территории Владимирской области в период 2020- 2022 годов</t>
  </si>
  <si>
    <t>Владимир г, Стасова ул, 31</t>
  </si>
  <si>
    <t>Срок проведения капитального ремонта в МКД</t>
  </si>
  <si>
    <t>замена плоской кровли на              стропильную</t>
  </si>
  <si>
    <t>ремонт внутридомовых инженерных систем теплоснабжения с заменой отопительных приборов (радиаторов)           в местах общего пользования и отопительных приборов (радиаторов), расположенных в жилых помещениях, не имеющих отключающих        устройств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</si>
  <si>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         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</si>
  <si>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         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</si>
  <si>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         народов РФ</t>
  </si>
  <si>
    <t>Кольчугино г, Лермонтова ул, 5</t>
  </si>
  <si>
    <t>Владимир г, Тракторная ул, 4</t>
  </si>
  <si>
    <t>Владимир г, Балакирева ул, 27</t>
  </si>
  <si>
    <t>Владимир г, Безыменского ул, 11</t>
  </si>
  <si>
    <t>Владимир г, Белоконской ул, 15Б</t>
  </si>
  <si>
    <t>Владимир г, Благонравова ул, 5</t>
  </si>
  <si>
    <t>Владимир г, Большая Нижегородская ул, 27а</t>
  </si>
  <si>
    <t>Владимир г, Варваринский проезд, 3</t>
  </si>
  <si>
    <t>Владимир г, Верхняя Дуброва ул, 3</t>
  </si>
  <si>
    <t>Владимир г, Верхняя Дуброва ул, 26А</t>
  </si>
  <si>
    <t>Владимир г, Верхняя Дуброва ул, 26Г</t>
  </si>
  <si>
    <t>Владимир г, Горького ул, 125</t>
  </si>
  <si>
    <t>Владимир г, Горького ул, 129</t>
  </si>
  <si>
    <t>Владимир г, Красноармейская ул, 46</t>
  </si>
  <si>
    <t>Владимир г, Куйбышева ул, 66а</t>
  </si>
  <si>
    <t>Владимир г, Ленина пр-кт, 13Б</t>
  </si>
  <si>
    <t>Владимир г, Ленина пр-кт, 32</t>
  </si>
  <si>
    <t>Владимир г, Ленина пр-кт, 34</t>
  </si>
  <si>
    <t>Владимир г, Мира ул, 15</t>
  </si>
  <si>
    <t>Владимир г, Мира ул, 4Б</t>
  </si>
  <si>
    <t>Владимир г, Народная ул, 8</t>
  </si>
  <si>
    <t>Владимир г, Нижняя Дуброва ул, 21А</t>
  </si>
  <si>
    <t>Владимир г, Нижняя Дуброва ул, 34</t>
  </si>
  <si>
    <t>Владимир г, Нижняя Дуброва ул, 42</t>
  </si>
  <si>
    <t>Владимир г, Никитина ул, 4А</t>
  </si>
  <si>
    <t>Владимир г, Октябрьский пр-кт, 25</t>
  </si>
  <si>
    <t>Владимир г, Октябрьский пр-кт, 36</t>
  </si>
  <si>
    <t>Владимир г, Сакко и Ванцетти ул, 23Б</t>
  </si>
  <si>
    <t>Владимир г, Северная ул, 26</t>
  </si>
  <si>
    <t>Владимир г, Соколова-Соколенка ул, 16</t>
  </si>
  <si>
    <t>Владимир г, Соколова-Соколенка ул, 3Б</t>
  </si>
  <si>
    <t>Владимир г, Соколова-Соколенка ул, 29</t>
  </si>
  <si>
    <t>Владимир г, Соколова-Соколенка ул, 30</t>
  </si>
  <si>
    <t>Владимир г, Стрелецкая ул, 36А</t>
  </si>
  <si>
    <t>Владимир г, Суздальский пр-кт, 13А</t>
  </si>
  <si>
    <t>Владимир г, Тихонравова ул, 9</t>
  </si>
  <si>
    <t>Владимир г, Тихонравова ул, 11</t>
  </si>
  <si>
    <t>Владимир г, Юбилейная ул, 20</t>
  </si>
  <si>
    <t>Владимир г, Хирурга Орлова ул, 2б</t>
  </si>
  <si>
    <t>Владимир г, Чайковского ул, 25А</t>
  </si>
  <si>
    <t>Владимир г, Красноармейская ул, 43Г</t>
  </si>
  <si>
    <t>Владимир г, Безыменского ул, 4</t>
  </si>
  <si>
    <t>Владимир г, Верхняя Дуброва ул, 18Б</t>
  </si>
  <si>
    <t>Владимир г, Верхняя Дуброва ул, 38Б</t>
  </si>
  <si>
    <t>Владимир г, Диктора Левитана ул, 5</t>
  </si>
  <si>
    <t>Владимир г, Добросельская ул, 199а</t>
  </si>
  <si>
    <t>Владимир г, Добросельская ул, 207</t>
  </si>
  <si>
    <t>Владимир г, Комиссарова ул, 13</t>
  </si>
  <si>
    <t>Владимир г, Комиссарова ул, 23</t>
  </si>
  <si>
    <t>Владимир г, Лакина проезд, 8</t>
  </si>
  <si>
    <t>Владимир г, Лесной мкр, Лесная ул, 6</t>
  </si>
  <si>
    <t>Владимир г, Нижняя Дуброва ул, 32А</t>
  </si>
  <si>
    <t>Владимир г, Нижняя Дуброва ул, 46</t>
  </si>
  <si>
    <t>Владимир г, Нижняя Дуброва ул, 46Б</t>
  </si>
  <si>
    <t>Владимир г, Октябрьский пр-кт, 27</t>
  </si>
  <si>
    <t>Владимир г, Оргтруд мкр, Молодежная ул, 15</t>
  </si>
  <si>
    <t>Владимир г, Оргтруд мкр, Молодежная ул, 18</t>
  </si>
  <si>
    <t>Владимир г, Оргтруд мкр, Молодежная ул, 19</t>
  </si>
  <si>
    <t>Владимир г, Оргтруд мкр, Октябрьская ул, 27</t>
  </si>
  <si>
    <t>Владимир г, Оргтруд мкр, Строителей ул, 1</t>
  </si>
  <si>
    <t>Владимир г, Оргтруд мкр, Строителей ул, 4</t>
  </si>
  <si>
    <t>Владимир г, Полины Осипенко ул, 17</t>
  </si>
  <si>
    <t>Владимир г, Растопчина ул, 33а</t>
  </si>
  <si>
    <t>Владимир г, Растопчина ул, 55</t>
  </si>
  <si>
    <t>Владимир г, Соколова-Соколенка ул, 9</t>
  </si>
  <si>
    <t>Владимир г, Солнечная ул, 41А</t>
  </si>
  <si>
    <t>Владимир г, Суздальский пр-кт, 21</t>
  </si>
  <si>
    <t>Владимир г, Тихонравова ул, 4</t>
  </si>
  <si>
    <t>Владимир г, Тракторная ул, 5</t>
  </si>
  <si>
    <t>Владимир г, Энергетик мкр, Энергетиков ул, 6</t>
  </si>
  <si>
    <t>Владимир г, Энергетик мкр, Энергетиков ул, 9</t>
  </si>
  <si>
    <t>Владимир г, Юбилейная ул, 76А</t>
  </si>
  <si>
    <t>Владимир г, Юрьевец мкр, Михалькова ул, 2</t>
  </si>
  <si>
    <t>Владимир г, Юрьевец мкр, Михалькова ул, 5</t>
  </si>
  <si>
    <t>Александров г, Восстания 1905 г ул, 1</t>
  </si>
  <si>
    <t>Александров г, Ленина ул, 2</t>
  </si>
  <si>
    <t>Гусь-Хрустальный г, 50 лет Советской Власти пр-кт, 35</t>
  </si>
  <si>
    <t>Гусь-Хрустальный г, Карла Либкнехта ул, 5а</t>
  </si>
  <si>
    <t>Гусь-Хрустальный г, Октябрьская ул, 68</t>
  </si>
  <si>
    <t>Гусь-Хрустальный г, Транспортная ул, 16а</t>
  </si>
  <si>
    <t>Ковров г, 5 Декабря ул, 22</t>
  </si>
  <si>
    <t>Ковров г, Грибоедова ул, 7</t>
  </si>
  <si>
    <t>Ковров г, Грибоедова ул, 9</t>
  </si>
  <si>
    <t>Ковров г, Зои Космодемьянской ул, 11</t>
  </si>
  <si>
    <t>Ковров г, Киркижа ул, 20</t>
  </si>
  <si>
    <t>Ковров г, Комсомольская ул, 24</t>
  </si>
  <si>
    <t>Ковров г, Куйбышева ул, 6</t>
  </si>
  <si>
    <t>Ковров г, Ленина пр-кт, 49/1</t>
  </si>
  <si>
    <t>Ковров г, Ленина пр-кт, 5</t>
  </si>
  <si>
    <t>Ковров г, Лесная ул, 4</t>
  </si>
  <si>
    <t>Ковров г, Малеева ул, 1/1</t>
  </si>
  <si>
    <t>Ковров г, Матвеева ул, 5</t>
  </si>
  <si>
    <t>Ковров г, Машиностроителей ул, 3</t>
  </si>
  <si>
    <t>Ковров г, Маяковского ул, 4</t>
  </si>
  <si>
    <t>Ковров г, Мира пр-кт, 6</t>
  </si>
  <si>
    <t>Ковров г, Партизанская ул, 1</t>
  </si>
  <si>
    <t>Ковров г, Садовая ул, 23</t>
  </si>
  <si>
    <t>Ковров г, Сергея Лазо ул, 4</t>
  </si>
  <si>
    <t>Ковров г, Строителей ул, 12/1</t>
  </si>
  <si>
    <t>Ковров г, Строителей ул, 22</t>
  </si>
  <si>
    <t>Ковров г, Строителей ул, 33</t>
  </si>
  <si>
    <t>Ковров г, Тимофея Павловского ул, 10</t>
  </si>
  <si>
    <t>Ковров г, Волго-Донская ул, 11В</t>
  </si>
  <si>
    <t>Итого по Григорьевское</t>
  </si>
  <si>
    <t>Гусь-Хрустальный р-н, Вековка ст, 1</t>
  </si>
  <si>
    <t>Гусь-Хрустальный р-н, Вековка ст, 3</t>
  </si>
  <si>
    <t>Гусь-Хрустальный р-н, Вековка ст, 4</t>
  </si>
  <si>
    <t>Гусь-Хрустальный р-н, Вековка ст, 5</t>
  </si>
  <si>
    <t>Камешковский р-н, им Максима Горького п, Шоссейная ул, 6</t>
  </si>
  <si>
    <t>Кольчугино г, 3 Интернационала ул, 57</t>
  </si>
  <si>
    <t>Кольчугино г, 50 лет Октября ул, 26</t>
  </si>
  <si>
    <t>Кольчугино г, 50 лет Октября ул, 5А</t>
  </si>
  <si>
    <t>Кольчугино г, Белая Речка п, Новая ул, 5</t>
  </si>
  <si>
    <t>Кольчугино г, Дружбы ул, 20а</t>
  </si>
  <si>
    <t>Кольчугино г, Максимова ул, 21</t>
  </si>
  <si>
    <t>Кольчугино г, Мира ул, 3</t>
  </si>
  <si>
    <t>Кольчугино г, Веденеева ул, 12</t>
  </si>
  <si>
    <t>Кольчугино г, Добровольского ул, 15</t>
  </si>
  <si>
    <t>Кольчугино г, Добровольского ул, 17</t>
  </si>
  <si>
    <t>Кольчугино г, Добровольского ул, 19</t>
  </si>
  <si>
    <t>Кольчугино г, Добровольского ул, 27</t>
  </si>
  <si>
    <t>Кольчугино г, Коллективная ул, 41</t>
  </si>
  <si>
    <t>Кольчугино г, Московская ул, 62</t>
  </si>
  <si>
    <t>Муром г, 30 лет Победы ул, 8</t>
  </si>
  <si>
    <t>Муром г, 30 лет Победы ул, 9 корп 1</t>
  </si>
  <si>
    <t>Муром г, Автодора ул, 37</t>
  </si>
  <si>
    <t>Муром г, Воровского ул, 88</t>
  </si>
  <si>
    <t>Муром г, Ковровская ул, 12</t>
  </si>
  <si>
    <t>Муром г, Кооперативная ул, 6</t>
  </si>
  <si>
    <t>Муром г, Куйбышева ул, 36</t>
  </si>
  <si>
    <t>Муром г, Куйбышева ул, 38</t>
  </si>
  <si>
    <t>Муром г, Лаврентьева ул, 39</t>
  </si>
  <si>
    <t>Муром г, Ленинградская ул, 24</t>
  </si>
  <si>
    <t>Муром г, Муромская ул, 25</t>
  </si>
  <si>
    <t>Муром г, Нижегородская ул, 29</t>
  </si>
  <si>
    <t>Муром г, Свердлова ул, 33</t>
  </si>
  <si>
    <t>Муром г, Филатова ул, 5</t>
  </si>
  <si>
    <t>Муром г, Владимирская ул, 9</t>
  </si>
  <si>
    <t>Муром г, Комсомольская ул, 49</t>
  </si>
  <si>
    <t>Муром г, Красногвардейская ул, 40</t>
  </si>
  <si>
    <t>Муром г, Мечникова ул, 36</t>
  </si>
  <si>
    <t>Собинка г, Некрасова ул, 2А</t>
  </si>
  <si>
    <t>Собинка г, Некрасова ул, 2Б</t>
  </si>
  <si>
    <t>Собинка г, Некрасова ул, 2В</t>
  </si>
  <si>
    <t>Собинский р-н, Лакинск г, Мира ул, 89</t>
  </si>
  <si>
    <t>Суздальский р-н, Павловское с, Школьная ул, 19</t>
  </si>
  <si>
    <t>Суздальский р-н, Павловское с, Школьная ул, 20</t>
  </si>
  <si>
    <t>Информация о выполнении капитального ремонта общего имущества в многоквартирных домах со способом формирования фонда капитально ремонта - специальный счет на территории Владимирской области в период 2020-2022 годы в рамках реализации региональной программы капитального ремонта</t>
  </si>
  <si>
    <t>Муром г, Кленовая ул, 5</t>
  </si>
  <si>
    <t>Владимир г, Гастелло ул, 1</t>
  </si>
  <si>
    <t>Кольчугино г, Ломако ул, 12</t>
  </si>
  <si>
    <t>ТСЖ "Весна"</t>
  </si>
  <si>
    <t>Ковровский р-н, Старая д, Совхозная ул, 27</t>
  </si>
  <si>
    <t>Кольчугино г, Ломако ул, 16</t>
  </si>
  <si>
    <t>Кольчугино г, Ульяновская ул, 45</t>
  </si>
  <si>
    <t>ООО "Управляющая компания в ЖКХ города Кольчугино"</t>
  </si>
  <si>
    <t>ОАО "ПЭО "Сфера"</t>
  </si>
  <si>
    <t>2014</t>
  </si>
  <si>
    <t>2015</t>
  </si>
  <si>
    <t>Вязниковский р-н, Никологоры п, 40 лет Октября ул, 2</t>
  </si>
  <si>
    <t>2017</t>
  </si>
  <si>
    <t>Владимир г, Лакина ул, 133</t>
  </si>
  <si>
    <t>Вязники г, Дечинский мкр, 16</t>
  </si>
  <si>
    <t>Ковров г, Лизы Чайкиной ул, 36</t>
  </si>
  <si>
    <t>Ковров г, Лопатина ул, 61</t>
  </si>
  <si>
    <t>Ковров г, Пугачева ул, 30</t>
  </si>
  <si>
    <t>Ковров г, Моховая ул, 3</t>
  </si>
  <si>
    <t>Муром г, Ленинградская ул, 34 корп. 5</t>
  </si>
  <si>
    <t>Муром г, Первомайская ул, 13</t>
  </si>
  <si>
    <t>Камешковский р-н, Мирный п, Центральная ул, 86</t>
  </si>
  <si>
    <t>Киржач г, Магистральная ул, 1</t>
  </si>
  <si>
    <t>Петушинский р-н, Пекша д, Октябрьская ул, 2</t>
  </si>
  <si>
    <t>Гороховецкий р-н, Фоминки с, Чекунова ул, 4</t>
  </si>
  <si>
    <t>Собинка г, Мира ул, 1А</t>
  </si>
  <si>
    <t>ТСЖ "ЗОА,16"</t>
  </si>
  <si>
    <t>ООО "ЖЭЦ-Управление"</t>
  </si>
  <si>
    <t>ООО "УМД Континент"</t>
  </si>
  <si>
    <t>ООО "ОДК"</t>
  </si>
  <si>
    <t>ООО"Управдом"</t>
  </si>
  <si>
    <t>ООО Киржачское ЖЭУ №1</t>
  </si>
  <si>
    <t>ООО "СМК-Реконструкция"</t>
  </si>
  <si>
    <t>ООО УК "Спецстройгарант-1"</t>
  </si>
  <si>
    <t>Александровский р-н, Балакирево пгт, Заводская ул, 3</t>
  </si>
  <si>
    <t>Селивановский р-н, Красная Горбатка п, Свободы ул, 81</t>
  </si>
  <si>
    <t>Перечень многоквартирных домов, в отношении которых принято решение о проведении капитального ремонта общего имущества в связи с возникновением аварии, иных чрезвычайных ситуаций природного или техногенного характера</t>
  </si>
  <si>
    <t>Информация по многоквартирным домам, в отношении которых принято решение о проведении капитального ремонта общего имущества в связи с возникновением аварии, иных чрезвычайных ситуаций природного или техногенного характера</t>
  </si>
  <si>
    <t>Итого по Владимирской области в 2020 году</t>
  </si>
  <si>
    <t>Александровский р-н, Струнино г, Островского ул, 3</t>
  </si>
  <si>
    <t>ООО "УК "Содружество С"</t>
  </si>
  <si>
    <t>ХВС</t>
  </si>
  <si>
    <t>ГВС</t>
  </si>
  <si>
    <t>ТЕПЛО</t>
  </si>
  <si>
    <t>ВО</t>
  </si>
  <si>
    <t>ЭЛ</t>
  </si>
  <si>
    <t>ЛИФТ</t>
  </si>
  <si>
    <t>Крыша</t>
  </si>
  <si>
    <t>Подвал</t>
  </si>
  <si>
    <t>Фасад</t>
  </si>
  <si>
    <t>Фундамент</t>
  </si>
  <si>
    <t>Реконструкция</t>
  </si>
  <si>
    <t>вентканалы</t>
  </si>
  <si>
    <t xml:space="preserve">Получатель бюджетных средств - Некоммерческая организация (проведение капитального ремонта общего имущества в связи с возникновением аварии, иных чрезвычайных ситуаций природного или техногенного характера)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</si>
</sst>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[$-419]General"/>
    <numFmt numFmtId="167" formatCode="###\ ###\ ###\ ##0.00"/>
    <numFmt numFmtId="168" formatCode="###\ ###\ ###\ ##0"/>
    <numFmt numFmtId="169" formatCode="[$-419]#,##0.00"/>
  </numFmts>
  <fonts count="6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72"/>
      <name val="Times New Roman"/>
      <family val="1"/>
      <charset val="204"/>
    </font>
    <font>
      <sz val="72"/>
      <color indexed="8"/>
      <name val="Times New Roman"/>
      <family val="1"/>
      <charset val="204"/>
    </font>
    <font>
      <sz val="49"/>
      <color theme="1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48"/>
      <color indexed="81"/>
      <name val="Tahoma"/>
      <family val="2"/>
      <charset val="204"/>
    </font>
    <font>
      <sz val="4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sz val="36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24"/>
      <color theme="1"/>
      <name val="Calibri"/>
      <family val="2"/>
      <charset val="204"/>
      <scheme val="minor"/>
    </font>
    <font>
      <b/>
      <sz val="36"/>
      <color indexed="81"/>
      <name val="Tahoma"/>
      <family val="2"/>
      <charset val="204"/>
    </font>
    <font>
      <sz val="22"/>
      <color theme="1"/>
      <name val="Calibri"/>
      <family val="2"/>
      <charset val="204"/>
      <scheme val="minor"/>
    </font>
    <font>
      <sz val="48"/>
      <color rgb="FF000000"/>
      <name val="Tahoma"/>
      <family val="2"/>
      <charset val="204"/>
    </font>
    <font>
      <b/>
      <sz val="22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50"/>
        <bgColor rgb="FF008080"/>
      </patternFill>
    </fill>
    <fill>
      <patternFill patternType="solid">
        <fgColor rgb="FFCCCC00"/>
        <bgColor rgb="FFFFC000"/>
      </patternFill>
    </fill>
    <fill>
      <patternFill patternType="solid">
        <fgColor rgb="FF806000"/>
        <bgColor rgb="FF993300"/>
      </patternFill>
    </fill>
    <fill>
      <patternFill patternType="solid">
        <fgColor rgb="FF00B050"/>
        <bgColor rgb="FFFFC000"/>
      </patternFill>
    </fill>
    <fill>
      <patternFill patternType="solid">
        <fgColor rgb="FF00B050"/>
        <bgColor rgb="FF993300"/>
      </patternFill>
    </fill>
    <fill>
      <patternFill patternType="solid">
        <fgColor rgb="FFCCCC00"/>
        <bgColor rgb="FF008080"/>
      </patternFill>
    </fill>
    <fill>
      <patternFill patternType="solid">
        <fgColor rgb="FFCCCC00"/>
        <bgColor rgb="FF9933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06000"/>
        <bgColor rgb="FFCCCC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6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545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9" fillId="0" borderId="0" xfId="0" applyFont="1" applyFill="1" applyAlignment="1">
      <alignment wrapText="1"/>
    </xf>
    <xf numFmtId="0" fontId="30" fillId="0" borderId="1" xfId="9" applyNumberFormat="1" applyFont="1" applyFill="1" applyBorder="1" applyAlignment="1">
      <alignment horizontal="center" vertical="center"/>
    </xf>
    <xf numFmtId="4" fontId="30" fillId="0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7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7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0" fillId="0" borderId="0" xfId="19" applyFont="1" applyFill="1" applyAlignment="1">
      <alignment wrapText="1"/>
    </xf>
    <xf numFmtId="0" fontId="30" fillId="0" borderId="0" xfId="19" applyFont="1" applyFill="1" applyAlignment="1">
      <alignment horizontal="center" wrapText="1"/>
    </xf>
    <xf numFmtId="0" fontId="30" fillId="0" borderId="0" xfId="19" applyFont="1" applyFill="1" applyAlignment="1">
      <alignment vertical="center" wrapText="1"/>
    </xf>
    <xf numFmtId="0" fontId="30" fillId="0" borderId="1" xfId="29" applyFont="1" applyFill="1" applyBorder="1" applyAlignment="1">
      <alignment horizontal="center" vertical="center"/>
    </xf>
    <xf numFmtId="1" fontId="30" fillId="0" borderId="1" xfId="2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wrapText="1"/>
    </xf>
    <xf numFmtId="0" fontId="31" fillId="0" borderId="0" xfId="0" applyFont="1" applyFill="1"/>
    <xf numFmtId="0" fontId="0" fillId="0" borderId="0" xfId="0" applyNumberFormat="1" applyFill="1"/>
    <xf numFmtId="0" fontId="28" fillId="0" borderId="1" xfId="28" applyFont="1" applyFill="1" applyBorder="1" applyAlignment="1">
      <alignment horizontal="center"/>
    </xf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8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0" fontId="2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8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right" vertical="center" readingOrder="1"/>
    </xf>
    <xf numFmtId="0" fontId="30" fillId="0" borderId="1" xfId="0" applyFont="1" applyFill="1" applyBorder="1" applyAlignment="1">
      <alignment horizontal="left"/>
    </xf>
    <xf numFmtId="0" fontId="35" fillId="0" borderId="1" xfId="28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4" fontId="37" fillId="0" borderId="1" xfId="0" applyNumberFormat="1" applyFont="1" applyFill="1" applyBorder="1"/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5" fillId="0" borderId="1" xfId="28" applyFont="1" applyFill="1" applyBorder="1" applyAlignment="1">
      <alignment horizontal="left" vertical="center"/>
    </xf>
    <xf numFmtId="3" fontId="37" fillId="0" borderId="1" xfId="0" applyNumberFormat="1" applyFont="1" applyFill="1" applyBorder="1"/>
    <xf numFmtId="0" fontId="37" fillId="0" borderId="1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 wrapText="1"/>
    </xf>
    <xf numFmtId="0" fontId="30" fillId="0" borderId="0" xfId="19" applyFont="1" applyFill="1" applyAlignment="1">
      <alignment horizontal="right" wrapText="1"/>
    </xf>
    <xf numFmtId="4" fontId="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4" fontId="28" fillId="0" borderId="1" xfId="0" applyNumberFormat="1" applyFont="1" applyFill="1" applyBorder="1" applyAlignment="1">
      <alignment horizontal="right"/>
    </xf>
    <xf numFmtId="0" fontId="35" fillId="0" borderId="1" xfId="28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4" fontId="0" fillId="0" borderId="0" xfId="0" applyNumberFormat="1"/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/>
    <xf numFmtId="0" fontId="24" fillId="0" borderId="1" xfId="0" applyFont="1" applyFill="1" applyBorder="1" applyAlignment="1">
      <alignment horizontal="left"/>
    </xf>
    <xf numFmtId="0" fontId="23" fillId="0" borderId="0" xfId="0" applyFont="1" applyFill="1"/>
    <xf numFmtId="4" fontId="30" fillId="0" borderId="0" xfId="9" applyNumberFormat="1" applyFont="1" applyFill="1" applyBorder="1" applyAlignment="1">
      <alignment horizontal="center" vertical="center" textRotation="90" wrapText="1"/>
    </xf>
    <xf numFmtId="4" fontId="30" fillId="0" borderId="0" xfId="9" applyNumberFormat="1" applyFont="1" applyFill="1" applyBorder="1" applyAlignment="1">
      <alignment horizontal="center" vertical="center" wrapText="1"/>
    </xf>
    <xf numFmtId="4" fontId="30" fillId="0" borderId="0" xfId="9" applyNumberFormat="1" applyFont="1" applyFill="1" applyBorder="1" applyAlignment="1">
      <alignment horizontal="center" vertical="center"/>
    </xf>
    <xf numFmtId="0" fontId="30" fillId="0" borderId="0" xfId="9" applyFont="1" applyFill="1" applyBorder="1" applyAlignment="1">
      <alignment horizontal="center" vertical="center"/>
    </xf>
    <xf numFmtId="164" fontId="0" fillId="0" borderId="0" xfId="31" applyFont="1" applyFill="1"/>
    <xf numFmtId="0" fontId="2" fillId="0" borderId="0" xfId="0" applyFont="1"/>
    <xf numFmtId="0" fontId="42" fillId="0" borderId="0" xfId="0" applyFont="1"/>
    <xf numFmtId="0" fontId="4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4" fillId="0" borderId="0" xfId="23"/>
    <xf numFmtId="4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0" xfId="0" applyFont="1" applyFill="1"/>
    <xf numFmtId="4" fontId="23" fillId="2" borderId="0" xfId="0" applyNumberFormat="1" applyFont="1" applyFill="1"/>
    <xf numFmtId="0" fontId="1" fillId="0" borderId="0" xfId="0" applyFont="1"/>
    <xf numFmtId="0" fontId="45" fillId="0" borderId="0" xfId="28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4" fontId="21" fillId="0" borderId="0" xfId="8" applyNumberFormat="1" applyFont="1" applyAlignment="1">
      <alignment horizontal="center" vertical="center"/>
    </xf>
    <xf numFmtId="4" fontId="47" fillId="0" borderId="1" xfId="0" applyNumberFormat="1" applyFont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/>
    <xf numFmtId="4" fontId="24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23" fillId="0" borderId="0" xfId="0" applyFont="1"/>
    <xf numFmtId="4" fontId="37" fillId="0" borderId="0" xfId="0" applyNumberFormat="1" applyFont="1" applyAlignment="1">
      <alignment vertical="center"/>
    </xf>
    <xf numFmtId="0" fontId="17" fillId="0" borderId="1" xfId="0" applyFont="1" applyBorder="1"/>
    <xf numFmtId="0" fontId="31" fillId="0" borderId="1" xfId="0" applyFont="1" applyBorder="1"/>
    <xf numFmtId="0" fontId="31" fillId="0" borderId="0" xfId="0" applyFont="1"/>
    <xf numFmtId="0" fontId="41" fillId="0" borderId="0" xfId="0" applyFont="1" applyAlignment="1">
      <alignment horizontal="left" vertical="center"/>
    </xf>
    <xf numFmtId="3" fontId="14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5" fillId="0" borderId="1" xfId="0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4" fontId="23" fillId="0" borderId="1" xfId="0" applyNumberFormat="1" applyFont="1" applyFill="1" applyBorder="1"/>
    <xf numFmtId="0" fontId="37" fillId="0" borderId="1" xfId="0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4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3" fontId="37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horizontal="left" vertical="center" wrapText="1"/>
    </xf>
    <xf numFmtId="0" fontId="35" fillId="0" borderId="1" xfId="28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4" fontId="23" fillId="0" borderId="1" xfId="8" applyNumberFormat="1" applyFont="1" applyFill="1" applyBorder="1" applyAlignment="1">
      <alignment horizontal="right"/>
    </xf>
    <xf numFmtId="4" fontId="48" fillId="0" borderId="1" xfId="0" applyNumberFormat="1" applyFont="1" applyFill="1" applyBorder="1"/>
    <xf numFmtId="0" fontId="24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vertical="center"/>
    </xf>
    <xf numFmtId="0" fontId="45" fillId="0" borderId="0" xfId="28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4" fontId="21" fillId="0" borderId="1" xfId="8" applyNumberFormat="1" applyFont="1" applyFill="1" applyBorder="1" applyAlignment="1">
      <alignment horizontal="center" vertical="center"/>
    </xf>
    <xf numFmtId="4" fontId="21" fillId="0" borderId="0" xfId="8" applyNumberFormat="1" applyFont="1" applyFill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" xfId="28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43" fontId="0" fillId="0" borderId="0" xfId="0" applyNumberFormat="1" applyFill="1"/>
    <xf numFmtId="4" fontId="23" fillId="3" borderId="1" xfId="0" applyNumberFormat="1" applyFont="1" applyFill="1" applyBorder="1" applyAlignment="1">
      <alignment horizontal="right"/>
    </xf>
    <xf numFmtId="4" fontId="23" fillId="4" borderId="1" xfId="0" applyNumberFormat="1" applyFont="1" applyFill="1" applyBorder="1" applyAlignment="1">
      <alignment horizontal="right"/>
    </xf>
    <xf numFmtId="4" fontId="23" fillId="2" borderId="1" xfId="0" applyNumberFormat="1" applyFont="1" applyFill="1" applyBorder="1" applyAlignment="1">
      <alignment horizontal="right"/>
    </xf>
    <xf numFmtId="4" fontId="23" fillId="5" borderId="1" xfId="0" applyNumberFormat="1" applyFont="1" applyFill="1" applyBorder="1" applyAlignment="1">
      <alignment horizontal="right"/>
    </xf>
    <xf numFmtId="4" fontId="23" fillId="0" borderId="1" xfId="0" applyNumberFormat="1" applyFont="1" applyBorder="1" applyAlignment="1">
      <alignment horizontal="right"/>
    </xf>
    <xf numFmtId="4" fontId="23" fillId="6" borderId="1" xfId="0" applyNumberFormat="1" applyFont="1" applyFill="1" applyBorder="1" applyAlignment="1">
      <alignment horizontal="right" wrapText="1"/>
    </xf>
    <xf numFmtId="4" fontId="23" fillId="8" borderId="1" xfId="0" applyNumberFormat="1" applyFont="1" applyFill="1" applyBorder="1" applyAlignment="1">
      <alignment horizontal="right"/>
    </xf>
    <xf numFmtId="0" fontId="23" fillId="9" borderId="1" xfId="0" applyFont="1" applyFill="1" applyBorder="1" applyAlignment="1">
      <alignment horizontal="left"/>
    </xf>
    <xf numFmtId="0" fontId="23" fillId="10" borderId="1" xfId="0" applyFont="1" applyFill="1" applyBorder="1" applyAlignment="1">
      <alignment horizontal="left"/>
    </xf>
    <xf numFmtId="4" fontId="28" fillId="8" borderId="1" xfId="0" applyNumberFormat="1" applyFont="1" applyFill="1" applyBorder="1" applyAlignment="1">
      <alignment horizontal="right"/>
    </xf>
    <xf numFmtId="4" fontId="23" fillId="3" borderId="1" xfId="0" applyNumberFormat="1" applyFont="1" applyFill="1" applyBorder="1"/>
    <xf numFmtId="4" fontId="23" fillId="6" borderId="1" xfId="0" applyNumberFormat="1" applyFont="1" applyFill="1" applyBorder="1" applyAlignment="1">
      <alignment horizontal="right"/>
    </xf>
    <xf numFmtId="4" fontId="23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right" vertical="center" wrapText="1"/>
    </xf>
    <xf numFmtId="4" fontId="28" fillId="3" borderId="1" xfId="0" applyNumberFormat="1" applyFont="1" applyFill="1" applyBorder="1" applyAlignment="1">
      <alignment horizontal="right"/>
    </xf>
    <xf numFmtId="1" fontId="23" fillId="2" borderId="1" xfId="0" applyNumberFormat="1" applyFont="1" applyFill="1" applyBorder="1" applyAlignment="1">
      <alignment horizontal="center"/>
    </xf>
    <xf numFmtId="1" fontId="23" fillId="2" borderId="5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/>
    </xf>
    <xf numFmtId="4" fontId="23" fillId="4" borderId="1" xfId="0" applyNumberFormat="1" applyFont="1" applyFill="1" applyBorder="1"/>
    <xf numFmtId="4" fontId="23" fillId="5" borderId="1" xfId="8" applyNumberFormat="1" applyFont="1" applyFill="1" applyBorder="1" applyAlignment="1">
      <alignment horizontal="right"/>
    </xf>
    <xf numFmtId="4" fontId="23" fillId="3" borderId="1" xfId="0" applyNumberFormat="1" applyFont="1" applyFill="1" applyBorder="1" applyAlignment="1">
      <alignment horizontal="right" wrapText="1"/>
    </xf>
    <xf numFmtId="4" fontId="23" fillId="11" borderId="1" xfId="0" applyNumberFormat="1" applyFont="1" applyFill="1" applyBorder="1" applyAlignment="1">
      <alignment horizontal="right"/>
    </xf>
    <xf numFmtId="0" fontId="23" fillId="6" borderId="1" xfId="0" applyFont="1" applyFill="1" applyBorder="1" applyAlignment="1">
      <alignment horizontal="right"/>
    </xf>
    <xf numFmtId="167" fontId="23" fillId="2" borderId="1" xfId="0" applyNumberFormat="1" applyFont="1" applyFill="1" applyBorder="1" applyAlignment="1">
      <alignment horizontal="right"/>
    </xf>
    <xf numFmtId="0" fontId="4" fillId="0" borderId="0" xfId="24"/>
    <xf numFmtId="0" fontId="58" fillId="0" borderId="0" xfId="24" applyFont="1"/>
    <xf numFmtId="0" fontId="8" fillId="0" borderId="0" xfId="24" applyFont="1" applyAlignment="1">
      <alignment horizontal="right"/>
    </xf>
    <xf numFmtId="0" fontId="19" fillId="0" borderId="0" xfId="24" applyFont="1" applyAlignment="1">
      <alignment horizontal="right"/>
    </xf>
    <xf numFmtId="0" fontId="4" fillId="0" borderId="0" xfId="24" applyAlignment="1">
      <alignment horizontal="center"/>
    </xf>
    <xf numFmtId="0" fontId="37" fillId="0" borderId="0" xfId="24" applyFont="1"/>
    <xf numFmtId="0" fontId="43" fillId="0" borderId="1" xfId="8" applyFont="1" applyBorder="1" applyAlignment="1">
      <alignment horizontal="center" vertical="center" textRotation="90" wrapText="1"/>
    </xf>
    <xf numFmtId="4" fontId="43" fillId="0" borderId="1" xfId="24" applyNumberFormat="1" applyFont="1" applyBorder="1" applyAlignment="1">
      <alignment horizontal="center" vertical="center" wrapText="1"/>
    </xf>
    <xf numFmtId="0" fontId="43" fillId="0" borderId="1" xfId="24" applyFont="1" applyBorder="1" applyAlignment="1">
      <alignment horizontal="center" vertical="center" wrapText="1"/>
    </xf>
    <xf numFmtId="0" fontId="37" fillId="0" borderId="1" xfId="24" applyFont="1" applyBorder="1" applyAlignment="1">
      <alignment horizontal="center" wrapText="1"/>
    </xf>
    <xf numFmtId="0" fontId="43" fillId="0" borderId="1" xfId="24" applyFont="1" applyBorder="1" applyAlignment="1">
      <alignment horizontal="center" wrapText="1"/>
    </xf>
    <xf numFmtId="0" fontId="37" fillId="0" borderId="6" xfId="24" applyFont="1" applyBorder="1" applyAlignment="1">
      <alignment horizontal="left"/>
    </xf>
    <xf numFmtId="4" fontId="37" fillId="0" borderId="1" xfId="24" applyNumberFormat="1" applyFont="1" applyBorder="1" applyAlignment="1">
      <alignment horizontal="right" wrapText="1"/>
    </xf>
    <xf numFmtId="0" fontId="37" fillId="0" borderId="1" xfId="24" applyFont="1" applyBorder="1" applyAlignment="1">
      <alignment horizontal="right" wrapText="1"/>
    </xf>
    <xf numFmtId="0" fontId="37" fillId="0" borderId="1" xfId="24" applyFont="1" applyBorder="1" applyAlignment="1">
      <alignment horizontal="left"/>
    </xf>
    <xf numFmtId="0" fontId="37" fillId="0" borderId="1" xfId="24" applyFont="1" applyBorder="1" applyAlignment="1">
      <alignment horizontal="center"/>
    </xf>
    <xf numFmtId="0" fontId="37" fillId="0" borderId="1" xfId="24" applyFont="1" applyBorder="1"/>
    <xf numFmtId="4" fontId="37" fillId="0" borderId="1" xfId="24" applyNumberFormat="1" applyFont="1" applyBorder="1"/>
    <xf numFmtId="0" fontId="4" fillId="0" borderId="0" xfId="23" applyFill="1"/>
    <xf numFmtId="0" fontId="40" fillId="0" borderId="0" xfId="0" applyFont="1" applyFill="1"/>
    <xf numFmtId="0" fontId="43" fillId="0" borderId="1" xfId="8" applyFont="1" applyFill="1" applyBorder="1" applyAlignment="1">
      <alignment horizontal="center" vertical="center" textRotation="90" wrapText="1"/>
    </xf>
    <xf numFmtId="0" fontId="40" fillId="0" borderId="0" xfId="0" applyFont="1" applyFill="1" applyAlignment="1">
      <alignment vertical="center"/>
    </xf>
    <xf numFmtId="4" fontId="40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5" fillId="0" borderId="0" xfId="8" applyFill="1"/>
    <xf numFmtId="0" fontId="30" fillId="0" borderId="1" xfId="19" applyFont="1" applyFill="1" applyBorder="1" applyAlignment="1">
      <alignment horizontal="left"/>
    </xf>
    <xf numFmtId="0" fontId="30" fillId="0" borderId="1" xfId="19" applyFont="1" applyFill="1" applyBorder="1"/>
    <xf numFmtId="4" fontId="15" fillId="0" borderId="1" xfId="19" applyNumberFormat="1" applyFont="1" applyFill="1" applyBorder="1" applyAlignment="1">
      <alignment horizontal="right" wrapText="1"/>
    </xf>
    <xf numFmtId="4" fontId="15" fillId="0" borderId="1" xfId="19" applyNumberFormat="1" applyFont="1" applyFill="1" applyBorder="1" applyAlignment="1">
      <alignment horizontal="center" wrapText="1"/>
    </xf>
    <xf numFmtId="4" fontId="15" fillId="0" borderId="1" xfId="19" applyNumberFormat="1" applyFont="1" applyFill="1" applyBorder="1"/>
    <xf numFmtId="1" fontId="15" fillId="0" borderId="1" xfId="19" applyNumberFormat="1" applyFont="1" applyFill="1" applyBorder="1"/>
    <xf numFmtId="0" fontId="15" fillId="0" borderId="1" xfId="19" applyFont="1" applyFill="1" applyBorder="1" applyAlignment="1">
      <alignment horizontal="center"/>
    </xf>
    <xf numFmtId="4" fontId="15" fillId="0" borderId="1" xfId="19" applyNumberFormat="1" applyFont="1" applyFill="1" applyBorder="1" applyAlignment="1">
      <alignment horizontal="right"/>
    </xf>
    <xf numFmtId="1" fontId="15" fillId="0" borderId="1" xfId="19" applyNumberFormat="1" applyFont="1" applyFill="1" applyBorder="1" applyAlignment="1">
      <alignment horizontal="right"/>
    </xf>
    <xf numFmtId="0" fontId="30" fillId="0" borderId="6" xfId="19" applyFont="1" applyFill="1" applyBorder="1" applyAlignment="1">
      <alignment horizontal="left"/>
    </xf>
    <xf numFmtId="4" fontId="23" fillId="3" borderId="1" xfId="8" applyNumberFormat="1" applyFont="1" applyFill="1" applyBorder="1" applyAlignment="1">
      <alignment horizontal="right"/>
    </xf>
    <xf numFmtId="4" fontId="23" fillId="6" borderId="1" xfId="0" applyNumberFormat="1" applyFont="1" applyFill="1" applyBorder="1" applyAlignment="1"/>
    <xf numFmtId="4" fontId="23" fillId="3" borderId="1" xfId="0" applyNumberFormat="1" applyFont="1" applyFill="1" applyBorder="1" applyAlignment="1"/>
    <xf numFmtId="4" fontId="23" fillId="3" borderId="1" xfId="0" applyNumberFormat="1" applyFont="1" applyFill="1" applyBorder="1" applyAlignment="1">
      <alignment vertical="center" wrapText="1"/>
    </xf>
    <xf numFmtId="0" fontId="48" fillId="6" borderId="1" xfId="0" applyFont="1" applyFill="1" applyBorder="1" applyAlignment="1">
      <alignment horizontal="right"/>
    </xf>
    <xf numFmtId="4" fontId="25" fillId="12" borderId="1" xfId="0" applyNumberFormat="1" applyFont="1" applyFill="1" applyBorder="1" applyAlignment="1">
      <alignment horizontal="right"/>
    </xf>
    <xf numFmtId="4" fontId="25" fillId="13" borderId="1" xfId="0" applyNumberFormat="1" applyFont="1" applyFill="1" applyBorder="1" applyAlignment="1">
      <alignment horizontal="right"/>
    </xf>
    <xf numFmtId="0" fontId="28" fillId="0" borderId="1" xfId="28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right"/>
    </xf>
    <xf numFmtId="0" fontId="25" fillId="14" borderId="1" xfId="0" applyFont="1" applyFill="1" applyBorder="1" applyAlignment="1">
      <alignment horizontal="right"/>
    </xf>
    <xf numFmtId="4" fontId="25" fillId="14" borderId="1" xfId="0" applyNumberFormat="1" applyFont="1" applyFill="1" applyBorder="1" applyAlignment="1">
      <alignment horizontal="right"/>
    </xf>
    <xf numFmtId="4" fontId="25" fillId="15" borderId="1" xfId="0" applyNumberFormat="1" applyFont="1" applyFill="1" applyBorder="1" applyAlignment="1">
      <alignment horizontal="right"/>
    </xf>
    <xf numFmtId="4" fontId="25" fillId="12" borderId="1" xfId="8" applyNumberFormat="1" applyFont="1" applyFill="1" applyBorder="1" applyAlignment="1">
      <alignment horizontal="right"/>
    </xf>
    <xf numFmtId="4" fontId="25" fillId="13" borderId="1" xfId="8" applyNumberFormat="1" applyFont="1" applyFill="1" applyBorder="1" applyAlignment="1">
      <alignment horizontal="right"/>
    </xf>
    <xf numFmtId="3" fontId="40" fillId="0" borderId="1" xfId="0" applyNumberFormat="1" applyFont="1" applyFill="1" applyBorder="1" applyAlignment="1">
      <alignment horizontal="right" vertical="center"/>
    </xf>
    <xf numFmtId="168" fontId="23" fillId="0" borderId="5" xfId="0" applyNumberFormat="1" applyFont="1" applyBorder="1" applyAlignment="1">
      <alignment horizontal="center"/>
    </xf>
    <xf numFmtId="10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8" fontId="23" fillId="0" borderId="1" xfId="0" applyNumberFormat="1" applyFont="1" applyBorder="1" applyAlignment="1">
      <alignment horizontal="left"/>
    </xf>
    <xf numFmtId="167" fontId="31" fillId="0" borderId="1" xfId="0" applyNumberFormat="1" applyFont="1" applyBorder="1" applyAlignment="1">
      <alignment wrapText="1"/>
    </xf>
    <xf numFmtId="0" fontId="23" fillId="0" borderId="5" xfId="0" applyFont="1" applyBorder="1" applyAlignment="1">
      <alignment horizontal="center"/>
    </xf>
    <xf numFmtId="167" fontId="23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center" wrapText="1"/>
    </xf>
    <xf numFmtId="167" fontId="23" fillId="0" borderId="1" xfId="0" applyNumberFormat="1" applyFont="1" applyBorder="1" applyAlignment="1">
      <alignment horizontal="right"/>
    </xf>
    <xf numFmtId="0" fontId="23" fillId="0" borderId="5" xfId="0" applyFont="1" applyBorder="1" applyAlignment="1">
      <alignment horizontal="center" wrapText="1"/>
    </xf>
    <xf numFmtId="0" fontId="0" fillId="2" borderId="0" xfId="0" applyFill="1"/>
    <xf numFmtId="0" fontId="28" fillId="2" borderId="1" xfId="28" applyFont="1" applyFill="1" applyBorder="1" applyAlignment="1">
      <alignment horizontal="center"/>
    </xf>
    <xf numFmtId="167" fontId="23" fillId="2" borderId="1" xfId="0" applyNumberFormat="1" applyFont="1" applyFill="1" applyBorder="1" applyAlignment="1">
      <alignment horizontal="left" wrapText="1"/>
    </xf>
    <xf numFmtId="10" fontId="23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center"/>
    </xf>
    <xf numFmtId="0" fontId="31" fillId="2" borderId="0" xfId="0" applyFont="1" applyFill="1"/>
    <xf numFmtId="4" fontId="28" fillId="0" borderId="1" xfId="0" applyNumberFormat="1" applyFont="1" applyBorder="1" applyAlignment="1">
      <alignment horizontal="right"/>
    </xf>
    <xf numFmtId="0" fontId="28" fillId="0" borderId="1" xfId="28" applyFont="1" applyBorder="1" applyAlignment="1">
      <alignment horizontal="left" vertical="center"/>
    </xf>
    <xf numFmtId="0" fontId="28" fillId="2" borderId="1" xfId="28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center"/>
    </xf>
    <xf numFmtId="168" fontId="30" fillId="0" borderId="1" xfId="0" applyNumberFormat="1" applyFont="1" applyBorder="1" applyAlignment="1">
      <alignment horizontal="left"/>
    </xf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wrapText="1"/>
    </xf>
    <xf numFmtId="4" fontId="43" fillId="0" borderId="1" xfId="0" applyNumberFormat="1" applyFont="1" applyBorder="1" applyAlignment="1">
      <alignment horizontal="right"/>
    </xf>
    <xf numFmtId="3" fontId="43" fillId="0" borderId="1" xfId="0" applyNumberFormat="1" applyFont="1" applyBorder="1" applyAlignment="1">
      <alignment horizontal="right"/>
    </xf>
    <xf numFmtId="3" fontId="43" fillId="0" borderId="1" xfId="0" applyNumberFormat="1" applyFont="1" applyBorder="1" applyAlignment="1">
      <alignment horizontal="center"/>
    </xf>
    <xf numFmtId="1" fontId="35" fillId="0" borderId="1" xfId="28" applyNumberFormat="1" applyFont="1" applyBorder="1" applyAlignment="1">
      <alignment horizontal="center"/>
    </xf>
    <xf numFmtId="167" fontId="30" fillId="0" borderId="1" xfId="0" applyNumberFormat="1" applyFont="1" applyBorder="1" applyAlignment="1">
      <alignment horizontal="left" wrapText="1"/>
    </xf>
    <xf numFmtId="4" fontId="43" fillId="2" borderId="1" xfId="0" applyNumberFormat="1" applyFont="1" applyFill="1" applyBorder="1" applyAlignment="1">
      <alignment horizontal="right"/>
    </xf>
    <xf numFmtId="0" fontId="58" fillId="0" borderId="0" xfId="0" applyFont="1"/>
    <xf numFmtId="0" fontId="60" fillId="0" borderId="0" xfId="0" applyFont="1"/>
    <xf numFmtId="1" fontId="35" fillId="2" borderId="1" xfId="28" applyNumberFormat="1" applyFont="1" applyFill="1" applyBorder="1" applyAlignment="1">
      <alignment horizontal="center"/>
    </xf>
    <xf numFmtId="167" fontId="30" fillId="2" borderId="1" xfId="0" applyNumberFormat="1" applyFont="1" applyFill="1" applyBorder="1" applyAlignment="1">
      <alignment horizontal="left" wrapText="1"/>
    </xf>
    <xf numFmtId="0" fontId="43" fillId="2" borderId="1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 wrapText="1"/>
    </xf>
    <xf numFmtId="3" fontId="43" fillId="2" borderId="1" xfId="0" applyNumberFormat="1" applyFont="1" applyFill="1" applyBorder="1" applyAlignment="1">
      <alignment horizontal="right"/>
    </xf>
    <xf numFmtId="3" fontId="43" fillId="2" borderId="1" xfId="0" applyNumberFormat="1" applyFont="1" applyFill="1" applyBorder="1" applyAlignment="1">
      <alignment horizontal="center"/>
    </xf>
    <xf numFmtId="0" fontId="58" fillId="2" borderId="0" xfId="0" applyFont="1" applyFill="1"/>
    <xf numFmtId="4" fontId="0" fillId="2" borderId="0" xfId="0" applyNumberFormat="1" applyFill="1"/>
    <xf numFmtId="0" fontId="60" fillId="2" borderId="0" xfId="0" applyFont="1" applyFill="1"/>
    <xf numFmtId="4" fontId="43" fillId="0" borderId="1" xfId="0" applyNumberFormat="1" applyFont="1" applyBorder="1" applyAlignment="1">
      <alignment horizontal="center"/>
    </xf>
    <xf numFmtId="4" fontId="43" fillId="2" borderId="1" xfId="0" applyNumberFormat="1" applyFont="1" applyFill="1" applyBorder="1" applyAlignment="1">
      <alignment horizontal="center"/>
    </xf>
    <xf numFmtId="0" fontId="35" fillId="2" borderId="1" xfId="28" applyFont="1" applyFill="1" applyBorder="1" applyAlignment="1">
      <alignment horizontal="center"/>
    </xf>
    <xf numFmtId="4" fontId="25" fillId="16" borderId="1" xfId="0" applyNumberFormat="1" applyFont="1" applyFill="1" applyBorder="1" applyAlignment="1">
      <alignment horizontal="right"/>
    </xf>
    <xf numFmtId="4" fontId="25" fillId="13" borderId="1" xfId="0" applyNumberFormat="1" applyFont="1" applyFill="1" applyBorder="1" applyAlignment="1">
      <alignment horizontal="right" wrapText="1"/>
    </xf>
    <xf numFmtId="0" fontId="25" fillId="16" borderId="1" xfId="0" applyFont="1" applyFill="1" applyBorder="1" applyAlignment="1">
      <alignment horizontal="right"/>
    </xf>
    <xf numFmtId="0" fontId="25" fillId="1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0" fontId="23" fillId="8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 wrapText="1"/>
    </xf>
    <xf numFmtId="4" fontId="25" fillId="17" borderId="1" xfId="8" applyNumberFormat="1" applyFont="1" applyFill="1" applyBorder="1" applyAlignment="1">
      <alignment horizontal="right"/>
    </xf>
    <xf numFmtId="4" fontId="25" fillId="17" borderId="1" xfId="0" applyNumberFormat="1" applyFont="1" applyFill="1" applyBorder="1" applyAlignment="1">
      <alignment horizontal="right"/>
    </xf>
    <xf numFmtId="169" fontId="25" fillId="17" borderId="1" xfId="10" applyNumberFormat="1" applyFont="1" applyFill="1" applyBorder="1" applyAlignment="1">
      <alignment horizontal="right"/>
    </xf>
    <xf numFmtId="4" fontId="25" fillId="18" borderId="1" xfId="0" applyNumberFormat="1" applyFont="1" applyFill="1" applyBorder="1" applyAlignment="1">
      <alignment horizontal="right"/>
    </xf>
    <xf numFmtId="4" fontId="25" fillId="0" borderId="1" xfId="0" applyNumberFormat="1" applyFont="1" applyBorder="1" applyAlignment="1">
      <alignment horizontal="right"/>
    </xf>
    <xf numFmtId="4" fontId="25" fillId="6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4" fontId="23" fillId="6" borderId="1" xfId="0" applyNumberFormat="1" applyFont="1" applyFill="1" applyBorder="1"/>
    <xf numFmtId="4" fontId="23" fillId="6" borderId="2" xfId="0" applyNumberFormat="1" applyFont="1" applyFill="1" applyBorder="1"/>
    <xf numFmtId="0" fontId="23" fillId="10" borderId="1" xfId="0" applyFont="1" applyFill="1" applyBorder="1" applyAlignment="1">
      <alignment horizontal="center" wrapText="1"/>
    </xf>
    <xf numFmtId="0" fontId="23" fillId="10" borderId="5" xfId="0" applyFont="1" applyFill="1" applyBorder="1" applyAlignment="1">
      <alignment horizontal="center" wrapText="1"/>
    </xf>
    <xf numFmtId="1" fontId="23" fillId="10" borderId="1" xfId="0" applyNumberFormat="1" applyFont="1" applyFill="1" applyBorder="1" applyAlignment="1">
      <alignment horizontal="center"/>
    </xf>
    <xf numFmtId="1" fontId="23" fillId="10" borderId="5" xfId="0" applyNumberFormat="1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4" fontId="25" fillId="5" borderId="1" xfId="0" applyNumberFormat="1" applyFont="1" applyFill="1" applyBorder="1" applyAlignment="1">
      <alignment horizontal="right"/>
    </xf>
    <xf numFmtId="4" fontId="25" fillId="20" borderId="1" xfId="0" applyNumberFormat="1" applyFont="1" applyFill="1" applyBorder="1" applyAlignment="1">
      <alignment horizontal="right"/>
    </xf>
    <xf numFmtId="4" fontId="25" fillId="19" borderId="1" xfId="0" applyNumberFormat="1" applyFont="1" applyFill="1" applyBorder="1" applyAlignment="1">
      <alignment horizontal="right"/>
    </xf>
    <xf numFmtId="4" fontId="25" fillId="6" borderId="1" xfId="8" applyNumberFormat="1" applyFont="1" applyFill="1" applyBorder="1" applyAlignment="1">
      <alignment horizontal="right"/>
    </xf>
    <xf numFmtId="4" fontId="37" fillId="0" borderId="1" xfId="0" applyNumberFormat="1" applyFont="1" applyBorder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right" vertical="center"/>
    </xf>
    <xf numFmtId="0" fontId="37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/>
    </xf>
    <xf numFmtId="4" fontId="37" fillId="0" borderId="1" xfId="0" applyNumberFormat="1" applyFont="1" applyBorder="1" applyAlignment="1">
      <alignment horizontal="right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3" fontId="40" fillId="0" borderId="1" xfId="0" applyNumberFormat="1" applyFont="1" applyBorder="1" applyAlignment="1">
      <alignment vertical="center"/>
    </xf>
    <xf numFmtId="4" fontId="40" fillId="0" borderId="1" xfId="0" applyNumberFormat="1" applyFont="1" applyBorder="1" applyAlignment="1">
      <alignment horizontal="right" vertical="center"/>
    </xf>
    <xf numFmtId="0" fontId="40" fillId="0" borderId="1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right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 vertical="center" wrapText="1"/>
    </xf>
    <xf numFmtId="0" fontId="62" fillId="0" borderId="0" xfId="0" applyFont="1" applyFill="1" applyAlignment="1">
      <alignment horizontal="center" vertical="center" wrapText="1"/>
    </xf>
    <xf numFmtId="4" fontId="37" fillId="0" borderId="0" xfId="9" applyNumberFormat="1" applyFont="1" applyFill="1" applyBorder="1" applyAlignment="1">
      <alignment horizontal="center" vertical="center" textRotation="90" wrapText="1"/>
    </xf>
    <xf numFmtId="4" fontId="37" fillId="0" borderId="0" xfId="9" applyNumberFormat="1" applyFont="1" applyFill="1" applyBorder="1" applyAlignment="1">
      <alignment horizontal="center" vertical="center" wrapText="1"/>
    </xf>
    <xf numFmtId="4" fontId="37" fillId="0" borderId="0" xfId="9" applyNumberFormat="1" applyFont="1" applyFill="1" applyBorder="1" applyAlignment="1">
      <alignment horizontal="center" vertical="center"/>
    </xf>
    <xf numFmtId="0" fontId="37" fillId="0" borderId="0" xfId="9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right" vertical="center"/>
    </xf>
    <xf numFmtId="4" fontId="37" fillId="0" borderId="5" xfId="0" applyNumberFormat="1" applyFont="1" applyFill="1" applyBorder="1" applyAlignment="1">
      <alignment horizontal="right" vertical="center"/>
    </xf>
    <xf numFmtId="0" fontId="37" fillId="0" borderId="0" xfId="0" applyFont="1" applyFill="1"/>
    <xf numFmtId="4" fontId="37" fillId="0" borderId="0" xfId="0" applyNumberFormat="1" applyFont="1" applyFill="1"/>
    <xf numFmtId="0" fontId="30" fillId="2" borderId="1" xfId="0" applyFont="1" applyFill="1" applyBorder="1" applyAlignment="1">
      <alignment horizontal="left"/>
    </xf>
    <xf numFmtId="0" fontId="30" fillId="2" borderId="1" xfId="0" applyFont="1" applyFill="1" applyBorder="1"/>
    <xf numFmtId="0" fontId="37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/>
    </xf>
    <xf numFmtId="4" fontId="37" fillId="2" borderId="1" xfId="0" applyNumberFormat="1" applyFont="1" applyFill="1" applyBorder="1" applyAlignment="1">
      <alignment horizontal="right" vertical="center"/>
    </xf>
    <xf numFmtId="4" fontId="37" fillId="2" borderId="1" xfId="0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left" vertical="center"/>
    </xf>
    <xf numFmtId="0" fontId="40" fillId="2" borderId="1" xfId="0" applyFont="1" applyFill="1" applyBorder="1" applyAlignment="1">
      <alignment horizontal="center" vertical="center" wrapText="1"/>
    </xf>
    <xf numFmtId="4" fontId="40" fillId="2" borderId="1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horizontal="left" vertical="center"/>
    </xf>
    <xf numFmtId="4" fontId="37" fillId="0" borderId="0" xfId="0" applyNumberFormat="1" applyFont="1"/>
    <xf numFmtId="4" fontId="37" fillId="2" borderId="0" xfId="0" applyNumberFormat="1" applyFont="1" applyFill="1"/>
    <xf numFmtId="4" fontId="43" fillId="0" borderId="1" xfId="0" applyNumberFormat="1" applyFont="1" applyFill="1" applyBorder="1" applyAlignment="1">
      <alignment horizontal="right"/>
    </xf>
    <xf numFmtId="0" fontId="30" fillId="21" borderId="1" xfId="0" applyFont="1" applyFill="1" applyBorder="1" applyAlignment="1">
      <alignment horizontal="left"/>
    </xf>
    <xf numFmtId="0" fontId="46" fillId="0" borderId="6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45" fillId="0" borderId="6" xfId="28" applyFont="1" applyFill="1" applyBorder="1" applyAlignment="1">
      <alignment horizontal="center" vertical="center"/>
    </xf>
    <xf numFmtId="0" fontId="45" fillId="0" borderId="7" xfId="28" applyFont="1" applyFill="1" applyBorder="1" applyAlignment="1">
      <alignment horizontal="center" vertical="center"/>
    </xf>
    <xf numFmtId="0" fontId="45" fillId="0" borderId="5" xfId="28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NumberFormat="1" applyFont="1" applyFill="1" applyBorder="1" applyAlignment="1">
      <alignment horizontal="center" vertical="center" textRotation="90" wrapText="1"/>
    </xf>
    <xf numFmtId="0" fontId="30" fillId="0" borderId="1" xfId="9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0" fillId="0" borderId="1" xfId="9" applyFont="1" applyFill="1" applyBorder="1" applyAlignment="1">
      <alignment horizontal="center" textRotation="90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 textRotation="90" wrapText="1"/>
    </xf>
    <xf numFmtId="0" fontId="24" fillId="0" borderId="8" xfId="23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4" fontId="43" fillId="0" borderId="2" xfId="0" applyNumberFormat="1" applyFont="1" applyFill="1" applyBorder="1" applyAlignment="1">
      <alignment horizontal="center" vertical="center" textRotation="90" wrapText="1"/>
    </xf>
    <xf numFmtId="4" fontId="43" fillId="0" borderId="3" xfId="0" applyNumberFormat="1" applyFont="1" applyFill="1" applyBorder="1" applyAlignment="1">
      <alignment horizontal="center" vertical="center" textRotation="90" wrapText="1"/>
    </xf>
    <xf numFmtId="4" fontId="43" fillId="0" borderId="4" xfId="0" applyNumberFormat="1" applyFont="1" applyFill="1" applyBorder="1" applyAlignment="1">
      <alignment horizontal="center" vertical="center" textRotation="90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15" fillId="0" borderId="1" xfId="33" applyFont="1" applyFill="1" applyBorder="1" applyAlignment="1">
      <alignment horizontal="center" vertical="center" textRotation="90" wrapText="1"/>
    </xf>
    <xf numFmtId="0" fontId="43" fillId="0" borderId="1" xfId="0" applyFont="1" applyFill="1" applyBorder="1" applyAlignment="1">
      <alignment horizontal="center" vertical="center" textRotation="90" wrapText="1"/>
    </xf>
    <xf numFmtId="0" fontId="43" fillId="0" borderId="1" xfId="32" applyFont="1" applyBorder="1" applyAlignment="1">
      <alignment horizontal="center" vertical="center" textRotation="90" wrapText="1"/>
    </xf>
    <xf numFmtId="0" fontId="43" fillId="0" borderId="1" xfId="24" applyFont="1" applyBorder="1" applyAlignment="1">
      <alignment horizontal="center" vertical="center" wrapText="1"/>
    </xf>
    <xf numFmtId="0" fontId="43" fillId="0" borderId="1" xfId="24" applyFont="1" applyBorder="1" applyAlignment="1">
      <alignment horizontal="center" vertical="center" textRotation="90" wrapText="1"/>
    </xf>
    <xf numFmtId="2" fontId="43" fillId="0" borderId="2" xfId="24" applyNumberFormat="1" applyFont="1" applyBorder="1" applyAlignment="1">
      <alignment horizontal="center" vertical="center" textRotation="90" wrapText="1"/>
    </xf>
    <xf numFmtId="2" fontId="43" fillId="0" borderId="4" xfId="24" applyNumberFormat="1" applyFont="1" applyBorder="1" applyAlignment="1">
      <alignment horizontal="center" vertical="center" textRotation="90" wrapText="1"/>
    </xf>
    <xf numFmtId="0" fontId="58" fillId="0" borderId="0" xfId="24" applyFont="1" applyAlignment="1">
      <alignment horizontal="center"/>
    </xf>
    <xf numFmtId="0" fontId="7" fillId="0" borderId="0" xfId="24" applyFont="1" applyAlignment="1">
      <alignment horizontal="right"/>
    </xf>
    <xf numFmtId="0" fontId="24" fillId="0" borderId="8" xfId="24" applyFont="1" applyBorder="1" applyAlignment="1">
      <alignment horizontal="center" vertical="center" wrapText="1"/>
    </xf>
    <xf numFmtId="0" fontId="30" fillId="0" borderId="1" xfId="24" applyFont="1" applyBorder="1" applyAlignment="1">
      <alignment horizontal="center" vertical="center" wrapText="1"/>
    </xf>
    <xf numFmtId="4" fontId="43" fillId="0" borderId="2" xfId="24" applyNumberFormat="1" applyFont="1" applyBorder="1" applyAlignment="1">
      <alignment horizontal="center" vertical="center" textRotation="90" wrapText="1"/>
    </xf>
    <xf numFmtId="4" fontId="43" fillId="0" borderId="3" xfId="24" applyNumberFormat="1" applyFont="1" applyBorder="1" applyAlignment="1">
      <alignment horizontal="center" vertical="center" textRotation="90" wrapText="1"/>
    </xf>
    <xf numFmtId="4" fontId="43" fillId="0" borderId="4" xfId="24" applyNumberFormat="1" applyFont="1" applyBorder="1" applyAlignment="1">
      <alignment horizontal="center" vertical="center" textRotation="90" wrapText="1"/>
    </xf>
    <xf numFmtId="2" fontId="43" fillId="0" borderId="9" xfId="24" applyNumberFormat="1" applyFont="1" applyBorder="1" applyAlignment="1">
      <alignment horizontal="center" vertical="center" wrapText="1"/>
    </xf>
    <xf numFmtId="2" fontId="43" fillId="0" borderId="13" xfId="24" applyNumberFormat="1" applyFont="1" applyBorder="1" applyAlignment="1">
      <alignment horizontal="center" vertical="center" wrapText="1"/>
    </xf>
    <xf numFmtId="168" fontId="23" fillId="0" borderId="6" xfId="0" applyNumberFormat="1" applyFont="1" applyBorder="1" applyAlignment="1">
      <alignment horizontal="left"/>
    </xf>
    <xf numFmtId="168" fontId="23" fillId="0" borderId="5" xfId="0" applyNumberFormat="1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26" fillId="0" borderId="6" xfId="29" applyFont="1" applyBorder="1" applyAlignment="1">
      <alignment horizontal="center" vertical="center"/>
    </xf>
    <xf numFmtId="0" fontId="26" fillId="0" borderId="7" xfId="29" applyFont="1" applyBorder="1" applyAlignment="1">
      <alignment horizontal="center" vertical="center"/>
    </xf>
    <xf numFmtId="0" fontId="26" fillId="0" borderId="5" xfId="29" applyFont="1" applyBorder="1" applyAlignment="1">
      <alignment horizontal="center" vertical="center"/>
    </xf>
    <xf numFmtId="0" fontId="30" fillId="0" borderId="0" xfId="19" applyFont="1" applyFill="1" applyAlignment="1">
      <alignment horizontal="right" wrapText="1"/>
    </xf>
    <xf numFmtId="0" fontId="30" fillId="0" borderId="0" xfId="19" applyFont="1" applyFill="1" applyAlignment="1">
      <alignment horizontal="right" vertical="center" wrapText="1"/>
    </xf>
    <xf numFmtId="0" fontId="39" fillId="0" borderId="0" xfId="19" applyFont="1" applyFill="1" applyAlignment="1">
      <alignment horizontal="center" vertical="center" wrapText="1"/>
    </xf>
    <xf numFmtId="0" fontId="30" fillId="0" borderId="1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vertical="center" wrapText="1"/>
    </xf>
    <xf numFmtId="0" fontId="30" fillId="0" borderId="1" xfId="29" applyFont="1" applyFill="1" applyBorder="1" applyAlignment="1">
      <alignment vertical="center"/>
    </xf>
    <xf numFmtId="0" fontId="30" fillId="0" borderId="1" xfId="29" applyFont="1" applyFill="1" applyBorder="1" applyAlignment="1">
      <alignment horizontal="center" vertical="center" textRotation="90" wrapText="1"/>
    </xf>
    <xf numFmtId="0" fontId="30" fillId="0" borderId="2" xfId="29" applyFont="1" applyFill="1" applyBorder="1" applyAlignment="1">
      <alignment horizontal="center" vertical="center" textRotation="90" wrapText="1"/>
    </xf>
    <xf numFmtId="0" fontId="30" fillId="0" borderId="3" xfId="29" applyFont="1" applyFill="1" applyBorder="1" applyAlignment="1">
      <alignment vertical="center" wrapText="1"/>
    </xf>
    <xf numFmtId="0" fontId="30" fillId="0" borderId="4" xfId="29" applyFont="1" applyFill="1" applyBorder="1" applyAlignment="1">
      <alignment vertical="center"/>
    </xf>
    <xf numFmtId="0" fontId="26" fillId="0" borderId="6" xfId="29" applyFont="1" applyFill="1" applyBorder="1" applyAlignment="1">
      <alignment horizontal="center" vertical="center"/>
    </xf>
    <xf numFmtId="0" fontId="26" fillId="0" borderId="7" xfId="29" applyFont="1" applyFill="1" applyBorder="1" applyAlignment="1">
      <alignment horizontal="center" vertical="center"/>
    </xf>
    <xf numFmtId="0" fontId="26" fillId="0" borderId="5" xfId="29" applyFont="1" applyFill="1" applyBorder="1" applyAlignment="1">
      <alignment horizontal="center" vertical="center"/>
    </xf>
    <xf numFmtId="0" fontId="30" fillId="0" borderId="2" xfId="29" applyFont="1" applyFill="1" applyBorder="1" applyAlignment="1">
      <alignment horizontal="center" textRotation="90" wrapText="1"/>
    </xf>
    <xf numFmtId="0" fontId="30" fillId="0" borderId="3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wrapText="1"/>
    </xf>
    <xf numFmtId="0" fontId="30" fillId="0" borderId="3" xfId="29" applyFont="1" applyFill="1" applyBorder="1" applyAlignment="1">
      <alignment horizontal="center" textRotation="90" wrapText="1"/>
    </xf>
    <xf numFmtId="0" fontId="30" fillId="0" borderId="4" xfId="29" applyFont="1" applyFill="1" applyBorder="1" applyAlignment="1">
      <alignment horizontal="center" textRotation="90" wrapText="1"/>
    </xf>
    <xf numFmtId="0" fontId="30" fillId="0" borderId="2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horizontal="center" vertical="center" wrapText="1"/>
    </xf>
    <xf numFmtId="0" fontId="30" fillId="0" borderId="4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horizontal="center" textRotation="90" wrapText="1"/>
    </xf>
    <xf numFmtId="0" fontId="30" fillId="0" borderId="1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vertical="center"/>
    </xf>
    <xf numFmtId="0" fontId="30" fillId="0" borderId="4" xfId="29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19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</cellXfs>
  <cellStyles count="34">
    <cellStyle name="Excel Built-in Normal" xfId="10"/>
    <cellStyle name="Excel Built-in Normal 1" xfId="22"/>
    <cellStyle name="Excel Built-in Normal 2 2" xfId="14"/>
    <cellStyle name="Обычный" xfId="0" builtinId="0"/>
    <cellStyle name="Обычный 10" xfId="11"/>
    <cellStyle name="Обычный 11" xfId="19"/>
    <cellStyle name="Обычный 13" xfId="17"/>
    <cellStyle name="Обычный 14" xfId="1"/>
    <cellStyle name="Обычный 15" xfId="24"/>
    <cellStyle name="Обычный 17" xfId="6"/>
    <cellStyle name="Обычный 18" xfId="4"/>
    <cellStyle name="Обычный 19" xfId="5"/>
    <cellStyle name="Обычный 2" xfId="9"/>
    <cellStyle name="Обычный 2 10" xfId="12"/>
    <cellStyle name="Обычный 2 2 2" xfId="16"/>
    <cellStyle name="Обычный 2 3" xfId="26"/>
    <cellStyle name="Обычный 2 6" xfId="33"/>
    <cellStyle name="Обычный 2 8" xfId="29"/>
    <cellStyle name="Обычный 2 9" xfId="32"/>
    <cellStyle name="Обычный 21" xfId="7"/>
    <cellStyle name="Обычный 3" xfId="2"/>
    <cellStyle name="Обычный 3 16" xfId="8"/>
    <cellStyle name="Обычный 3 2" xfId="27"/>
    <cellStyle name="Обычный 3 3" xfId="15"/>
    <cellStyle name="Обычный 4" xfId="3"/>
    <cellStyle name="Обычный 4 2" xfId="13"/>
    <cellStyle name="Обычный 4 2 2 2" xfId="23"/>
    <cellStyle name="Обычный 5" xfId="20"/>
    <cellStyle name="Обычный 6" xfId="18"/>
    <cellStyle name="Обычный 8" xfId="30"/>
    <cellStyle name="Обычный 9" xfId="21"/>
    <cellStyle name="Обычный_Лист1" xfId="28"/>
    <cellStyle name="Финансовый" xfId="31" builtinId="3"/>
    <cellStyle name="Финансовый 2" xfId="2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P1281"/>
  <sheetViews>
    <sheetView tabSelected="1" view="pageBreakPreview" topLeftCell="B12" zoomScale="20" zoomScaleNormal="20" zoomScaleSheetLayoutView="20" workbookViewId="0">
      <pane xSplit="2" ySplit="7" topLeftCell="D19" activePane="bottomRight" state="frozen"/>
      <selection activeCell="B12" sqref="B12"/>
      <selection pane="topRight" activeCell="D12" sqref="D12"/>
      <selection pane="bottomLeft" activeCell="B19" sqref="B19"/>
      <selection pane="bottomRight" activeCell="D22" sqref="D22:D1264"/>
    </sheetView>
  </sheetViews>
  <sheetFormatPr defaultColWidth="9.140625" defaultRowHeight="15" x14ac:dyDescent="0.25"/>
  <cols>
    <col min="1" max="1" width="7.28515625" style="20" hidden="1" customWidth="1"/>
    <col min="2" max="2" width="17" style="21" bestFit="1" customWidth="1"/>
    <col min="3" max="3" width="255.7109375" style="22" bestFit="1" customWidth="1"/>
    <col min="4" max="4" width="75.85546875" style="20" customWidth="1"/>
    <col min="5" max="5" width="56.5703125" style="20" customWidth="1"/>
    <col min="6" max="6" width="53" style="20" customWidth="1"/>
    <col min="7" max="8" width="58.7109375" style="20" customWidth="1"/>
    <col min="9" max="9" width="58" style="20" customWidth="1"/>
    <col min="10" max="10" width="51.5703125" style="20" customWidth="1"/>
    <col min="11" max="11" width="32.28515625" style="83" customWidth="1"/>
    <col min="12" max="12" width="68.7109375" style="20" customWidth="1"/>
    <col min="13" max="13" width="55.85546875" style="20" customWidth="1"/>
    <col min="14" max="14" width="77.42578125" style="20" customWidth="1"/>
    <col min="15" max="15" width="43" style="20" customWidth="1"/>
    <col min="16" max="16" width="67.5703125" style="20" customWidth="1"/>
    <col min="17" max="17" width="51.5703125" style="20" customWidth="1"/>
    <col min="18" max="18" width="64.42578125" style="20" customWidth="1"/>
    <col min="19" max="19" width="34.42578125" style="20" customWidth="1"/>
    <col min="20" max="20" width="69" style="20" customWidth="1"/>
    <col min="21" max="21" width="60.140625" style="20" customWidth="1"/>
    <col min="22" max="22" width="58.7109375" style="20" customWidth="1"/>
    <col min="23" max="23" width="75.85546875" style="20" customWidth="1"/>
    <col min="24" max="24" width="56.5703125" style="20" customWidth="1"/>
    <col min="25" max="25" width="38" style="20" customWidth="1"/>
    <col min="26" max="26" width="57.28515625" style="20" customWidth="1"/>
    <col min="27" max="27" width="68.7109375" style="20" customWidth="1"/>
    <col min="28" max="28" width="58.7109375" style="20" customWidth="1"/>
    <col min="29" max="30" width="58" style="20" bestFit="1" customWidth="1"/>
    <col min="31" max="31" width="55.140625" style="20" customWidth="1"/>
    <col min="32" max="32" width="51" style="21" customWidth="1"/>
    <col min="33" max="33" width="42.28515625" style="21" customWidth="1"/>
    <col min="34" max="34" width="48.7109375" style="21" customWidth="1"/>
    <col min="35" max="48" width="9.140625" style="20" hidden="1" customWidth="1"/>
    <col min="49" max="49" width="68.42578125" style="20" hidden="1" customWidth="1"/>
    <col min="50" max="75" width="9.140625" style="20" hidden="1" customWidth="1"/>
    <col min="76" max="77" width="9.140625" style="20"/>
    <col min="78" max="78" width="66.28515625" style="20" hidden="1" customWidth="1"/>
    <col min="79" max="79" width="0" style="20" hidden="1" customWidth="1"/>
    <col min="80" max="80" width="66.5703125" style="20" hidden="1" customWidth="1"/>
    <col min="81" max="81" width="74.140625" style="20" hidden="1" customWidth="1"/>
    <col min="82" max="82" width="55.5703125" style="20" hidden="1" customWidth="1"/>
    <col min="83" max="83" width="45.140625" style="20" hidden="1" customWidth="1"/>
    <col min="84" max="84" width="22.28515625" style="20" hidden="1" customWidth="1"/>
    <col min="85" max="86" width="0" style="20" hidden="1" customWidth="1"/>
    <col min="87" max="16384" width="9.140625" style="20"/>
  </cols>
  <sheetData>
    <row r="1" spans="2:34" ht="91.5" x14ac:dyDescent="1.25">
      <c r="B1" s="17"/>
      <c r="C1" s="18"/>
      <c r="D1" s="19"/>
      <c r="E1" s="19"/>
      <c r="F1" s="19"/>
      <c r="G1" s="19"/>
      <c r="H1" s="19"/>
      <c r="I1" s="19"/>
      <c r="J1" s="19"/>
      <c r="K1" s="80"/>
      <c r="L1" s="19"/>
      <c r="M1" s="19"/>
      <c r="N1" s="19"/>
      <c r="O1" s="19"/>
      <c r="P1" s="19"/>
      <c r="Q1" s="19"/>
      <c r="R1" s="19"/>
      <c r="S1" s="19"/>
      <c r="T1" s="19"/>
      <c r="U1" s="19"/>
      <c r="V1" s="202"/>
      <c r="W1" s="416" t="s">
        <v>989</v>
      </c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</row>
    <row r="2" spans="2:34" ht="143.25" customHeight="1" x14ac:dyDescent="0.45">
      <c r="B2" s="17"/>
      <c r="C2" s="18"/>
      <c r="D2" s="19"/>
      <c r="E2" s="19"/>
      <c r="F2" s="19"/>
      <c r="G2" s="19"/>
      <c r="H2" s="19"/>
      <c r="I2" s="19"/>
      <c r="J2" s="19"/>
      <c r="K2" s="80"/>
      <c r="L2" s="19"/>
      <c r="M2" s="19"/>
      <c r="N2" s="19"/>
      <c r="O2" s="19"/>
      <c r="P2" s="19"/>
      <c r="Q2" s="19"/>
      <c r="R2" s="19"/>
      <c r="S2" s="19"/>
      <c r="T2" s="19"/>
      <c r="U2" s="19"/>
      <c r="V2" s="417" t="s">
        <v>990</v>
      </c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</row>
    <row r="3" spans="2:34" ht="154.5" customHeight="1" x14ac:dyDescent="1.25">
      <c r="B3" s="27"/>
      <c r="C3" s="28"/>
      <c r="D3" s="365"/>
      <c r="E3" s="202"/>
      <c r="F3" s="202"/>
      <c r="G3" s="202"/>
      <c r="H3" s="202"/>
      <c r="I3" s="202"/>
      <c r="J3" s="202"/>
      <c r="K3" s="81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417" t="s">
        <v>991</v>
      </c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</row>
    <row r="4" spans="2:34" ht="90" x14ac:dyDescent="1.1499999999999999">
      <c r="B4" s="418" t="s">
        <v>992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</row>
    <row r="5" spans="2:34" ht="90" x14ac:dyDescent="0.25">
      <c r="B5" s="419" t="s">
        <v>993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</row>
    <row r="6" spans="2:34" ht="90" x14ac:dyDescent="0.25">
      <c r="B6" s="419" t="s">
        <v>997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</row>
    <row r="7" spans="2:34" x14ac:dyDescent="0.25">
      <c r="B7" s="415" t="s">
        <v>994</v>
      </c>
      <c r="C7" s="420" t="s">
        <v>1020</v>
      </c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</row>
    <row r="8" spans="2:34" ht="117.75" customHeight="1" x14ac:dyDescent="0.25">
      <c r="B8" s="415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</row>
    <row r="9" spans="2:34" ht="117.75" customHeight="1" x14ac:dyDescent="0.25">
      <c r="B9" s="201" t="s">
        <v>995</v>
      </c>
      <c r="C9" s="420" t="s">
        <v>996</v>
      </c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</row>
    <row r="10" spans="2:34" hidden="1" x14ac:dyDescent="0.25"/>
    <row r="11" spans="2:34" ht="90.75" hidden="1" customHeight="1" x14ac:dyDescent="0.25">
      <c r="B11" s="406" t="s">
        <v>6</v>
      </c>
      <c r="C11" s="406" t="s">
        <v>7</v>
      </c>
      <c r="D11" s="405" t="s">
        <v>8</v>
      </c>
      <c r="E11" s="406" t="s">
        <v>998</v>
      </c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11" t="s">
        <v>9</v>
      </c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08" t="s">
        <v>10</v>
      </c>
      <c r="AG11" s="408" t="s">
        <v>11</v>
      </c>
      <c r="AH11" s="408" t="s">
        <v>12</v>
      </c>
    </row>
    <row r="12" spans="2:34" ht="90.75" customHeight="1" x14ac:dyDescent="0.25">
      <c r="B12" s="406"/>
      <c r="C12" s="406"/>
      <c r="D12" s="405"/>
      <c r="E12" s="406" t="s">
        <v>13</v>
      </c>
      <c r="F12" s="406"/>
      <c r="G12" s="406"/>
      <c r="H12" s="406"/>
      <c r="I12" s="406"/>
      <c r="J12" s="406"/>
      <c r="K12" s="406" t="s">
        <v>14</v>
      </c>
      <c r="L12" s="406"/>
      <c r="M12" s="406" t="s">
        <v>15</v>
      </c>
      <c r="N12" s="406"/>
      <c r="O12" s="406" t="s">
        <v>16</v>
      </c>
      <c r="P12" s="406"/>
      <c r="Q12" s="406" t="s">
        <v>17</v>
      </c>
      <c r="R12" s="406"/>
      <c r="S12" s="406" t="s">
        <v>18</v>
      </c>
      <c r="T12" s="406"/>
      <c r="U12" s="410" t="s">
        <v>19</v>
      </c>
      <c r="V12" s="410" t="s">
        <v>20</v>
      </c>
      <c r="W12" s="410" t="s">
        <v>21</v>
      </c>
      <c r="X12" s="410" t="s">
        <v>22</v>
      </c>
      <c r="Y12" s="410" t="s">
        <v>23</v>
      </c>
      <c r="Z12" s="410" t="s">
        <v>24</v>
      </c>
      <c r="AA12" s="410" t="s">
        <v>25</v>
      </c>
      <c r="AB12" s="410" t="s">
        <v>26</v>
      </c>
      <c r="AC12" s="410" t="s">
        <v>27</v>
      </c>
      <c r="AD12" s="409" t="s">
        <v>28</v>
      </c>
      <c r="AE12" s="410" t="s">
        <v>29</v>
      </c>
      <c r="AF12" s="408"/>
      <c r="AG12" s="408"/>
      <c r="AH12" s="408"/>
    </row>
    <row r="13" spans="2:34" ht="18.75" customHeight="1" x14ac:dyDescent="0.25">
      <c r="B13" s="406"/>
      <c r="C13" s="406"/>
      <c r="D13" s="405"/>
      <c r="E13" s="408" t="s">
        <v>30</v>
      </c>
      <c r="F13" s="408" t="s">
        <v>31</v>
      </c>
      <c r="G13" s="408" t="s">
        <v>32</v>
      </c>
      <c r="H13" s="408" t="s">
        <v>33</v>
      </c>
      <c r="I13" s="408" t="s">
        <v>34</v>
      </c>
      <c r="J13" s="408" t="s">
        <v>35</v>
      </c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10"/>
      <c r="V13" s="410"/>
      <c r="W13" s="410"/>
      <c r="X13" s="410"/>
      <c r="Y13" s="410"/>
      <c r="Z13" s="410"/>
      <c r="AA13" s="410"/>
      <c r="AB13" s="410"/>
      <c r="AC13" s="410"/>
      <c r="AD13" s="409"/>
      <c r="AE13" s="410"/>
      <c r="AF13" s="408"/>
      <c r="AG13" s="408"/>
      <c r="AH13" s="408"/>
    </row>
    <row r="14" spans="2:34" ht="18.75" customHeight="1" x14ac:dyDescent="0.25">
      <c r="B14" s="406"/>
      <c r="C14" s="406"/>
      <c r="D14" s="405"/>
      <c r="E14" s="408"/>
      <c r="F14" s="408"/>
      <c r="G14" s="408"/>
      <c r="H14" s="408"/>
      <c r="I14" s="408"/>
      <c r="J14" s="408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10"/>
      <c r="V14" s="410"/>
      <c r="W14" s="410"/>
      <c r="X14" s="410"/>
      <c r="Y14" s="410"/>
      <c r="Z14" s="410"/>
      <c r="AA14" s="410"/>
      <c r="AB14" s="410"/>
      <c r="AC14" s="410"/>
      <c r="AD14" s="409"/>
      <c r="AE14" s="410"/>
      <c r="AF14" s="408"/>
      <c r="AG14" s="408"/>
      <c r="AH14" s="408"/>
    </row>
    <row r="15" spans="2:34" ht="18.75" customHeight="1" x14ac:dyDescent="0.25">
      <c r="B15" s="406"/>
      <c r="C15" s="406"/>
      <c r="D15" s="405"/>
      <c r="E15" s="408"/>
      <c r="F15" s="408"/>
      <c r="G15" s="408"/>
      <c r="H15" s="408"/>
      <c r="I15" s="408"/>
      <c r="J15" s="408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10"/>
      <c r="V15" s="410"/>
      <c r="W15" s="410"/>
      <c r="X15" s="410"/>
      <c r="Y15" s="410"/>
      <c r="Z15" s="410"/>
      <c r="AA15" s="410"/>
      <c r="AB15" s="410"/>
      <c r="AC15" s="410"/>
      <c r="AD15" s="409"/>
      <c r="AE15" s="410"/>
      <c r="AF15" s="408"/>
      <c r="AG15" s="408"/>
      <c r="AH15" s="408"/>
    </row>
    <row r="16" spans="2:34" ht="409.5" customHeight="1" x14ac:dyDescent="0.25">
      <c r="B16" s="406"/>
      <c r="C16" s="406"/>
      <c r="D16" s="405"/>
      <c r="E16" s="408"/>
      <c r="F16" s="408"/>
      <c r="G16" s="408"/>
      <c r="H16" s="408"/>
      <c r="I16" s="408"/>
      <c r="J16" s="408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10"/>
      <c r="V16" s="410"/>
      <c r="W16" s="410"/>
      <c r="X16" s="410"/>
      <c r="Y16" s="410"/>
      <c r="Z16" s="410"/>
      <c r="AA16" s="410"/>
      <c r="AB16" s="410"/>
      <c r="AC16" s="410"/>
      <c r="AD16" s="409"/>
      <c r="AE16" s="410"/>
      <c r="AF16" s="408"/>
      <c r="AG16" s="408"/>
      <c r="AH16" s="408"/>
    </row>
    <row r="17" spans="1:84" ht="80.25" customHeight="1" x14ac:dyDescent="0.25">
      <c r="B17" s="407"/>
      <c r="C17" s="407"/>
      <c r="D17" s="366" t="s">
        <v>36</v>
      </c>
      <c r="E17" s="198" t="s">
        <v>36</v>
      </c>
      <c r="F17" s="198" t="s">
        <v>36</v>
      </c>
      <c r="G17" s="198" t="s">
        <v>36</v>
      </c>
      <c r="H17" s="198" t="s">
        <v>36</v>
      </c>
      <c r="I17" s="198" t="s">
        <v>36</v>
      </c>
      <c r="J17" s="198" t="s">
        <v>36</v>
      </c>
      <c r="K17" s="82" t="s">
        <v>37</v>
      </c>
      <c r="L17" s="199" t="s">
        <v>36</v>
      </c>
      <c r="M17" s="199" t="s">
        <v>38</v>
      </c>
      <c r="N17" s="199" t="s">
        <v>36</v>
      </c>
      <c r="O17" s="199" t="s">
        <v>38</v>
      </c>
      <c r="P17" s="199" t="s">
        <v>36</v>
      </c>
      <c r="Q17" s="199" t="s">
        <v>38</v>
      </c>
      <c r="R17" s="199" t="s">
        <v>36</v>
      </c>
      <c r="S17" s="199" t="s">
        <v>39</v>
      </c>
      <c r="T17" s="199" t="s">
        <v>36</v>
      </c>
      <c r="U17" s="199" t="s">
        <v>36</v>
      </c>
      <c r="V17" s="200" t="s">
        <v>36</v>
      </c>
      <c r="W17" s="199" t="s">
        <v>36</v>
      </c>
      <c r="X17" s="199" t="s">
        <v>36</v>
      </c>
      <c r="Y17" s="198" t="s">
        <v>36</v>
      </c>
      <c r="Z17" s="199" t="s">
        <v>36</v>
      </c>
      <c r="AA17" s="199" t="s">
        <v>36</v>
      </c>
      <c r="AB17" s="199" t="s">
        <v>36</v>
      </c>
      <c r="AC17" s="199" t="s">
        <v>36</v>
      </c>
      <c r="AD17" s="198" t="s">
        <v>36</v>
      </c>
      <c r="AE17" s="199" t="s">
        <v>36</v>
      </c>
      <c r="AF17" s="408"/>
      <c r="AG17" s="408"/>
      <c r="AH17" s="408"/>
    </row>
    <row r="18" spans="1:84" ht="59.25" customHeight="1" x14ac:dyDescent="0.25">
      <c r="B18" s="199">
        <v>1</v>
      </c>
      <c r="C18" s="199">
        <v>2</v>
      </c>
      <c r="D18" s="367">
        <v>3</v>
      </c>
      <c r="E18" s="199">
        <v>4</v>
      </c>
      <c r="F18" s="199">
        <v>5</v>
      </c>
      <c r="G18" s="199">
        <v>6</v>
      </c>
      <c r="H18" s="199">
        <v>7</v>
      </c>
      <c r="I18" s="199">
        <v>8</v>
      </c>
      <c r="J18" s="199">
        <v>9</v>
      </c>
      <c r="K18" s="82">
        <v>10</v>
      </c>
      <c r="L18" s="199">
        <v>11</v>
      </c>
      <c r="M18" s="199">
        <v>12</v>
      </c>
      <c r="N18" s="199">
        <v>13</v>
      </c>
      <c r="O18" s="199">
        <v>14</v>
      </c>
      <c r="P18" s="199">
        <v>15</v>
      </c>
      <c r="Q18" s="199">
        <v>16</v>
      </c>
      <c r="R18" s="199">
        <v>17</v>
      </c>
      <c r="S18" s="199">
        <v>18</v>
      </c>
      <c r="T18" s="199">
        <v>19</v>
      </c>
      <c r="U18" s="199">
        <v>20</v>
      </c>
      <c r="V18" s="199">
        <v>21</v>
      </c>
      <c r="W18" s="199">
        <v>22</v>
      </c>
      <c r="X18" s="199">
        <v>23</v>
      </c>
      <c r="Y18" s="199">
        <v>24</v>
      </c>
      <c r="Z18" s="199">
        <v>25</v>
      </c>
      <c r="AA18" s="199">
        <v>26</v>
      </c>
      <c r="AB18" s="199">
        <v>27</v>
      </c>
      <c r="AC18" s="199">
        <v>28</v>
      </c>
      <c r="AD18" s="199">
        <v>29</v>
      </c>
      <c r="AE18" s="199">
        <v>30</v>
      </c>
      <c r="AF18" s="199">
        <v>31</v>
      </c>
      <c r="AG18" s="199">
        <v>32</v>
      </c>
      <c r="AH18" s="199">
        <v>33</v>
      </c>
    </row>
    <row r="19" spans="1:84" ht="99" customHeight="1" x14ac:dyDescent="0.85">
      <c r="B19" s="24" t="s">
        <v>765</v>
      </c>
      <c r="C19" s="111"/>
      <c r="D19" s="30">
        <f t="shared" ref="D19:AE19" si="0">D20+D558+D992</f>
        <v>3291470140.5300007</v>
      </c>
      <c r="E19" s="30">
        <f t="shared" si="0"/>
        <v>10703864.99</v>
      </c>
      <c r="F19" s="30">
        <f t="shared" si="0"/>
        <v>13204965.280000001</v>
      </c>
      <c r="G19" s="30">
        <f t="shared" si="0"/>
        <v>108118835.67</v>
      </c>
      <c r="H19" s="30">
        <f t="shared" si="0"/>
        <v>19174582.389999997</v>
      </c>
      <c r="I19" s="30">
        <f t="shared" si="0"/>
        <v>41590049.43</v>
      </c>
      <c r="J19" s="30">
        <f t="shared" si="0"/>
        <v>0</v>
      </c>
      <c r="K19" s="112">
        <f t="shared" si="0"/>
        <v>181</v>
      </c>
      <c r="L19" s="30">
        <f t="shared" si="0"/>
        <v>339240275.75</v>
      </c>
      <c r="M19" s="30">
        <f t="shared" si="0"/>
        <v>491719.09169511305</v>
      </c>
      <c r="N19" s="30">
        <f t="shared" si="0"/>
        <v>2180271576.54</v>
      </c>
      <c r="O19" s="30">
        <f t="shared" si="0"/>
        <v>2724</v>
      </c>
      <c r="P19" s="30">
        <f t="shared" si="0"/>
        <v>9321851.1499999985</v>
      </c>
      <c r="Q19" s="30">
        <f t="shared" si="0"/>
        <v>119232.34999999998</v>
      </c>
      <c r="R19" s="30">
        <f t="shared" si="0"/>
        <v>359743010.07000005</v>
      </c>
      <c r="S19" s="30">
        <f t="shared" si="0"/>
        <v>1425.54</v>
      </c>
      <c r="T19" s="30">
        <f t="shared" si="0"/>
        <v>29487467.399999999</v>
      </c>
      <c r="U19" s="30">
        <f t="shared" si="0"/>
        <v>60017732.089999996</v>
      </c>
      <c r="V19" s="30">
        <f t="shared" si="0"/>
        <v>550198.58000000007</v>
      </c>
      <c r="W19" s="30">
        <f t="shared" si="0"/>
        <v>0</v>
      </c>
      <c r="X19" s="30">
        <f t="shared" si="0"/>
        <v>0</v>
      </c>
      <c r="Y19" s="30">
        <f t="shared" si="0"/>
        <v>0</v>
      </c>
      <c r="Z19" s="30">
        <f t="shared" si="0"/>
        <v>0</v>
      </c>
      <c r="AA19" s="30">
        <f t="shared" si="0"/>
        <v>0</v>
      </c>
      <c r="AB19" s="30">
        <f t="shared" si="0"/>
        <v>0</v>
      </c>
      <c r="AC19" s="30">
        <f t="shared" si="0"/>
        <v>41009597.609999999</v>
      </c>
      <c r="AD19" s="30">
        <f t="shared" si="0"/>
        <v>75796133.579999998</v>
      </c>
      <c r="AE19" s="30">
        <f t="shared" si="0"/>
        <v>3240000</v>
      </c>
      <c r="AF19" s="72" t="s">
        <v>764</v>
      </c>
      <c r="AG19" s="72" t="s">
        <v>764</v>
      </c>
      <c r="AH19" s="87" t="s">
        <v>764</v>
      </c>
      <c r="BZ19" s="71">
        <v>3277602434.1900005</v>
      </c>
    </row>
    <row r="20" spans="1:84" ht="87.75" customHeight="1" x14ac:dyDescent="0.85">
      <c r="B20" s="24" t="s">
        <v>766</v>
      </c>
      <c r="C20" s="111"/>
      <c r="D20" s="67">
        <f t="shared" ref="D20:AE20" si="1">D21+D129+D161+D203+D243+D250+D277+D291+D284+D298+D301+D307+D313+D315+D331+D348+D355+D361+D358+D365+D368+D370+D389+D386+D391+D393+D398+D401+D403+D408+D416+D410+D418+D420+D425+D427+D431+D439+D445+D448+D460+D462+D466+D468+D470+D476+D488+D497+D506+D512+D514+D516+D519+D521+D523+D530+D532+D535+D537+D546+D552+D556+D296+D464+D499+D458+D501</f>
        <v>1472013756.6300004</v>
      </c>
      <c r="E20" s="67">
        <f t="shared" si="1"/>
        <v>7313705.6499999994</v>
      </c>
      <c r="F20" s="67">
        <f t="shared" si="1"/>
        <v>6725198.8899999997</v>
      </c>
      <c r="G20" s="67">
        <f t="shared" si="1"/>
        <v>73021395.799999997</v>
      </c>
      <c r="H20" s="67">
        <f t="shared" si="1"/>
        <v>11223681.509999998</v>
      </c>
      <c r="I20" s="67">
        <f t="shared" si="1"/>
        <v>25880695.5</v>
      </c>
      <c r="J20" s="67">
        <f t="shared" si="1"/>
        <v>0</v>
      </c>
      <c r="K20" s="113">
        <f t="shared" si="1"/>
        <v>145</v>
      </c>
      <c r="L20" s="67">
        <f t="shared" si="1"/>
        <v>261705348.72</v>
      </c>
      <c r="M20" s="67">
        <f t="shared" si="1"/>
        <v>200428.52712090002</v>
      </c>
      <c r="N20" s="67">
        <f t="shared" si="1"/>
        <v>826392271.69999993</v>
      </c>
      <c r="O20" s="67">
        <f t="shared" si="1"/>
        <v>2300</v>
      </c>
      <c r="P20" s="67">
        <f t="shared" si="1"/>
        <v>7437532.9299999997</v>
      </c>
      <c r="Q20" s="67">
        <f t="shared" si="1"/>
        <v>59197.499999999978</v>
      </c>
      <c r="R20" s="67">
        <f t="shared" si="1"/>
        <v>180744303.30000004</v>
      </c>
      <c r="S20" s="67">
        <f t="shared" si="1"/>
        <v>144.97</v>
      </c>
      <c r="T20" s="67">
        <f t="shared" si="1"/>
        <v>2373220.52</v>
      </c>
      <c r="U20" s="67">
        <f t="shared" si="1"/>
        <v>33024476.629999999</v>
      </c>
      <c r="V20" s="67">
        <f t="shared" si="1"/>
        <v>550198.58000000007</v>
      </c>
      <c r="W20" s="67">
        <f t="shared" si="1"/>
        <v>0</v>
      </c>
      <c r="X20" s="67">
        <f t="shared" si="1"/>
        <v>0</v>
      </c>
      <c r="Y20" s="67">
        <f t="shared" si="1"/>
        <v>0</v>
      </c>
      <c r="Z20" s="67">
        <f t="shared" si="1"/>
        <v>0</v>
      </c>
      <c r="AA20" s="67">
        <f t="shared" si="1"/>
        <v>0</v>
      </c>
      <c r="AB20" s="67">
        <f t="shared" si="1"/>
        <v>0</v>
      </c>
      <c r="AC20" s="67">
        <f t="shared" si="1"/>
        <v>16256337.089999998</v>
      </c>
      <c r="AD20" s="67">
        <f t="shared" si="1"/>
        <v>18045389.809999995</v>
      </c>
      <c r="AE20" s="67">
        <f t="shared" si="1"/>
        <v>1320000</v>
      </c>
      <c r="AF20" s="72" t="s">
        <v>764</v>
      </c>
      <c r="AG20" s="72" t="s">
        <v>764</v>
      </c>
      <c r="AH20" s="87" t="s">
        <v>764</v>
      </c>
      <c r="BZ20" s="71">
        <v>1686794801.2800004</v>
      </c>
    </row>
    <row r="21" spans="1:84" ht="61.5" x14ac:dyDescent="0.85">
      <c r="B21" s="24" t="s">
        <v>1105</v>
      </c>
      <c r="C21" s="180"/>
      <c r="D21" s="67">
        <f t="shared" ref="D21:AE21" si="2">SUM(D22:D128)</f>
        <v>343675633.75000006</v>
      </c>
      <c r="E21" s="67">
        <f t="shared" si="2"/>
        <v>88156.71</v>
      </c>
      <c r="F21" s="67">
        <f t="shared" si="2"/>
        <v>0</v>
      </c>
      <c r="G21" s="67">
        <f t="shared" si="2"/>
        <v>600000</v>
      </c>
      <c r="H21" s="67">
        <f t="shared" si="2"/>
        <v>135901.72</v>
      </c>
      <c r="I21" s="67">
        <f t="shared" si="2"/>
        <v>0</v>
      </c>
      <c r="J21" s="67">
        <f t="shared" si="2"/>
        <v>0</v>
      </c>
      <c r="K21" s="113">
        <f t="shared" si="2"/>
        <v>44</v>
      </c>
      <c r="L21" s="67">
        <f t="shared" si="2"/>
        <v>84956187.199999988</v>
      </c>
      <c r="M21" s="67">
        <f t="shared" si="2"/>
        <v>51713.68</v>
      </c>
      <c r="N21" s="67">
        <f t="shared" si="2"/>
        <v>184751733.65999997</v>
      </c>
      <c r="O21" s="67">
        <f t="shared" si="2"/>
        <v>780</v>
      </c>
      <c r="P21" s="67">
        <f t="shared" si="2"/>
        <v>1041700</v>
      </c>
      <c r="Q21" s="67">
        <f t="shared" si="2"/>
        <v>22970.42</v>
      </c>
      <c r="R21" s="67">
        <f t="shared" si="2"/>
        <v>61883729.180000015</v>
      </c>
      <c r="S21" s="67">
        <f t="shared" si="2"/>
        <v>0</v>
      </c>
      <c r="T21" s="67">
        <f t="shared" si="2"/>
        <v>0</v>
      </c>
      <c r="U21" s="67">
        <f t="shared" si="2"/>
        <v>4132272.85</v>
      </c>
      <c r="V21" s="67">
        <f t="shared" si="2"/>
        <v>0</v>
      </c>
      <c r="W21" s="67">
        <f t="shared" si="2"/>
        <v>0</v>
      </c>
      <c r="X21" s="67">
        <f t="shared" si="2"/>
        <v>0</v>
      </c>
      <c r="Y21" s="67">
        <f t="shared" si="2"/>
        <v>0</v>
      </c>
      <c r="Z21" s="67">
        <f t="shared" si="2"/>
        <v>0</v>
      </c>
      <c r="AA21" s="67">
        <f t="shared" si="2"/>
        <v>0</v>
      </c>
      <c r="AB21" s="67">
        <f t="shared" si="2"/>
        <v>0</v>
      </c>
      <c r="AC21" s="67">
        <f t="shared" si="2"/>
        <v>3646061.5999999982</v>
      </c>
      <c r="AD21" s="67">
        <f t="shared" si="2"/>
        <v>2439890.83</v>
      </c>
      <c r="AE21" s="67">
        <f t="shared" si="2"/>
        <v>0</v>
      </c>
      <c r="AF21" s="72" t="s">
        <v>764</v>
      </c>
      <c r="AG21" s="72" t="s">
        <v>764</v>
      </c>
      <c r="AH21" s="87" t="s">
        <v>764</v>
      </c>
      <c r="BZ21" s="71">
        <v>383462452.64000016</v>
      </c>
    </row>
    <row r="22" spans="1:84" ht="61.5" x14ac:dyDescent="0.85">
      <c r="A22" s="20">
        <v>1</v>
      </c>
      <c r="B22" s="66">
        <f>SUBTOTAL(103,$A$22:A22)</f>
        <v>1</v>
      </c>
      <c r="C22" s="24" t="s">
        <v>485</v>
      </c>
      <c r="D22" s="31">
        <f>E22+F22+G22+H22+I22+J22+L22+N22+P22+R22+T22+U22+V22+W22+X22+Y22+Z22+AA22+AB22+AC22+AD22+AE22</f>
        <v>2167261.7599999998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v>0</v>
      </c>
      <c r="L22" s="31">
        <v>0</v>
      </c>
      <c r="M22" s="31">
        <v>433.51</v>
      </c>
      <c r="N22" s="31">
        <v>2075821.44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31137.32</v>
      </c>
      <c r="AD22" s="31">
        <v>60303</v>
      </c>
      <c r="AE22" s="31">
        <v>0</v>
      </c>
      <c r="AF22" s="219">
        <v>2020</v>
      </c>
      <c r="AG22" s="219">
        <v>2020</v>
      </c>
      <c r="AH22" s="220">
        <v>2020</v>
      </c>
      <c r="AT22" s="20" t="e">
        <f t="shared" ref="AT22:AT35" si="3">VLOOKUP(C22,AW:AX,2,FALSE)</f>
        <v>#N/A</v>
      </c>
      <c r="AW22" s="20" t="s">
        <v>500</v>
      </c>
      <c r="AX22" s="20">
        <v>1</v>
      </c>
      <c r="BZ22" s="71"/>
      <c r="CD22" s="20" t="e">
        <f t="shared" ref="CD22:CD41" si="4">VLOOKUP(C22,CE:CF,2,FALSE)</f>
        <v>#N/A</v>
      </c>
      <c r="CE22" s="115" t="s">
        <v>490</v>
      </c>
      <c r="CF22" s="115">
        <v>644</v>
      </c>
    </row>
    <row r="23" spans="1:84" ht="61.5" x14ac:dyDescent="0.85">
      <c r="A23" s="20">
        <v>1</v>
      </c>
      <c r="B23" s="66">
        <f>SUBTOTAL(103,$A$22:A23)</f>
        <v>2</v>
      </c>
      <c r="C23" s="24" t="s">
        <v>1080</v>
      </c>
      <c r="D23" s="31">
        <f t="shared" ref="D23:D82" si="5">E23+F23+G23+H23+I23+J23+L23+N23+P23+R23+T23+U23+V23+W23+X23+Y23+Z23+AA23+AB23+AC23+AD23+AE23</f>
        <v>2182367.5499999998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v>0</v>
      </c>
      <c r="L23" s="31">
        <v>0</v>
      </c>
      <c r="M23" s="31">
        <v>500</v>
      </c>
      <c r="N23" s="31">
        <v>2081368.47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31220.53</v>
      </c>
      <c r="AD23" s="31">
        <v>69778.55</v>
      </c>
      <c r="AE23" s="31">
        <v>0</v>
      </c>
      <c r="AF23" s="219">
        <v>2020</v>
      </c>
      <c r="AG23" s="219">
        <v>2020</v>
      </c>
      <c r="AH23" s="220">
        <v>2020</v>
      </c>
      <c r="AT23" s="20" t="e">
        <f t="shared" si="3"/>
        <v>#N/A</v>
      </c>
      <c r="AW23" s="20" t="s">
        <v>397</v>
      </c>
      <c r="AX23" s="20">
        <v>1</v>
      </c>
      <c r="BZ23" s="71"/>
      <c r="CD23" s="20" t="e">
        <f t="shared" si="4"/>
        <v>#N/A</v>
      </c>
      <c r="CE23" s="115" t="s">
        <v>498</v>
      </c>
      <c r="CF23" s="115">
        <v>761.5</v>
      </c>
    </row>
    <row r="24" spans="1:84" ht="61.5" x14ac:dyDescent="0.85">
      <c r="A24" s="20">
        <v>1</v>
      </c>
      <c r="B24" s="66">
        <f>SUBTOTAL(103,$A$22:A24)</f>
        <v>3</v>
      </c>
      <c r="C24" s="24" t="s">
        <v>486</v>
      </c>
      <c r="D24" s="31">
        <f t="shared" si="5"/>
        <v>2059937.96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77">
        <v>1</v>
      </c>
      <c r="L24" s="278">
        <v>2059937.96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219" t="s">
        <v>271</v>
      </c>
      <c r="AG24" s="219">
        <v>2020</v>
      </c>
      <c r="AH24" s="220" t="s">
        <v>271</v>
      </c>
      <c r="AT24" s="20" t="e">
        <f t="shared" si="3"/>
        <v>#N/A</v>
      </c>
      <c r="AW24" s="20" t="s">
        <v>631</v>
      </c>
      <c r="AX24" s="20">
        <v>1</v>
      </c>
      <c r="BZ24" s="71"/>
      <c r="CD24" s="20" t="e">
        <f t="shared" si="4"/>
        <v>#N/A</v>
      </c>
      <c r="CE24" s="115" t="s">
        <v>516</v>
      </c>
      <c r="CF24" s="115">
        <v>342</v>
      </c>
    </row>
    <row r="25" spans="1:84" ht="61.5" x14ac:dyDescent="0.85">
      <c r="A25" s="20">
        <v>1</v>
      </c>
      <c r="B25" s="66">
        <f>SUBTOTAL(103,$A$22:A25)</f>
        <v>4</v>
      </c>
      <c r="C25" s="24" t="s">
        <v>488</v>
      </c>
      <c r="D25" s="31">
        <f t="shared" si="5"/>
        <v>2571347.14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3">
        <v>0</v>
      </c>
      <c r="L25" s="31">
        <v>0</v>
      </c>
      <c r="M25" s="197">
        <v>632.16999999999996</v>
      </c>
      <c r="N25" s="31">
        <v>2533346.94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38000.199999999997</v>
      </c>
      <c r="AD25" s="31">
        <v>0</v>
      </c>
      <c r="AE25" s="31">
        <v>0</v>
      </c>
      <c r="AF25" s="219" t="s">
        <v>271</v>
      </c>
      <c r="AG25" s="219">
        <v>2020</v>
      </c>
      <c r="AH25" s="220">
        <v>2020</v>
      </c>
      <c r="AT25" s="20" t="e">
        <f t="shared" si="3"/>
        <v>#N/A</v>
      </c>
      <c r="AW25" s="20" t="s">
        <v>408</v>
      </c>
      <c r="AX25" s="20">
        <v>1</v>
      </c>
      <c r="BZ25" s="71"/>
      <c r="CD25" s="20" t="e">
        <f t="shared" si="4"/>
        <v>#N/A</v>
      </c>
      <c r="CE25" s="115" t="s">
        <v>524</v>
      </c>
      <c r="CF25" s="115">
        <v>2070.63</v>
      </c>
    </row>
    <row r="26" spans="1:84" ht="61.5" x14ac:dyDescent="0.85">
      <c r="A26" s="20">
        <v>1</v>
      </c>
      <c r="B26" s="66">
        <f>SUBTOTAL(103,$A$22:A26)</f>
        <v>5</v>
      </c>
      <c r="C26" s="24" t="s">
        <v>489</v>
      </c>
      <c r="D26" s="31">
        <f t="shared" si="5"/>
        <v>1179710.26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499.8</v>
      </c>
      <c r="R26" s="204">
        <v>1162276.1200000001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206">
        <v>17434.14</v>
      </c>
      <c r="AD26" s="31">
        <v>0</v>
      </c>
      <c r="AE26" s="31">
        <v>0</v>
      </c>
      <c r="AF26" s="219" t="s">
        <v>271</v>
      </c>
      <c r="AG26" s="219">
        <v>2020</v>
      </c>
      <c r="AH26" s="220">
        <v>2020</v>
      </c>
      <c r="AT26" s="20" t="e">
        <f t="shared" si="3"/>
        <v>#N/A</v>
      </c>
      <c r="AW26" s="20" t="s">
        <v>625</v>
      </c>
      <c r="AX26" s="20">
        <v>1</v>
      </c>
      <c r="BZ26" s="71"/>
      <c r="CD26" s="20" t="e">
        <f t="shared" si="4"/>
        <v>#N/A</v>
      </c>
      <c r="CE26" s="115" t="s">
        <v>527</v>
      </c>
      <c r="CF26" s="115">
        <v>600</v>
      </c>
    </row>
    <row r="27" spans="1:84" ht="61.5" x14ac:dyDescent="0.85">
      <c r="A27" s="20">
        <v>1</v>
      </c>
      <c r="B27" s="66">
        <f>SUBTOTAL(103,$A$22:A27)</f>
        <v>6</v>
      </c>
      <c r="C27" s="24" t="s">
        <v>490</v>
      </c>
      <c r="D27" s="31">
        <f t="shared" si="5"/>
        <v>2362258.88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3">
        <v>0</v>
      </c>
      <c r="L27" s="31">
        <v>0</v>
      </c>
      <c r="M27" s="31">
        <v>644</v>
      </c>
      <c r="N27" s="31">
        <v>2327348.65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34910.230000000003</v>
      </c>
      <c r="AD27" s="31">
        <v>0</v>
      </c>
      <c r="AE27" s="31">
        <v>0</v>
      </c>
      <c r="AF27" s="219" t="s">
        <v>271</v>
      </c>
      <c r="AG27" s="219">
        <v>2020</v>
      </c>
      <c r="AH27" s="220">
        <v>2020</v>
      </c>
      <c r="AT27" s="20" t="e">
        <f t="shared" si="3"/>
        <v>#N/A</v>
      </c>
      <c r="AW27" s="20" t="s">
        <v>624</v>
      </c>
      <c r="AX27" s="20">
        <v>1</v>
      </c>
      <c r="BZ27" s="71"/>
      <c r="CD27" s="20">
        <f t="shared" si="4"/>
        <v>644</v>
      </c>
      <c r="CE27" s="115" t="s">
        <v>1387</v>
      </c>
      <c r="CF27" s="115">
        <v>334.02</v>
      </c>
    </row>
    <row r="28" spans="1:84" ht="61.5" x14ac:dyDescent="0.85">
      <c r="A28" s="20">
        <v>1</v>
      </c>
      <c r="B28" s="66">
        <f>SUBTOTAL(103,$A$22:A28)</f>
        <v>7</v>
      </c>
      <c r="C28" s="24" t="s">
        <v>492</v>
      </c>
      <c r="D28" s="31">
        <f t="shared" si="5"/>
        <v>2862415.7800000003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3">
        <v>0</v>
      </c>
      <c r="L28" s="31">
        <v>0</v>
      </c>
      <c r="M28" s="31">
        <v>604</v>
      </c>
      <c r="N28" s="31">
        <v>2758281.62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41374.22</v>
      </c>
      <c r="AD28" s="31">
        <v>62759.94</v>
      </c>
      <c r="AE28" s="31">
        <v>0</v>
      </c>
      <c r="AF28" s="219">
        <v>2020</v>
      </c>
      <c r="AG28" s="219">
        <v>2020</v>
      </c>
      <c r="AH28" s="220">
        <v>2020</v>
      </c>
      <c r="AT28" s="20" t="e">
        <f t="shared" si="3"/>
        <v>#N/A</v>
      </c>
      <c r="AW28" s="20" t="s">
        <v>237</v>
      </c>
      <c r="AX28" s="20">
        <v>1</v>
      </c>
      <c r="BZ28" s="71"/>
      <c r="CD28" s="20" t="e">
        <f t="shared" si="4"/>
        <v>#N/A</v>
      </c>
      <c r="CE28" s="115" t="s">
        <v>1138</v>
      </c>
      <c r="CF28" s="115">
        <v>1124.75</v>
      </c>
    </row>
    <row r="29" spans="1:84" ht="61.5" x14ac:dyDescent="0.85">
      <c r="A29" s="20">
        <v>1</v>
      </c>
      <c r="B29" s="66">
        <f>SUBTOTAL(103,$A$22:A29)</f>
        <v>8</v>
      </c>
      <c r="C29" s="24" t="s">
        <v>493</v>
      </c>
      <c r="D29" s="31">
        <f t="shared" si="5"/>
        <v>2008550.03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3">
        <v>0</v>
      </c>
      <c r="L29" s="31">
        <v>0</v>
      </c>
      <c r="M29" s="31">
        <v>591</v>
      </c>
      <c r="N29" s="31">
        <v>1921468.16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28822.02</v>
      </c>
      <c r="AD29" s="273">
        <v>58259.85</v>
      </c>
      <c r="AE29" s="31">
        <v>0</v>
      </c>
      <c r="AF29" s="219">
        <v>2020</v>
      </c>
      <c r="AG29" s="219">
        <v>2020</v>
      </c>
      <c r="AH29" s="220">
        <v>2020</v>
      </c>
      <c r="AT29" s="20" t="e">
        <f t="shared" si="3"/>
        <v>#N/A</v>
      </c>
      <c r="AW29" s="20" t="s">
        <v>129</v>
      </c>
      <c r="AX29" s="20">
        <v>1</v>
      </c>
      <c r="BZ29" s="71"/>
      <c r="CD29" s="20" t="e">
        <f t="shared" si="4"/>
        <v>#N/A</v>
      </c>
      <c r="CE29" s="115" t="s">
        <v>454</v>
      </c>
      <c r="CF29" s="115">
        <v>555.39</v>
      </c>
    </row>
    <row r="30" spans="1:84" ht="61.5" x14ac:dyDescent="0.85">
      <c r="A30" s="20">
        <v>1</v>
      </c>
      <c r="B30" s="66">
        <f>SUBTOTAL(103,$A$22:A30)</f>
        <v>9</v>
      </c>
      <c r="C30" s="24" t="s">
        <v>494</v>
      </c>
      <c r="D30" s="31">
        <f t="shared" si="5"/>
        <v>2712409.97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3">
        <v>0</v>
      </c>
      <c r="L30" s="31">
        <v>0</v>
      </c>
      <c r="M30" s="349">
        <v>693</v>
      </c>
      <c r="N30" s="206">
        <v>2575000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206">
        <v>38625</v>
      </c>
      <c r="AD30" s="31">
        <v>98784.97</v>
      </c>
      <c r="AE30" s="31">
        <v>0</v>
      </c>
      <c r="AF30" s="219">
        <v>2020</v>
      </c>
      <c r="AG30" s="219">
        <v>2020</v>
      </c>
      <c r="AH30" s="220">
        <v>2020</v>
      </c>
      <c r="AT30" s="20" t="e">
        <f t="shared" si="3"/>
        <v>#N/A</v>
      </c>
      <c r="AW30" s="20" t="s">
        <v>437</v>
      </c>
      <c r="AX30" s="20">
        <v>1</v>
      </c>
      <c r="BZ30" s="71"/>
      <c r="CD30" s="20" t="e">
        <f t="shared" si="4"/>
        <v>#N/A</v>
      </c>
      <c r="CE30" s="115" t="s">
        <v>457</v>
      </c>
      <c r="CF30" s="115">
        <v>865.12</v>
      </c>
    </row>
    <row r="31" spans="1:84" ht="61.5" x14ac:dyDescent="0.85">
      <c r="A31" s="20">
        <v>1</v>
      </c>
      <c r="B31" s="66">
        <f>SUBTOTAL(103,$A$22:A31)</f>
        <v>10</v>
      </c>
      <c r="C31" s="24" t="s">
        <v>495</v>
      </c>
      <c r="D31" s="31">
        <f t="shared" si="5"/>
        <v>3274095.59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3">
        <v>0</v>
      </c>
      <c r="L31" s="31">
        <v>0</v>
      </c>
      <c r="M31" s="31">
        <v>1089.8</v>
      </c>
      <c r="N31" s="31">
        <v>3225709.94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48385.65</v>
      </c>
      <c r="AD31" s="31">
        <v>0</v>
      </c>
      <c r="AE31" s="31">
        <v>0</v>
      </c>
      <c r="AF31" s="219" t="s">
        <v>271</v>
      </c>
      <c r="AG31" s="219">
        <v>2020</v>
      </c>
      <c r="AH31" s="220">
        <v>2020</v>
      </c>
      <c r="AT31" s="20" t="e">
        <f t="shared" si="3"/>
        <v>#N/A</v>
      </c>
      <c r="AW31" s="20" t="s">
        <v>800</v>
      </c>
      <c r="AX31" s="20">
        <v>1</v>
      </c>
      <c r="BZ31" s="71"/>
      <c r="CD31" s="20">
        <f t="shared" si="4"/>
        <v>1089.8</v>
      </c>
      <c r="CE31" s="115" t="s">
        <v>459</v>
      </c>
      <c r="CF31" s="115">
        <v>860.91</v>
      </c>
    </row>
    <row r="32" spans="1:84" ht="61.5" x14ac:dyDescent="0.85">
      <c r="A32" s="20">
        <v>1</v>
      </c>
      <c r="B32" s="66">
        <f>SUBTOTAL(103,$A$22:A32)</f>
        <v>11</v>
      </c>
      <c r="C32" s="24" t="s">
        <v>496</v>
      </c>
      <c r="D32" s="31">
        <f t="shared" si="5"/>
        <v>3977663.1999999997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3">
        <v>0</v>
      </c>
      <c r="L32" s="31">
        <v>0</v>
      </c>
      <c r="M32" s="31">
        <v>947.4</v>
      </c>
      <c r="N32" s="31">
        <v>3830803.35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57462.05</v>
      </c>
      <c r="AD32" s="215">
        <v>89397.8</v>
      </c>
      <c r="AE32" s="31">
        <v>0</v>
      </c>
      <c r="AF32" s="219">
        <v>2020</v>
      </c>
      <c r="AG32" s="219">
        <v>2020</v>
      </c>
      <c r="AH32" s="220">
        <v>2020</v>
      </c>
      <c r="AT32" s="20" t="e">
        <f t="shared" si="3"/>
        <v>#N/A</v>
      </c>
      <c r="AW32" s="20" t="s">
        <v>799</v>
      </c>
      <c r="AX32" s="20">
        <v>1</v>
      </c>
      <c r="BZ32" s="71"/>
      <c r="CD32" s="20" t="e">
        <f t="shared" si="4"/>
        <v>#N/A</v>
      </c>
      <c r="CE32" s="115" t="s">
        <v>783</v>
      </c>
      <c r="CF32" s="115">
        <v>1319.27</v>
      </c>
    </row>
    <row r="33" spans="1:84" ht="61.5" x14ac:dyDescent="0.85">
      <c r="A33" s="20">
        <v>1</v>
      </c>
      <c r="B33" s="66">
        <f>SUBTOTAL(103,$A$22:A33)</f>
        <v>12</v>
      </c>
      <c r="C33" s="24" t="s">
        <v>498</v>
      </c>
      <c r="D33" s="31">
        <f t="shared" si="5"/>
        <v>2688426.41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1">
        <v>0</v>
      </c>
      <c r="M33" s="31">
        <v>761.5</v>
      </c>
      <c r="N33" s="31">
        <v>2648695.9700000002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39730.44</v>
      </c>
      <c r="AD33" s="31">
        <v>0</v>
      </c>
      <c r="AE33" s="31">
        <v>0</v>
      </c>
      <c r="AF33" s="219" t="s">
        <v>271</v>
      </c>
      <c r="AG33" s="219">
        <v>2020</v>
      </c>
      <c r="AH33" s="220">
        <v>2020</v>
      </c>
      <c r="AT33" s="20" t="e">
        <f t="shared" si="3"/>
        <v>#N/A</v>
      </c>
      <c r="AW33" s="20" t="s">
        <v>680</v>
      </c>
      <c r="AX33" s="20">
        <v>1</v>
      </c>
      <c r="BZ33" s="71"/>
      <c r="CD33" s="20">
        <f t="shared" si="4"/>
        <v>761.5</v>
      </c>
      <c r="CE33" s="115" t="s">
        <v>675</v>
      </c>
      <c r="CF33" s="115">
        <v>900</v>
      </c>
    </row>
    <row r="34" spans="1:84" ht="61.5" x14ac:dyDescent="0.85">
      <c r="A34" s="20">
        <v>1</v>
      </c>
      <c r="B34" s="66">
        <f>SUBTOTAL(103,$A$22:A34)</f>
        <v>13</v>
      </c>
      <c r="C34" s="24" t="s">
        <v>499</v>
      </c>
      <c r="D34" s="31">
        <f t="shared" si="5"/>
        <v>2593330.65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1">
        <v>0</v>
      </c>
      <c r="M34" s="215">
        <v>940</v>
      </c>
      <c r="N34" s="215">
        <v>2593330.65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206">
        <v>0</v>
      </c>
      <c r="AD34" s="31">
        <v>0</v>
      </c>
      <c r="AE34" s="31">
        <v>0</v>
      </c>
      <c r="AF34" s="219" t="s">
        <v>271</v>
      </c>
      <c r="AG34" s="219">
        <v>2020</v>
      </c>
      <c r="AH34" s="220" t="s">
        <v>271</v>
      </c>
      <c r="AT34" s="20" t="e">
        <f t="shared" si="3"/>
        <v>#N/A</v>
      </c>
      <c r="AW34" s="20" t="s">
        <v>223</v>
      </c>
      <c r="AX34" s="20">
        <v>1</v>
      </c>
      <c r="BZ34" s="71"/>
      <c r="CD34" s="20">
        <f t="shared" si="4"/>
        <v>1041.5</v>
      </c>
      <c r="CE34" s="115" t="s">
        <v>676</v>
      </c>
      <c r="CF34" s="115">
        <v>900</v>
      </c>
    </row>
    <row r="35" spans="1:84" ht="61.5" x14ac:dyDescent="0.85">
      <c r="A35" s="20">
        <v>1</v>
      </c>
      <c r="B35" s="66">
        <f>SUBTOTAL(103,$A$22:A35)</f>
        <v>14</v>
      </c>
      <c r="C35" s="24" t="s">
        <v>500</v>
      </c>
      <c r="D35" s="31">
        <f t="shared" si="5"/>
        <v>16664175.41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77">
        <v>8</v>
      </c>
      <c r="L35" s="278">
        <v>16664175.41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219" t="s">
        <v>271</v>
      </c>
      <c r="AG35" s="219">
        <v>2020</v>
      </c>
      <c r="AH35" s="220" t="s">
        <v>271</v>
      </c>
      <c r="AT35" s="20">
        <f t="shared" si="3"/>
        <v>1</v>
      </c>
      <c r="BZ35" s="71"/>
      <c r="CD35" s="20" t="e">
        <f t="shared" si="4"/>
        <v>#N/A</v>
      </c>
      <c r="CE35" s="115" t="s">
        <v>1579</v>
      </c>
      <c r="CF35" s="115">
        <v>870</v>
      </c>
    </row>
    <row r="36" spans="1:84" ht="61.5" x14ac:dyDescent="0.85">
      <c r="A36" s="20">
        <v>1</v>
      </c>
      <c r="B36" s="66">
        <f>SUBTOTAL(103,$A$22:A36)</f>
        <v>15</v>
      </c>
      <c r="C36" s="24" t="s">
        <v>501</v>
      </c>
      <c r="D36" s="31">
        <f t="shared" si="5"/>
        <v>855995.43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1">
        <v>0</v>
      </c>
      <c r="M36" s="31">
        <v>315.06</v>
      </c>
      <c r="N36" s="31">
        <v>843345.25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12650.18</v>
      </c>
      <c r="AD36" s="31">
        <v>0</v>
      </c>
      <c r="AE36" s="31">
        <v>0</v>
      </c>
      <c r="AF36" s="219" t="s">
        <v>271</v>
      </c>
      <c r="AG36" s="219">
        <v>2020</v>
      </c>
      <c r="AH36" s="220">
        <v>2020</v>
      </c>
      <c r="BZ36" s="71"/>
      <c r="CD36" s="20" t="e">
        <f t="shared" si="4"/>
        <v>#N/A</v>
      </c>
      <c r="CE36" s="115" t="s">
        <v>121</v>
      </c>
      <c r="CF36" s="115">
        <v>313.10000000000002</v>
      </c>
    </row>
    <row r="37" spans="1:84" ht="61.5" x14ac:dyDescent="0.85">
      <c r="A37" s="20">
        <v>1</v>
      </c>
      <c r="B37" s="66">
        <f>SUBTOTAL(103,$A$22:A37)</f>
        <v>16</v>
      </c>
      <c r="C37" s="24" t="s">
        <v>504</v>
      </c>
      <c r="D37" s="31">
        <f t="shared" si="5"/>
        <v>4074712.4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3">
        <v>0</v>
      </c>
      <c r="L37" s="31">
        <v>0</v>
      </c>
      <c r="M37" s="31">
        <v>800</v>
      </c>
      <c r="N37" s="31">
        <v>4014495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60217.4</v>
      </c>
      <c r="AD37" s="31">
        <v>0</v>
      </c>
      <c r="AE37" s="31">
        <v>0</v>
      </c>
      <c r="AF37" s="219" t="s">
        <v>271</v>
      </c>
      <c r="AG37" s="219">
        <v>2020</v>
      </c>
      <c r="AH37" s="220">
        <v>2020</v>
      </c>
      <c r="AT37" s="20" t="e">
        <f>VLOOKUP(C37,AW:AX,2,FALSE)</f>
        <v>#N/A</v>
      </c>
      <c r="BZ37" s="71"/>
      <c r="CD37" s="20" t="e">
        <f t="shared" si="4"/>
        <v>#N/A</v>
      </c>
      <c r="CE37" s="115" t="s">
        <v>152</v>
      </c>
      <c r="CF37" s="115">
        <v>833.9</v>
      </c>
    </row>
    <row r="38" spans="1:84" ht="61.5" x14ac:dyDescent="0.85">
      <c r="A38" s="20">
        <v>1</v>
      </c>
      <c r="B38" s="66">
        <f>SUBTOTAL(103,$A$22:A38)</f>
        <v>17</v>
      </c>
      <c r="C38" s="24" t="s">
        <v>506</v>
      </c>
      <c r="D38" s="31">
        <f t="shared" si="5"/>
        <v>4205685.74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3">
        <v>0</v>
      </c>
      <c r="L38" s="31">
        <v>0</v>
      </c>
      <c r="M38" s="31">
        <v>1100</v>
      </c>
      <c r="N38" s="31">
        <v>4143532.75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62152.99</v>
      </c>
      <c r="AD38" s="31">
        <v>0</v>
      </c>
      <c r="AE38" s="31">
        <v>0</v>
      </c>
      <c r="AF38" s="219" t="s">
        <v>271</v>
      </c>
      <c r="AG38" s="219">
        <v>2020</v>
      </c>
      <c r="AH38" s="220">
        <v>2020</v>
      </c>
      <c r="AT38" s="20" t="e">
        <f>VLOOKUP(C38,AW:AX,2,FALSE)</f>
        <v>#N/A</v>
      </c>
      <c r="BZ38" s="71"/>
      <c r="CD38" s="20" t="e">
        <f t="shared" si="4"/>
        <v>#N/A</v>
      </c>
      <c r="CE38" s="115" t="s">
        <v>153</v>
      </c>
      <c r="CF38" s="115">
        <v>1035.9000000000001</v>
      </c>
    </row>
    <row r="39" spans="1:84" ht="61.5" x14ac:dyDescent="0.85">
      <c r="A39" s="20">
        <v>1</v>
      </c>
      <c r="B39" s="66">
        <f>SUBTOTAL(103,$A$22:A39)</f>
        <v>18</v>
      </c>
      <c r="C39" s="24" t="s">
        <v>1650</v>
      </c>
      <c r="D39" s="31">
        <f t="shared" si="5"/>
        <v>2349201.9300000002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3">
        <v>0</v>
      </c>
      <c r="L39" s="31">
        <v>0</v>
      </c>
      <c r="M39" s="350">
        <v>626.64</v>
      </c>
      <c r="N39" s="31">
        <v>2314484.66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34717.269999999997</v>
      </c>
      <c r="AD39" s="31">
        <v>0</v>
      </c>
      <c r="AE39" s="31">
        <v>0</v>
      </c>
      <c r="AF39" s="219" t="s">
        <v>271</v>
      </c>
      <c r="AG39" s="219">
        <v>2020</v>
      </c>
      <c r="AH39" s="220">
        <v>2020</v>
      </c>
      <c r="BZ39" s="71"/>
      <c r="CD39" s="20" t="e">
        <f t="shared" si="4"/>
        <v>#N/A</v>
      </c>
      <c r="CE39" s="115" t="s">
        <v>495</v>
      </c>
      <c r="CF39" s="115">
        <v>1089.8</v>
      </c>
    </row>
    <row r="40" spans="1:84" ht="61.5" x14ac:dyDescent="0.85">
      <c r="A40" s="20">
        <v>1</v>
      </c>
      <c r="B40" s="66">
        <f>SUBTOTAL(103,$A$22:A40)</f>
        <v>19</v>
      </c>
      <c r="C40" s="24" t="s">
        <v>507</v>
      </c>
      <c r="D40" s="31">
        <f t="shared" si="5"/>
        <v>4136394.6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3">
        <v>0</v>
      </c>
      <c r="L40" s="31">
        <v>0</v>
      </c>
      <c r="M40" s="31">
        <v>912.9</v>
      </c>
      <c r="N40" s="31">
        <v>4075265.62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61128.98</v>
      </c>
      <c r="AD40" s="31">
        <v>0</v>
      </c>
      <c r="AE40" s="31">
        <v>0</v>
      </c>
      <c r="AF40" s="219" t="s">
        <v>271</v>
      </c>
      <c r="AG40" s="219">
        <v>2020</v>
      </c>
      <c r="AH40" s="220">
        <v>2020</v>
      </c>
      <c r="AT40" s="20" t="e">
        <f>VLOOKUP(C40,AW:AX,2,FALSE)</f>
        <v>#N/A</v>
      </c>
      <c r="BZ40" s="71"/>
      <c r="CD40" s="20" t="e">
        <f t="shared" si="4"/>
        <v>#N/A</v>
      </c>
      <c r="CE40" s="115" t="s">
        <v>499</v>
      </c>
      <c r="CF40" s="115">
        <v>1041.5</v>
      </c>
    </row>
    <row r="41" spans="1:84" ht="61.5" x14ac:dyDescent="0.85">
      <c r="A41" s="20">
        <v>1</v>
      </c>
      <c r="B41" s="66">
        <f>SUBTOTAL(103,$A$22:A41)</f>
        <v>20</v>
      </c>
      <c r="C41" s="24" t="s">
        <v>508</v>
      </c>
      <c r="D41" s="31">
        <f t="shared" si="5"/>
        <v>609000</v>
      </c>
      <c r="E41" s="31">
        <v>0</v>
      </c>
      <c r="F41" s="31">
        <v>0</v>
      </c>
      <c r="G41" s="31">
        <v>600000</v>
      </c>
      <c r="H41" s="31">
        <v>0</v>
      </c>
      <c r="I41" s="31">
        <v>0</v>
      </c>
      <c r="J41" s="31">
        <v>0</v>
      </c>
      <c r="K41" s="33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9000</v>
      </c>
      <c r="AD41" s="206">
        <v>0</v>
      </c>
      <c r="AE41" s="31">
        <v>0</v>
      </c>
      <c r="AF41" s="219" t="s">
        <v>271</v>
      </c>
      <c r="AG41" s="219">
        <v>2020</v>
      </c>
      <c r="AH41" s="220">
        <v>2020</v>
      </c>
      <c r="AT41" s="20" t="e">
        <f>VLOOKUP(C41,AW:AX,2,FALSE)</f>
        <v>#N/A</v>
      </c>
      <c r="BZ41" s="71"/>
      <c r="CD41" s="20" t="e">
        <f t="shared" si="4"/>
        <v>#N/A</v>
      </c>
      <c r="CE41" s="115" t="s">
        <v>521</v>
      </c>
      <c r="CF41" s="115">
        <v>702.2</v>
      </c>
    </row>
    <row r="42" spans="1:84" s="121" customFormat="1" ht="61.5" x14ac:dyDescent="0.85">
      <c r="A42" s="121">
        <v>1</v>
      </c>
      <c r="B42" s="274">
        <f>SUBTOTAL(103,$A$22:A42)</f>
        <v>21</v>
      </c>
      <c r="C42" s="275" t="s">
        <v>509</v>
      </c>
      <c r="D42" s="208">
        <f t="shared" si="5"/>
        <v>56688.3</v>
      </c>
      <c r="E42" s="208">
        <v>0</v>
      </c>
      <c r="F42" s="208">
        <v>0</v>
      </c>
      <c r="G42" s="208">
        <v>0</v>
      </c>
      <c r="H42" s="208">
        <v>0</v>
      </c>
      <c r="I42" s="208">
        <v>0</v>
      </c>
      <c r="J42" s="208">
        <v>0</v>
      </c>
      <c r="K42" s="276">
        <v>0</v>
      </c>
      <c r="L42" s="208">
        <v>0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208">
        <v>0</v>
      </c>
      <c r="W42" s="208">
        <v>0</v>
      </c>
      <c r="X42" s="208">
        <v>0</v>
      </c>
      <c r="Y42" s="208">
        <v>0</v>
      </c>
      <c r="Z42" s="208">
        <v>0</v>
      </c>
      <c r="AA42" s="208">
        <v>0</v>
      </c>
      <c r="AB42" s="208">
        <v>0</v>
      </c>
      <c r="AC42" s="208">
        <v>0</v>
      </c>
      <c r="AD42" s="273">
        <v>56688.3</v>
      </c>
      <c r="AE42" s="208">
        <v>0</v>
      </c>
      <c r="AF42" s="219">
        <v>2020</v>
      </c>
      <c r="AG42" s="219" t="s">
        <v>271</v>
      </c>
      <c r="AH42" s="220" t="s">
        <v>271</v>
      </c>
      <c r="AR42" s="121" t="e">
        <f>VLOOKUP(C42,AU:AV,2,FALSE)</f>
        <v>#N/A</v>
      </c>
      <c r="BX42" s="144"/>
      <c r="CB42" s="121" t="e">
        <f>VLOOKUP(C42,CC:CD,2,FALSE)</f>
        <v>#N/A</v>
      </c>
      <c r="CC42" s="148" t="s">
        <v>525</v>
      </c>
      <c r="CD42" s="148">
        <v>777.1</v>
      </c>
    </row>
    <row r="43" spans="1:84" ht="61.5" x14ac:dyDescent="0.85">
      <c r="A43" s="20">
        <v>1</v>
      </c>
      <c r="B43" s="66">
        <f>SUBTOTAL(103,$A$22:A43)</f>
        <v>22</v>
      </c>
      <c r="C43" s="24" t="s">
        <v>510</v>
      </c>
      <c r="D43" s="31">
        <f t="shared" si="5"/>
        <v>2626564.2799999998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3">
        <v>0</v>
      </c>
      <c r="L43" s="31">
        <v>0</v>
      </c>
      <c r="M43" s="31">
        <v>605</v>
      </c>
      <c r="N43" s="206">
        <v>2500000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206">
        <v>37500</v>
      </c>
      <c r="AD43" s="31">
        <v>89064.28</v>
      </c>
      <c r="AE43" s="31">
        <v>0</v>
      </c>
      <c r="AF43" s="219">
        <v>2020</v>
      </c>
      <c r="AG43" s="219">
        <v>2020</v>
      </c>
      <c r="AH43" s="220">
        <v>2020</v>
      </c>
      <c r="AT43" s="20" t="e">
        <f t="shared" ref="AT43:AT49" si="6">VLOOKUP(C43,AW:AX,2,FALSE)</f>
        <v>#N/A</v>
      </c>
      <c r="BZ43" s="71"/>
      <c r="CD43" s="20" t="e">
        <f t="shared" ref="CD43:CD74" si="7">VLOOKUP(C43,CE:CF,2,FALSE)</f>
        <v>#N/A</v>
      </c>
      <c r="CE43" s="115" t="s">
        <v>526</v>
      </c>
      <c r="CF43" s="115">
        <v>1000</v>
      </c>
    </row>
    <row r="44" spans="1:84" ht="61.5" x14ac:dyDescent="0.85">
      <c r="A44" s="20">
        <v>1</v>
      </c>
      <c r="B44" s="66">
        <f>SUBTOTAL(103,$A$22:A44)</f>
        <v>23</v>
      </c>
      <c r="C44" s="24" t="s">
        <v>511</v>
      </c>
      <c r="D44" s="31">
        <f t="shared" si="5"/>
        <v>2644244.0599999996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3">
        <v>0</v>
      </c>
      <c r="L44" s="31">
        <v>0</v>
      </c>
      <c r="M44" s="31">
        <v>780</v>
      </c>
      <c r="N44" s="204">
        <v>2522475.65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206">
        <v>37837.129999999997</v>
      </c>
      <c r="AD44" s="31">
        <v>83931.28</v>
      </c>
      <c r="AE44" s="31">
        <v>0</v>
      </c>
      <c r="AF44" s="219">
        <v>2020</v>
      </c>
      <c r="AG44" s="219">
        <v>2020</v>
      </c>
      <c r="AH44" s="220">
        <v>2020</v>
      </c>
      <c r="AT44" s="20" t="e">
        <f t="shared" si="6"/>
        <v>#N/A</v>
      </c>
      <c r="BZ44" s="71"/>
      <c r="CD44" s="20" t="e">
        <f t="shared" si="7"/>
        <v>#N/A</v>
      </c>
      <c r="CE44" s="115" t="s">
        <v>529</v>
      </c>
      <c r="CF44" s="115">
        <v>800</v>
      </c>
    </row>
    <row r="45" spans="1:84" ht="61.5" x14ac:dyDescent="0.85">
      <c r="A45" s="20">
        <v>1</v>
      </c>
      <c r="B45" s="66">
        <f>SUBTOTAL(103,$A$22:A45)</f>
        <v>24</v>
      </c>
      <c r="C45" s="24" t="s">
        <v>512</v>
      </c>
      <c r="D45" s="31">
        <f t="shared" si="5"/>
        <v>14212345.49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77">
        <v>7</v>
      </c>
      <c r="L45" s="278">
        <v>14212345.49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219" t="s">
        <v>271</v>
      </c>
      <c r="AG45" s="219">
        <v>2020</v>
      </c>
      <c r="AH45" s="220" t="s">
        <v>271</v>
      </c>
      <c r="AT45" s="20" t="e">
        <f t="shared" si="6"/>
        <v>#N/A</v>
      </c>
      <c r="BZ45" s="71"/>
      <c r="CD45" s="20" t="e">
        <f t="shared" si="7"/>
        <v>#N/A</v>
      </c>
      <c r="CE45" s="115" t="s">
        <v>532</v>
      </c>
      <c r="CF45" s="115">
        <v>1180.0999999999999</v>
      </c>
    </row>
    <row r="46" spans="1:84" ht="61.5" x14ac:dyDescent="0.85">
      <c r="A46" s="20">
        <v>1</v>
      </c>
      <c r="B46" s="66">
        <f>SUBTOTAL(103,$A$22:A46)</f>
        <v>25</v>
      </c>
      <c r="C46" s="24" t="s">
        <v>513</v>
      </c>
      <c r="D46" s="31">
        <f t="shared" si="5"/>
        <v>3983582.65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277">
        <v>2</v>
      </c>
      <c r="L46" s="278">
        <v>3983582.65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219" t="s">
        <v>271</v>
      </c>
      <c r="AG46" s="219">
        <v>2020</v>
      </c>
      <c r="AH46" s="220" t="s">
        <v>271</v>
      </c>
      <c r="AT46" s="20" t="e">
        <f t="shared" si="6"/>
        <v>#N/A</v>
      </c>
      <c r="BZ46" s="71"/>
      <c r="CD46" s="20" t="e">
        <f t="shared" si="7"/>
        <v>#N/A</v>
      </c>
      <c r="CE46" s="115" t="s">
        <v>1389</v>
      </c>
      <c r="CF46" s="115">
        <v>789</v>
      </c>
    </row>
    <row r="47" spans="1:84" ht="61.5" x14ac:dyDescent="0.85">
      <c r="A47" s="20">
        <v>1</v>
      </c>
      <c r="B47" s="66">
        <f>SUBTOTAL(103,$A$22:A47)</f>
        <v>26</v>
      </c>
      <c r="C47" s="24" t="s">
        <v>514</v>
      </c>
      <c r="D47" s="31">
        <f t="shared" si="5"/>
        <v>2058639.13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277">
        <v>1</v>
      </c>
      <c r="L47" s="278">
        <v>2058639.13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219" t="s">
        <v>271</v>
      </c>
      <c r="AG47" s="219">
        <v>2020</v>
      </c>
      <c r="AH47" s="220" t="s">
        <v>271</v>
      </c>
      <c r="AT47" s="20" t="e">
        <f t="shared" si="6"/>
        <v>#N/A</v>
      </c>
      <c r="BZ47" s="71"/>
      <c r="CD47" s="20" t="e">
        <f t="shared" si="7"/>
        <v>#N/A</v>
      </c>
      <c r="CE47" s="115" t="s">
        <v>1112</v>
      </c>
      <c r="CF47" s="115">
        <v>1147.7</v>
      </c>
    </row>
    <row r="48" spans="1:84" ht="61.5" x14ac:dyDescent="0.85">
      <c r="A48" s="20">
        <v>1</v>
      </c>
      <c r="B48" s="66">
        <f>SUBTOTAL(103,$A$22:A48)</f>
        <v>27</v>
      </c>
      <c r="C48" s="24" t="s">
        <v>515</v>
      </c>
      <c r="D48" s="31">
        <f t="shared" si="5"/>
        <v>4117278.25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77">
        <v>2</v>
      </c>
      <c r="L48" s="278">
        <v>4117278.25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219" t="s">
        <v>271</v>
      </c>
      <c r="AG48" s="219">
        <v>2020</v>
      </c>
      <c r="AH48" s="220" t="s">
        <v>271</v>
      </c>
      <c r="AT48" s="20" t="e">
        <f t="shared" si="6"/>
        <v>#N/A</v>
      </c>
      <c r="BZ48" s="71"/>
      <c r="CD48" s="20" t="e">
        <f t="shared" si="7"/>
        <v>#N/A</v>
      </c>
      <c r="CE48" s="115" t="s">
        <v>1113</v>
      </c>
      <c r="CF48" s="115">
        <v>218.8</v>
      </c>
    </row>
    <row r="49" spans="1:84" ht="61.5" x14ac:dyDescent="0.85">
      <c r="A49" s="20">
        <v>1</v>
      </c>
      <c r="B49" s="66">
        <f>SUBTOTAL(103,$A$22:A49)</f>
        <v>28</v>
      </c>
      <c r="C49" s="24" t="s">
        <v>516</v>
      </c>
      <c r="D49" s="31">
        <f t="shared" si="5"/>
        <v>1143421.82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3">
        <v>0</v>
      </c>
      <c r="L49" s="31">
        <v>0</v>
      </c>
      <c r="M49" s="272">
        <v>305.72000000000003</v>
      </c>
      <c r="N49" s="335">
        <v>1126523.96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206">
        <v>16897.86</v>
      </c>
      <c r="AD49" s="31">
        <v>0</v>
      </c>
      <c r="AE49" s="31">
        <v>0</v>
      </c>
      <c r="AF49" s="219" t="s">
        <v>271</v>
      </c>
      <c r="AG49" s="219">
        <v>2020</v>
      </c>
      <c r="AH49" s="220">
        <v>2020</v>
      </c>
      <c r="AT49" s="20" t="e">
        <f t="shared" si="6"/>
        <v>#N/A</v>
      </c>
      <c r="BZ49" s="71"/>
      <c r="CD49" s="20">
        <f t="shared" si="7"/>
        <v>342</v>
      </c>
      <c r="CE49" s="115" t="s">
        <v>1114</v>
      </c>
      <c r="CF49" s="115">
        <v>912.27</v>
      </c>
    </row>
    <row r="50" spans="1:84" ht="61.5" x14ac:dyDescent="0.85">
      <c r="A50" s="20">
        <v>1</v>
      </c>
      <c r="B50" s="66">
        <f>SUBTOTAL(103,$A$22:A50)</f>
        <v>29</v>
      </c>
      <c r="C50" s="24" t="s">
        <v>517</v>
      </c>
      <c r="D50" s="31">
        <f t="shared" si="5"/>
        <v>947034.45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3">
        <v>0</v>
      </c>
      <c r="L50" s="31">
        <v>0</v>
      </c>
      <c r="M50" s="31">
        <v>207</v>
      </c>
      <c r="N50" s="31">
        <v>933038.87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13995.58</v>
      </c>
      <c r="AD50" s="31">
        <v>0</v>
      </c>
      <c r="AE50" s="31">
        <v>0</v>
      </c>
      <c r="AF50" s="219" t="s">
        <v>271</v>
      </c>
      <c r="AG50" s="219">
        <v>2020</v>
      </c>
      <c r="AH50" s="220">
        <v>2020</v>
      </c>
      <c r="BZ50" s="71"/>
      <c r="CD50" s="20" t="e">
        <f t="shared" si="7"/>
        <v>#N/A</v>
      </c>
      <c r="CE50" s="115" t="s">
        <v>1118</v>
      </c>
      <c r="CF50" s="115">
        <v>979.44</v>
      </c>
    </row>
    <row r="51" spans="1:84" ht="61.5" x14ac:dyDescent="0.85">
      <c r="A51" s="20">
        <v>1</v>
      </c>
      <c r="B51" s="66">
        <f>SUBTOTAL(103,$A$22:A51)</f>
        <v>30</v>
      </c>
      <c r="C51" s="24" t="s">
        <v>518</v>
      </c>
      <c r="D51" s="31">
        <f t="shared" si="5"/>
        <v>1287913.6700000002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3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424.4</v>
      </c>
      <c r="R51" s="31">
        <v>1223063.8700000001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18345.96</v>
      </c>
      <c r="AD51" s="31">
        <v>46503.839999999997</v>
      </c>
      <c r="AE51" s="31">
        <v>0</v>
      </c>
      <c r="AF51" s="219">
        <v>2020</v>
      </c>
      <c r="AG51" s="219">
        <v>2020</v>
      </c>
      <c r="AH51" s="220">
        <v>2020</v>
      </c>
      <c r="AT51" s="20" t="e">
        <f t="shared" ref="AT51:AT66" si="8">VLOOKUP(C51,AW:AX,2,FALSE)</f>
        <v>#N/A</v>
      </c>
      <c r="BZ51" s="71"/>
      <c r="CD51" s="20" t="e">
        <f t="shared" si="7"/>
        <v>#N/A</v>
      </c>
      <c r="CE51" s="115" t="s">
        <v>1119</v>
      </c>
      <c r="CF51" s="115">
        <v>730.17</v>
      </c>
    </row>
    <row r="52" spans="1:84" ht="61.5" x14ac:dyDescent="0.85">
      <c r="A52" s="20">
        <v>1</v>
      </c>
      <c r="B52" s="66">
        <f>SUBTOTAL(103,$A$22:A52)</f>
        <v>31</v>
      </c>
      <c r="C52" s="24" t="s">
        <v>519</v>
      </c>
      <c r="D52" s="31">
        <f t="shared" si="5"/>
        <v>2046760.76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277">
        <v>1</v>
      </c>
      <c r="L52" s="278">
        <v>2046760.76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219" t="s">
        <v>271</v>
      </c>
      <c r="AG52" s="219">
        <v>2020</v>
      </c>
      <c r="AH52" s="220" t="s">
        <v>271</v>
      </c>
      <c r="AT52" s="20" t="e">
        <f t="shared" si="8"/>
        <v>#N/A</v>
      </c>
      <c r="BZ52" s="71"/>
      <c r="CD52" s="20" t="e">
        <f t="shared" si="7"/>
        <v>#N/A</v>
      </c>
      <c r="CE52" s="115" t="s">
        <v>1122</v>
      </c>
      <c r="CF52" s="115">
        <v>874.18</v>
      </c>
    </row>
    <row r="53" spans="1:84" ht="61.5" x14ac:dyDescent="0.85">
      <c r="A53" s="20">
        <v>1</v>
      </c>
      <c r="B53" s="66">
        <f>SUBTOTAL(103,$A$22:A53)</f>
        <v>32</v>
      </c>
      <c r="C53" s="24" t="s">
        <v>520</v>
      </c>
      <c r="D53" s="31">
        <f t="shared" si="5"/>
        <v>2502648.29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3">
        <v>0</v>
      </c>
      <c r="L53" s="31">
        <v>0</v>
      </c>
      <c r="M53" s="31">
        <v>952</v>
      </c>
      <c r="N53" s="31">
        <v>2383654.73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35754.82</v>
      </c>
      <c r="AD53" s="31">
        <v>83238.740000000005</v>
      </c>
      <c r="AE53" s="31">
        <v>0</v>
      </c>
      <c r="AF53" s="219">
        <v>2020</v>
      </c>
      <c r="AG53" s="219">
        <v>2020</v>
      </c>
      <c r="AH53" s="220">
        <v>2020</v>
      </c>
      <c r="AT53" s="20" t="e">
        <f t="shared" si="8"/>
        <v>#N/A</v>
      </c>
      <c r="BZ53" s="71"/>
      <c r="CD53" s="20">
        <f t="shared" si="7"/>
        <v>952</v>
      </c>
      <c r="CE53" s="115" t="s">
        <v>1124</v>
      </c>
      <c r="CF53" s="115">
        <v>1200</v>
      </c>
    </row>
    <row r="54" spans="1:84" ht="61.5" x14ac:dyDescent="0.85">
      <c r="A54" s="20">
        <v>1</v>
      </c>
      <c r="B54" s="66">
        <f>SUBTOTAL(103,$A$22:A54)</f>
        <v>33</v>
      </c>
      <c r="C54" s="24" t="s">
        <v>521</v>
      </c>
      <c r="D54" s="31">
        <f t="shared" si="5"/>
        <v>2398202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3">
        <v>0</v>
      </c>
      <c r="L54" s="31">
        <v>0</v>
      </c>
      <c r="M54" s="31">
        <v>677.7</v>
      </c>
      <c r="N54" s="31">
        <v>2398202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219" t="s">
        <v>271</v>
      </c>
      <c r="AG54" s="219">
        <v>2020</v>
      </c>
      <c r="AH54" s="220" t="s">
        <v>271</v>
      </c>
      <c r="AT54" s="20" t="e">
        <f t="shared" si="8"/>
        <v>#N/A</v>
      </c>
      <c r="BZ54" s="71"/>
      <c r="CD54" s="20">
        <f t="shared" si="7"/>
        <v>702.2</v>
      </c>
      <c r="CE54" s="115" t="s">
        <v>1134</v>
      </c>
      <c r="CF54" s="115">
        <v>523.98</v>
      </c>
    </row>
    <row r="55" spans="1:84" ht="61.5" x14ac:dyDescent="0.85">
      <c r="A55" s="20">
        <v>1</v>
      </c>
      <c r="B55" s="66">
        <f>SUBTOTAL(103,$A$22:A55)</f>
        <v>34</v>
      </c>
      <c r="C55" s="24" t="s">
        <v>522</v>
      </c>
      <c r="D55" s="31">
        <f t="shared" si="5"/>
        <v>1104719.2799999998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3">
        <v>0</v>
      </c>
      <c r="L55" s="31">
        <v>0</v>
      </c>
      <c r="M55" s="31">
        <v>250.4</v>
      </c>
      <c r="N55" s="31">
        <v>1088099.8799999999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16619.400000000001</v>
      </c>
      <c r="AD55" s="31">
        <v>0</v>
      </c>
      <c r="AE55" s="31">
        <v>0</v>
      </c>
      <c r="AF55" s="219" t="s">
        <v>271</v>
      </c>
      <c r="AG55" s="219">
        <v>2020</v>
      </c>
      <c r="AH55" s="220">
        <v>2020</v>
      </c>
      <c r="AT55" s="20" t="e">
        <f t="shared" si="8"/>
        <v>#N/A</v>
      </c>
      <c r="BZ55" s="71"/>
      <c r="CD55" s="20" t="e">
        <f t="shared" si="7"/>
        <v>#N/A</v>
      </c>
      <c r="CE55" s="115" t="s">
        <v>1136</v>
      </c>
      <c r="CF55" s="115">
        <v>1093</v>
      </c>
    </row>
    <row r="56" spans="1:84" ht="61.5" x14ac:dyDescent="0.85">
      <c r="A56" s="20">
        <v>1</v>
      </c>
      <c r="B56" s="66">
        <f>SUBTOTAL(103,$A$22:A56)</f>
        <v>35</v>
      </c>
      <c r="C56" s="24" t="s">
        <v>523</v>
      </c>
      <c r="D56" s="31">
        <f t="shared" si="5"/>
        <v>2605870.27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3">
        <v>0</v>
      </c>
      <c r="L56" s="31">
        <v>0</v>
      </c>
      <c r="M56" s="215">
        <v>1512.41</v>
      </c>
      <c r="N56" s="215">
        <v>2567359.87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206">
        <v>38510.400000000001</v>
      </c>
      <c r="AD56" s="31">
        <v>0</v>
      </c>
      <c r="AE56" s="31">
        <v>0</v>
      </c>
      <c r="AF56" s="219" t="s">
        <v>271</v>
      </c>
      <c r="AG56" s="219">
        <v>2020</v>
      </c>
      <c r="AH56" s="220">
        <v>2020</v>
      </c>
      <c r="AT56" s="20" t="e">
        <f t="shared" si="8"/>
        <v>#N/A</v>
      </c>
      <c r="BZ56" s="71"/>
      <c r="CD56" s="20">
        <f t="shared" si="7"/>
        <v>1603.24</v>
      </c>
      <c r="CE56" s="115" t="s">
        <v>1565</v>
      </c>
      <c r="CF56" s="115">
        <v>1004.3</v>
      </c>
    </row>
    <row r="57" spans="1:84" ht="61.5" x14ac:dyDescent="0.85">
      <c r="A57" s="20">
        <v>1</v>
      </c>
      <c r="B57" s="66">
        <f>SUBTOTAL(103,$A$22:A57)</f>
        <v>36</v>
      </c>
      <c r="C57" s="24" t="s">
        <v>524</v>
      </c>
      <c r="D57" s="31">
        <f t="shared" si="5"/>
        <v>4726303.2699999996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3">
        <v>0</v>
      </c>
      <c r="L57" s="31">
        <v>0</v>
      </c>
      <c r="M57" s="31">
        <v>2070.63</v>
      </c>
      <c r="N57" s="31">
        <v>4656456.42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69846.850000000006</v>
      </c>
      <c r="AD57" s="31">
        <v>0</v>
      </c>
      <c r="AE57" s="31">
        <v>0</v>
      </c>
      <c r="AF57" s="219" t="s">
        <v>271</v>
      </c>
      <c r="AG57" s="219">
        <v>2020</v>
      </c>
      <c r="AH57" s="220">
        <v>2020</v>
      </c>
      <c r="AT57" s="20" t="e">
        <f t="shared" si="8"/>
        <v>#N/A</v>
      </c>
      <c r="BZ57" s="71"/>
      <c r="CD57" s="20">
        <f t="shared" si="7"/>
        <v>2070.63</v>
      </c>
      <c r="CE57" s="115" t="s">
        <v>1551</v>
      </c>
      <c r="CF57" s="115">
        <v>334.8</v>
      </c>
    </row>
    <row r="58" spans="1:84" ht="61.5" x14ac:dyDescent="0.85">
      <c r="A58" s="20">
        <v>1</v>
      </c>
      <c r="B58" s="66">
        <f>SUBTOTAL(103,$A$22:A58)</f>
        <v>37</v>
      </c>
      <c r="C58" s="24" t="s">
        <v>525</v>
      </c>
      <c r="D58" s="31">
        <f t="shared" si="5"/>
        <v>2474623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3">
        <v>0</v>
      </c>
      <c r="L58" s="31">
        <v>0</v>
      </c>
      <c r="M58" s="279">
        <v>761</v>
      </c>
      <c r="N58" s="273">
        <v>2474623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219" t="s">
        <v>271</v>
      </c>
      <c r="AG58" s="219">
        <v>2020</v>
      </c>
      <c r="AH58" s="220" t="s">
        <v>271</v>
      </c>
      <c r="AT58" s="20" t="e">
        <f t="shared" si="8"/>
        <v>#N/A</v>
      </c>
      <c r="BZ58" s="71"/>
      <c r="CD58" s="20">
        <f t="shared" si="7"/>
        <v>777.1</v>
      </c>
      <c r="CE58" s="115" t="s">
        <v>1563</v>
      </c>
      <c r="CF58" s="115">
        <v>1585</v>
      </c>
    </row>
    <row r="59" spans="1:84" ht="61.5" x14ac:dyDescent="0.85">
      <c r="A59" s="20">
        <v>1</v>
      </c>
      <c r="B59" s="66">
        <f>SUBTOTAL(103,$A$22:A59)</f>
        <v>38</v>
      </c>
      <c r="C59" s="24" t="s">
        <v>526</v>
      </c>
      <c r="D59" s="31">
        <f t="shared" si="5"/>
        <v>4187098.32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3">
        <v>0</v>
      </c>
      <c r="L59" s="31">
        <v>0</v>
      </c>
      <c r="M59" s="31">
        <v>1000</v>
      </c>
      <c r="N59" s="31">
        <v>4125220.02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61878.3</v>
      </c>
      <c r="AD59" s="31">
        <v>0</v>
      </c>
      <c r="AE59" s="31">
        <v>0</v>
      </c>
      <c r="AF59" s="219" t="s">
        <v>271</v>
      </c>
      <c r="AG59" s="219">
        <v>2020</v>
      </c>
      <c r="AH59" s="220">
        <v>2020</v>
      </c>
      <c r="AT59" s="20" t="e">
        <f t="shared" si="8"/>
        <v>#N/A</v>
      </c>
      <c r="BZ59" s="71"/>
      <c r="CD59" s="20">
        <f t="shared" si="7"/>
        <v>1000</v>
      </c>
      <c r="CE59" s="115" t="s">
        <v>1552</v>
      </c>
      <c r="CF59" s="115">
        <v>543.6</v>
      </c>
    </row>
    <row r="60" spans="1:84" ht="61.5" x14ac:dyDescent="0.85">
      <c r="A60" s="20">
        <v>1</v>
      </c>
      <c r="B60" s="66">
        <f>SUBTOTAL(103,$A$22:A60)</f>
        <v>39</v>
      </c>
      <c r="C60" s="24" t="s">
        <v>527</v>
      </c>
      <c r="D60" s="31">
        <f t="shared" si="5"/>
        <v>2693319.61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3">
        <v>0</v>
      </c>
      <c r="L60" s="31">
        <v>0</v>
      </c>
      <c r="M60" s="31">
        <v>600</v>
      </c>
      <c r="N60" s="31">
        <v>2653516.86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39802.75</v>
      </c>
      <c r="AD60" s="31">
        <v>0</v>
      </c>
      <c r="AE60" s="31">
        <v>0</v>
      </c>
      <c r="AF60" s="219" t="s">
        <v>271</v>
      </c>
      <c r="AG60" s="219">
        <v>2020</v>
      </c>
      <c r="AH60" s="220">
        <v>2020</v>
      </c>
      <c r="AT60" s="20" t="e">
        <f t="shared" si="8"/>
        <v>#N/A</v>
      </c>
      <c r="BZ60" s="71"/>
      <c r="CD60" s="20">
        <f t="shared" si="7"/>
        <v>600</v>
      </c>
      <c r="CE60" s="115" t="s">
        <v>452</v>
      </c>
      <c r="CF60" s="115">
        <v>603.71</v>
      </c>
    </row>
    <row r="61" spans="1:84" ht="61.5" x14ac:dyDescent="0.85">
      <c r="A61" s="20">
        <v>1</v>
      </c>
      <c r="B61" s="66">
        <f>SUBTOTAL(103,$A$22:A61)</f>
        <v>40</v>
      </c>
      <c r="C61" s="24" t="s">
        <v>528</v>
      </c>
      <c r="D61" s="31">
        <f t="shared" si="5"/>
        <v>2288122.8600000003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3">
        <v>0</v>
      </c>
      <c r="L61" s="31">
        <v>0</v>
      </c>
      <c r="M61" s="31">
        <v>575.94000000000005</v>
      </c>
      <c r="N61" s="31">
        <v>2169742.58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32546.14</v>
      </c>
      <c r="AD61" s="217">
        <v>85834.14</v>
      </c>
      <c r="AE61" s="31">
        <v>0</v>
      </c>
      <c r="AF61" s="219">
        <v>2020</v>
      </c>
      <c r="AG61" s="219">
        <v>2020</v>
      </c>
      <c r="AH61" s="220">
        <v>2020</v>
      </c>
      <c r="AT61" s="20" t="e">
        <f t="shared" si="8"/>
        <v>#N/A</v>
      </c>
      <c r="BZ61" s="71"/>
      <c r="CD61" s="20" t="e">
        <f t="shared" si="7"/>
        <v>#N/A</v>
      </c>
      <c r="CE61" s="115" t="s">
        <v>453</v>
      </c>
      <c r="CF61" s="115">
        <v>588.4</v>
      </c>
    </row>
    <row r="62" spans="1:84" ht="61.5" x14ac:dyDescent="0.85">
      <c r="A62" s="20">
        <v>1</v>
      </c>
      <c r="B62" s="66">
        <f>SUBTOTAL(103,$A$22:A62)</f>
        <v>41</v>
      </c>
      <c r="C62" s="24" t="s">
        <v>529</v>
      </c>
      <c r="D62" s="31">
        <f t="shared" si="5"/>
        <v>3382151.3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3">
        <v>0</v>
      </c>
      <c r="L62" s="31">
        <v>0</v>
      </c>
      <c r="M62" s="31">
        <v>800</v>
      </c>
      <c r="N62" s="31">
        <v>3332168.77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49982.53</v>
      </c>
      <c r="AD62" s="31">
        <v>0</v>
      </c>
      <c r="AE62" s="31">
        <v>0</v>
      </c>
      <c r="AF62" s="219" t="s">
        <v>271</v>
      </c>
      <c r="AG62" s="219">
        <v>2020</v>
      </c>
      <c r="AH62" s="220">
        <v>2020</v>
      </c>
      <c r="AT62" s="20" t="e">
        <f t="shared" si="8"/>
        <v>#N/A</v>
      </c>
      <c r="BZ62" s="71"/>
      <c r="CD62" s="20">
        <f t="shared" si="7"/>
        <v>800</v>
      </c>
      <c r="CE62" s="115" t="s">
        <v>455</v>
      </c>
      <c r="CF62" s="115">
        <v>577</v>
      </c>
    </row>
    <row r="63" spans="1:84" ht="61.5" x14ac:dyDescent="0.85">
      <c r="A63" s="20">
        <v>1</v>
      </c>
      <c r="B63" s="66">
        <f>SUBTOTAL(103,$A$22:A63)</f>
        <v>42</v>
      </c>
      <c r="C63" s="24" t="s">
        <v>530</v>
      </c>
      <c r="D63" s="31">
        <f t="shared" si="5"/>
        <v>4414109.6800000006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3">
        <v>0</v>
      </c>
      <c r="L63" s="31">
        <v>0</v>
      </c>
      <c r="M63" s="31">
        <v>1065</v>
      </c>
      <c r="N63" s="31">
        <v>4261440.63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63921.61</v>
      </c>
      <c r="AD63" s="31">
        <v>88747.44</v>
      </c>
      <c r="AE63" s="31">
        <v>0</v>
      </c>
      <c r="AF63" s="219">
        <v>2020</v>
      </c>
      <c r="AG63" s="219">
        <v>2020</v>
      </c>
      <c r="AH63" s="220">
        <v>2020</v>
      </c>
      <c r="AT63" s="20" t="e">
        <f t="shared" si="8"/>
        <v>#N/A</v>
      </c>
      <c r="BZ63" s="71"/>
      <c r="CD63" s="20" t="e">
        <f t="shared" si="7"/>
        <v>#N/A</v>
      </c>
      <c r="CE63" s="115" t="s">
        <v>1165</v>
      </c>
      <c r="CF63" s="115">
        <v>633.34</v>
      </c>
    </row>
    <row r="64" spans="1:84" ht="61.5" x14ac:dyDescent="0.85">
      <c r="A64" s="20">
        <v>1</v>
      </c>
      <c r="B64" s="66">
        <f>SUBTOTAL(103,$A$22:A64)</f>
        <v>43</v>
      </c>
      <c r="C64" s="24" t="s">
        <v>531</v>
      </c>
      <c r="D64" s="31">
        <f t="shared" si="5"/>
        <v>4032402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3">
        <v>0</v>
      </c>
      <c r="L64" s="31">
        <v>0</v>
      </c>
      <c r="M64" s="31">
        <v>904</v>
      </c>
      <c r="N64" s="206">
        <v>3891310.79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206">
        <v>58369.66</v>
      </c>
      <c r="AD64" s="31">
        <v>82721.55</v>
      </c>
      <c r="AE64" s="31">
        <v>0</v>
      </c>
      <c r="AF64" s="219">
        <v>2020</v>
      </c>
      <c r="AG64" s="219">
        <v>2020</v>
      </c>
      <c r="AH64" s="220">
        <v>2020</v>
      </c>
      <c r="AT64" s="20" t="e">
        <f t="shared" si="8"/>
        <v>#N/A</v>
      </c>
      <c r="BZ64" s="71"/>
      <c r="CD64" s="20">
        <f t="shared" si="7"/>
        <v>904</v>
      </c>
      <c r="CE64" s="115" t="s">
        <v>1301</v>
      </c>
      <c r="CF64" s="115">
        <v>1674.7</v>
      </c>
    </row>
    <row r="65" spans="1:84" ht="61.5" x14ac:dyDescent="0.85">
      <c r="A65" s="20">
        <v>1</v>
      </c>
      <c r="B65" s="66">
        <f>SUBTOTAL(103,$A$22:A65)</f>
        <v>44</v>
      </c>
      <c r="C65" s="24" t="s">
        <v>532</v>
      </c>
      <c r="D65" s="31">
        <f t="shared" si="5"/>
        <v>3491771.3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3">
        <v>0</v>
      </c>
      <c r="L65" s="31">
        <v>0</v>
      </c>
      <c r="M65" s="31">
        <v>1180.0999999999999</v>
      </c>
      <c r="N65" s="31">
        <v>3440168.77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51602.53</v>
      </c>
      <c r="AD65" s="31">
        <v>0</v>
      </c>
      <c r="AE65" s="31">
        <v>0</v>
      </c>
      <c r="AF65" s="219" t="s">
        <v>271</v>
      </c>
      <c r="AG65" s="219">
        <v>2020</v>
      </c>
      <c r="AH65" s="220">
        <v>2020</v>
      </c>
      <c r="AT65" s="20" t="e">
        <f t="shared" si="8"/>
        <v>#N/A</v>
      </c>
      <c r="BZ65" s="71"/>
      <c r="CD65" s="20">
        <f t="shared" si="7"/>
        <v>1180.0999999999999</v>
      </c>
      <c r="CE65" s="115" t="s">
        <v>785</v>
      </c>
      <c r="CF65" s="115">
        <v>1375.9</v>
      </c>
    </row>
    <row r="66" spans="1:84" ht="61.5" x14ac:dyDescent="0.85">
      <c r="A66" s="20">
        <v>1</v>
      </c>
      <c r="B66" s="66">
        <f>SUBTOTAL(103,$A$22:A66)</f>
        <v>45</v>
      </c>
      <c r="C66" s="24" t="s">
        <v>533</v>
      </c>
      <c r="D66" s="31">
        <f t="shared" si="5"/>
        <v>2347677.0299999998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3">
        <v>0</v>
      </c>
      <c r="L66" s="31">
        <v>0</v>
      </c>
      <c r="M66" s="31">
        <v>565</v>
      </c>
      <c r="N66" s="31">
        <v>2244818.39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33672.28</v>
      </c>
      <c r="AD66" s="31">
        <v>69186.36</v>
      </c>
      <c r="AE66" s="31">
        <v>0</v>
      </c>
      <c r="AF66" s="219">
        <v>2020</v>
      </c>
      <c r="AG66" s="219">
        <v>2020</v>
      </c>
      <c r="AH66" s="220">
        <v>2020</v>
      </c>
      <c r="AT66" s="20" t="e">
        <f t="shared" si="8"/>
        <v>#N/A</v>
      </c>
      <c r="BZ66" s="71"/>
      <c r="CD66" s="20" t="e">
        <f t="shared" si="7"/>
        <v>#N/A</v>
      </c>
      <c r="CE66" s="115" t="s">
        <v>1182</v>
      </c>
      <c r="CF66" s="115">
        <v>1206.22</v>
      </c>
    </row>
    <row r="67" spans="1:84" ht="61.5" x14ac:dyDescent="0.85">
      <c r="A67" s="20">
        <v>1</v>
      </c>
      <c r="B67" s="66">
        <f>SUBTOTAL(103,$A$22:A67)</f>
        <v>46</v>
      </c>
      <c r="C67" s="24" t="s">
        <v>1387</v>
      </c>
      <c r="D67" s="31">
        <f t="shared" si="5"/>
        <v>607882.55000000005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3">
        <v>0</v>
      </c>
      <c r="L67" s="31">
        <v>0</v>
      </c>
      <c r="M67" s="215">
        <v>305.76</v>
      </c>
      <c r="N67" s="215">
        <v>597436.38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10446.17</v>
      </c>
      <c r="AD67" s="31">
        <v>0</v>
      </c>
      <c r="AE67" s="31">
        <v>0</v>
      </c>
      <c r="AF67" s="219" t="s">
        <v>271</v>
      </c>
      <c r="AG67" s="219">
        <v>2020</v>
      </c>
      <c r="AH67" s="220">
        <v>2020</v>
      </c>
      <c r="BZ67" s="71"/>
      <c r="CD67" s="20">
        <f t="shared" si="7"/>
        <v>334.02</v>
      </c>
      <c r="CE67" s="115" t="s">
        <v>1185</v>
      </c>
      <c r="CF67" s="115">
        <v>1137.3</v>
      </c>
    </row>
    <row r="68" spans="1:84" ht="61.5" x14ac:dyDescent="0.85">
      <c r="A68" s="20">
        <v>1</v>
      </c>
      <c r="B68" s="66">
        <f>SUBTOTAL(103,$A$22:A68)</f>
        <v>47</v>
      </c>
      <c r="C68" s="24" t="s">
        <v>1389</v>
      </c>
      <c r="D68" s="31">
        <f t="shared" si="5"/>
        <v>4183123.2600000002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3">
        <v>0</v>
      </c>
      <c r="L68" s="31">
        <v>0</v>
      </c>
      <c r="M68" s="31">
        <v>789</v>
      </c>
      <c r="N68" s="31">
        <v>4121303.7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61819.56</v>
      </c>
      <c r="AD68" s="31">
        <v>0</v>
      </c>
      <c r="AE68" s="31">
        <v>0</v>
      </c>
      <c r="AF68" s="219" t="s">
        <v>271</v>
      </c>
      <c r="AG68" s="219">
        <v>2020</v>
      </c>
      <c r="AH68" s="220">
        <v>2020</v>
      </c>
      <c r="BZ68" s="71"/>
      <c r="CD68" s="20">
        <f t="shared" si="7"/>
        <v>789</v>
      </c>
      <c r="CE68" s="115" t="s">
        <v>385</v>
      </c>
      <c r="CF68" s="115">
        <v>386.2</v>
      </c>
    </row>
    <row r="69" spans="1:84" ht="61.5" x14ac:dyDescent="0.85">
      <c r="A69" s="20">
        <v>1</v>
      </c>
      <c r="B69" s="66">
        <f>SUBTOTAL(103,$A$22:A69)</f>
        <v>48</v>
      </c>
      <c r="C69" s="24" t="s">
        <v>1390</v>
      </c>
      <c r="D69" s="31">
        <f t="shared" si="5"/>
        <v>2200520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3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49">
        <v>736</v>
      </c>
      <c r="R69" s="31">
        <v>2168000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206">
        <v>32520</v>
      </c>
      <c r="AD69" s="31">
        <v>0</v>
      </c>
      <c r="AE69" s="31">
        <v>0</v>
      </c>
      <c r="AF69" s="219" t="s">
        <v>271</v>
      </c>
      <c r="AG69" s="219">
        <v>2020</v>
      </c>
      <c r="AH69" s="220">
        <v>2020</v>
      </c>
      <c r="BZ69" s="71"/>
      <c r="CD69" s="20" t="e">
        <f t="shared" si="7"/>
        <v>#N/A</v>
      </c>
      <c r="CE69" s="115" t="s">
        <v>644</v>
      </c>
      <c r="CF69" s="115">
        <v>563.1</v>
      </c>
    </row>
    <row r="70" spans="1:84" ht="61.5" x14ac:dyDescent="0.85">
      <c r="A70" s="20">
        <v>1</v>
      </c>
      <c r="B70" s="66">
        <f>SUBTOTAL(103,$A$22:A70)</f>
        <v>49</v>
      </c>
      <c r="C70" s="24" t="s">
        <v>1109</v>
      </c>
      <c r="D70" s="31">
        <f t="shared" si="5"/>
        <v>4195168.8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3">
        <v>3</v>
      </c>
      <c r="L70" s="31">
        <v>4195168.8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219" t="s">
        <v>271</v>
      </c>
      <c r="AG70" s="219">
        <v>2020</v>
      </c>
      <c r="AH70" s="220" t="s">
        <v>271</v>
      </c>
      <c r="BZ70" s="71"/>
      <c r="CD70" s="20" t="e">
        <f t="shared" si="7"/>
        <v>#N/A</v>
      </c>
      <c r="CE70" s="115" t="s">
        <v>1193</v>
      </c>
      <c r="CF70" s="115">
        <v>540.5</v>
      </c>
    </row>
    <row r="71" spans="1:84" ht="61.5" x14ac:dyDescent="0.85">
      <c r="A71" s="20">
        <v>1</v>
      </c>
      <c r="B71" s="66">
        <f>SUBTOTAL(103,$A$22:A71)</f>
        <v>50</v>
      </c>
      <c r="C71" s="24" t="s">
        <v>1110</v>
      </c>
      <c r="D71" s="31">
        <f t="shared" si="5"/>
        <v>12534252.41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3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5788.43</v>
      </c>
      <c r="R71" s="31">
        <v>12349929.710000001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184322.7</v>
      </c>
      <c r="AD71" s="31">
        <v>0</v>
      </c>
      <c r="AE71" s="31">
        <v>0</v>
      </c>
      <c r="AF71" s="219" t="s">
        <v>271</v>
      </c>
      <c r="AG71" s="219">
        <v>2020</v>
      </c>
      <c r="AH71" s="220">
        <v>2020</v>
      </c>
      <c r="BZ71" s="71"/>
      <c r="CD71" s="20" t="e">
        <f t="shared" si="7"/>
        <v>#N/A</v>
      </c>
      <c r="CE71" s="115" t="s">
        <v>1194</v>
      </c>
      <c r="CF71" s="115">
        <v>603.5</v>
      </c>
    </row>
    <row r="72" spans="1:84" ht="61.5" x14ac:dyDescent="0.85">
      <c r="A72" s="20">
        <v>1</v>
      </c>
      <c r="B72" s="66">
        <f>SUBTOTAL(103,$A$22:A72)</f>
        <v>51</v>
      </c>
      <c r="C72" s="24" t="s">
        <v>1111</v>
      </c>
      <c r="D72" s="31">
        <f t="shared" si="5"/>
        <v>7710494.8799999999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3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3852.16</v>
      </c>
      <c r="R72" s="31">
        <v>7596546.6799999997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113948.2</v>
      </c>
      <c r="AD72" s="31">
        <v>0</v>
      </c>
      <c r="AE72" s="31">
        <v>0</v>
      </c>
      <c r="AF72" s="219" t="s">
        <v>271</v>
      </c>
      <c r="AG72" s="219">
        <v>2020</v>
      </c>
      <c r="AH72" s="220">
        <v>2020</v>
      </c>
      <c r="BZ72" s="71"/>
      <c r="CD72" s="20" t="e">
        <f t="shared" si="7"/>
        <v>#N/A</v>
      </c>
      <c r="CE72" s="115" t="s">
        <v>1195</v>
      </c>
      <c r="CF72" s="115">
        <v>1650</v>
      </c>
    </row>
    <row r="73" spans="1:84" ht="61.5" x14ac:dyDescent="0.85">
      <c r="A73" s="20">
        <v>1</v>
      </c>
      <c r="B73" s="66">
        <f>SUBTOTAL(103,$A$22:A73)</f>
        <v>52</v>
      </c>
      <c r="C73" s="24" t="s">
        <v>1112</v>
      </c>
      <c r="D73" s="31">
        <f t="shared" si="5"/>
        <v>2637141.0299999998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3">
        <v>0</v>
      </c>
      <c r="L73" s="31">
        <v>0</v>
      </c>
      <c r="M73" s="351">
        <v>1224</v>
      </c>
      <c r="N73" s="206">
        <v>2598168.5</v>
      </c>
      <c r="O73" s="31">
        <v>0</v>
      </c>
      <c r="P73" s="31">
        <v>0</v>
      </c>
      <c r="Q73" s="31"/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38972.53</v>
      </c>
      <c r="AD73" s="31">
        <v>0</v>
      </c>
      <c r="AE73" s="31">
        <v>0</v>
      </c>
      <c r="AF73" s="219" t="s">
        <v>271</v>
      </c>
      <c r="AG73" s="219">
        <v>2020</v>
      </c>
      <c r="AH73" s="220">
        <v>2020</v>
      </c>
      <c r="BZ73" s="71"/>
      <c r="CD73" s="20">
        <f t="shared" si="7"/>
        <v>1147.7</v>
      </c>
      <c r="CE73" s="115" t="s">
        <v>1197</v>
      </c>
      <c r="CF73" s="115">
        <v>1906.5</v>
      </c>
    </row>
    <row r="74" spans="1:84" ht="61.5" x14ac:dyDescent="0.85">
      <c r="A74" s="20">
        <v>1</v>
      </c>
      <c r="B74" s="66">
        <f>SUBTOTAL(103,$A$22:A74)</f>
        <v>53</v>
      </c>
      <c r="C74" s="24" t="s">
        <v>1113</v>
      </c>
      <c r="D74" s="31">
        <f t="shared" si="5"/>
        <v>1186477.9099999999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3">
        <v>0</v>
      </c>
      <c r="L74" s="31">
        <v>0</v>
      </c>
      <c r="M74" s="31">
        <v>218.8</v>
      </c>
      <c r="N74" s="31">
        <v>1168943.75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17534.16</v>
      </c>
      <c r="AD74" s="31">
        <v>0</v>
      </c>
      <c r="AE74" s="31">
        <v>0</v>
      </c>
      <c r="AF74" s="219" t="s">
        <v>271</v>
      </c>
      <c r="AG74" s="219">
        <v>2020</v>
      </c>
      <c r="AH74" s="220">
        <v>2020</v>
      </c>
      <c r="BZ74" s="71"/>
      <c r="CD74" s="20">
        <f t="shared" si="7"/>
        <v>218.8</v>
      </c>
      <c r="CE74" s="115" t="s">
        <v>1202</v>
      </c>
      <c r="CF74" s="115">
        <v>1264.96</v>
      </c>
    </row>
    <row r="75" spans="1:84" ht="61.5" x14ac:dyDescent="0.85">
      <c r="A75" s="20">
        <v>1</v>
      </c>
      <c r="B75" s="66">
        <f>SUBTOTAL(103,$A$22:A75)</f>
        <v>54</v>
      </c>
      <c r="C75" s="24" t="s">
        <v>1114</v>
      </c>
      <c r="D75" s="31">
        <f t="shared" si="5"/>
        <v>3306287.7600000002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3">
        <v>0</v>
      </c>
      <c r="L75" s="31">
        <v>0</v>
      </c>
      <c r="M75" s="31">
        <v>912.27</v>
      </c>
      <c r="N75" s="31">
        <v>3257667.08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48620.68</v>
      </c>
      <c r="AD75" s="31">
        <v>0</v>
      </c>
      <c r="AE75" s="31">
        <v>0</v>
      </c>
      <c r="AF75" s="219" t="s">
        <v>271</v>
      </c>
      <c r="AG75" s="219">
        <v>2020</v>
      </c>
      <c r="AH75" s="220">
        <v>2020</v>
      </c>
      <c r="BZ75" s="71"/>
      <c r="CD75" s="20">
        <f t="shared" ref="CD75:CD106" si="9">VLOOKUP(C75,CE:CF,2,FALSE)</f>
        <v>912.27</v>
      </c>
      <c r="CE75" s="115" t="s">
        <v>1204</v>
      </c>
      <c r="CF75" s="115">
        <v>781</v>
      </c>
    </row>
    <row r="76" spans="1:84" ht="61.5" x14ac:dyDescent="0.85">
      <c r="A76" s="20">
        <v>1</v>
      </c>
      <c r="B76" s="66">
        <f>SUBTOTAL(103,$A$22:A76)</f>
        <v>55</v>
      </c>
      <c r="C76" s="24" t="s">
        <v>1115</v>
      </c>
      <c r="D76" s="31">
        <f t="shared" si="5"/>
        <v>4301356.74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3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1131.4000000000001</v>
      </c>
      <c r="R76" s="31">
        <v>4238103.05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63253.69</v>
      </c>
      <c r="AD76" s="31">
        <v>0</v>
      </c>
      <c r="AE76" s="31">
        <v>0</v>
      </c>
      <c r="AF76" s="219" t="s">
        <v>271</v>
      </c>
      <c r="AG76" s="219">
        <v>2020</v>
      </c>
      <c r="AH76" s="220">
        <v>2020</v>
      </c>
      <c r="BZ76" s="71"/>
      <c r="CD76" s="20" t="e">
        <f t="shared" si="9"/>
        <v>#N/A</v>
      </c>
      <c r="CE76" s="115" t="s">
        <v>1205</v>
      </c>
      <c r="CF76" s="115">
        <v>2073.9</v>
      </c>
    </row>
    <row r="77" spans="1:84" ht="61.5" x14ac:dyDescent="0.85">
      <c r="A77" s="20">
        <v>1</v>
      </c>
      <c r="B77" s="66">
        <f>SUBTOTAL(103,$A$22:A77)</f>
        <v>56</v>
      </c>
      <c r="C77" s="24" t="s">
        <v>1116</v>
      </c>
      <c r="D77" s="31">
        <f t="shared" si="5"/>
        <v>4193947.02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3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4132272.85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206">
        <v>61674.17</v>
      </c>
      <c r="AD77" s="31">
        <v>0</v>
      </c>
      <c r="AE77" s="31">
        <v>0</v>
      </c>
      <c r="AF77" s="219" t="s">
        <v>271</v>
      </c>
      <c r="AG77" s="219">
        <v>2020</v>
      </c>
      <c r="AH77" s="220">
        <v>2020</v>
      </c>
      <c r="BZ77" s="71"/>
      <c r="CD77" s="20" t="e">
        <f t="shared" si="9"/>
        <v>#N/A</v>
      </c>
      <c r="CE77" s="115" t="s">
        <v>1207</v>
      </c>
      <c r="CF77" s="115">
        <v>1174.18</v>
      </c>
    </row>
    <row r="78" spans="1:84" ht="61.5" x14ac:dyDescent="0.85">
      <c r="A78" s="20">
        <v>1</v>
      </c>
      <c r="B78" s="66">
        <f>SUBTOTAL(103,$A$22:A78)</f>
        <v>57</v>
      </c>
      <c r="C78" s="24" t="s">
        <v>1117</v>
      </c>
      <c r="D78" s="31">
        <f t="shared" si="5"/>
        <v>3323174.92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3">
        <v>0</v>
      </c>
      <c r="L78" s="31">
        <v>0</v>
      </c>
      <c r="M78" s="215">
        <v>945.1</v>
      </c>
      <c r="N78" s="204">
        <v>3195303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206">
        <v>47689.9</v>
      </c>
      <c r="AD78" s="31">
        <v>80182.02</v>
      </c>
      <c r="AE78" s="31">
        <v>0</v>
      </c>
      <c r="AF78" s="219">
        <v>2020</v>
      </c>
      <c r="AG78" s="219">
        <v>2020</v>
      </c>
      <c r="AH78" s="220">
        <v>2020</v>
      </c>
      <c r="BZ78" s="71"/>
      <c r="CD78" s="20" t="e">
        <f t="shared" si="9"/>
        <v>#N/A</v>
      </c>
      <c r="CE78" s="115" t="s">
        <v>1208</v>
      </c>
      <c r="CF78" s="115">
        <v>484</v>
      </c>
    </row>
    <row r="79" spans="1:84" ht="61.5" x14ac:dyDescent="0.85">
      <c r="A79" s="20">
        <v>1</v>
      </c>
      <c r="B79" s="66">
        <f>SUBTOTAL(103,$A$22:A79)</f>
        <v>58</v>
      </c>
      <c r="C79" s="24" t="s">
        <v>1118</v>
      </c>
      <c r="D79" s="31">
        <f t="shared" si="5"/>
        <v>4034658.0100000002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3">
        <v>0</v>
      </c>
      <c r="L79" s="31">
        <v>0</v>
      </c>
      <c r="M79" s="215">
        <v>967.44</v>
      </c>
      <c r="N79" s="204">
        <v>3965180.31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206">
        <v>69477.7</v>
      </c>
      <c r="AD79" s="31">
        <v>0</v>
      </c>
      <c r="AE79" s="31">
        <v>0</v>
      </c>
      <c r="AF79" s="219" t="s">
        <v>271</v>
      </c>
      <c r="AG79" s="219">
        <v>2020</v>
      </c>
      <c r="AH79" s="220">
        <v>2020</v>
      </c>
      <c r="BZ79" s="71"/>
      <c r="CD79" s="20">
        <f t="shared" si="9"/>
        <v>979.44</v>
      </c>
      <c r="CE79" s="115" t="s">
        <v>1209</v>
      </c>
      <c r="CF79" s="115">
        <v>1161</v>
      </c>
    </row>
    <row r="80" spans="1:84" ht="61.5" x14ac:dyDescent="0.85">
      <c r="A80" s="20">
        <v>1</v>
      </c>
      <c r="B80" s="66">
        <f>SUBTOTAL(103,$A$22:A80)</f>
        <v>59</v>
      </c>
      <c r="C80" s="24" t="s">
        <v>1119</v>
      </c>
      <c r="D80" s="31">
        <f t="shared" si="5"/>
        <v>2994194.1500000004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3">
        <v>0</v>
      </c>
      <c r="L80" s="31">
        <v>0</v>
      </c>
      <c r="M80" s="31">
        <v>717</v>
      </c>
      <c r="N80" s="31">
        <v>2950162.97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44031.18</v>
      </c>
      <c r="AD80" s="31">
        <v>0</v>
      </c>
      <c r="AE80" s="31">
        <v>0</v>
      </c>
      <c r="AF80" s="219" t="s">
        <v>271</v>
      </c>
      <c r="AG80" s="219">
        <v>2020</v>
      </c>
      <c r="AH80" s="220">
        <v>2020</v>
      </c>
      <c r="BZ80" s="71"/>
      <c r="CD80" s="20">
        <f t="shared" si="9"/>
        <v>730.17</v>
      </c>
      <c r="CE80" s="115" t="s">
        <v>1211</v>
      </c>
      <c r="CF80" s="115">
        <v>452.1</v>
      </c>
    </row>
    <row r="81" spans="1:84" ht="61.5" x14ac:dyDescent="0.85">
      <c r="A81" s="20">
        <v>1</v>
      </c>
      <c r="B81" s="66">
        <f>SUBTOTAL(103,$A$22:A81)</f>
        <v>60</v>
      </c>
      <c r="C81" s="24" t="s">
        <v>1121</v>
      </c>
      <c r="D81" s="31">
        <f t="shared" si="5"/>
        <v>4839579.08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3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215">
        <v>1085</v>
      </c>
      <c r="R81" s="204">
        <v>4768410.55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206">
        <v>71168.53</v>
      </c>
      <c r="AD81" s="31">
        <v>0</v>
      </c>
      <c r="AE81" s="31">
        <v>0</v>
      </c>
      <c r="AF81" s="219" t="s">
        <v>271</v>
      </c>
      <c r="AG81" s="219">
        <v>2020</v>
      </c>
      <c r="AH81" s="220">
        <v>2020</v>
      </c>
      <c r="BZ81" s="71"/>
      <c r="CD81" s="20" t="e">
        <f t="shared" si="9"/>
        <v>#N/A</v>
      </c>
      <c r="CE81" s="115" t="s">
        <v>1212</v>
      </c>
      <c r="CF81" s="115">
        <v>992</v>
      </c>
    </row>
    <row r="82" spans="1:84" ht="61.5" x14ac:dyDescent="0.85">
      <c r="A82" s="20">
        <v>1</v>
      </c>
      <c r="B82" s="66">
        <f>SUBTOTAL(103,$A$22:A82)</f>
        <v>61</v>
      </c>
      <c r="C82" s="24" t="s">
        <v>1122</v>
      </c>
      <c r="D82" s="31">
        <f t="shared" si="5"/>
        <v>1916160.69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3">
        <v>0</v>
      </c>
      <c r="L82" s="31">
        <v>0</v>
      </c>
      <c r="M82" s="31">
        <v>874.18</v>
      </c>
      <c r="N82" s="31">
        <v>1887843.04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28317.65</v>
      </c>
      <c r="AD82" s="31">
        <v>0</v>
      </c>
      <c r="AE82" s="31">
        <v>0</v>
      </c>
      <c r="AF82" s="219" t="s">
        <v>271</v>
      </c>
      <c r="AG82" s="219">
        <v>2020</v>
      </c>
      <c r="AH82" s="220">
        <v>2020</v>
      </c>
      <c r="BZ82" s="71"/>
      <c r="CD82" s="20">
        <f t="shared" si="9"/>
        <v>874.18</v>
      </c>
      <c r="CE82" s="115" t="s">
        <v>649</v>
      </c>
      <c r="CF82" s="115">
        <v>796.1</v>
      </c>
    </row>
    <row r="83" spans="1:84" ht="61.5" x14ac:dyDescent="0.85">
      <c r="A83" s="20">
        <v>1</v>
      </c>
      <c r="B83" s="66">
        <f>SUBTOTAL(103,$A$22:A83)</f>
        <v>62</v>
      </c>
      <c r="C83" s="24" t="s">
        <v>1123</v>
      </c>
      <c r="D83" s="31">
        <f t="shared" ref="D83:D116" si="10">E83+F83+G83+H83+I83+J83+L83+N83+P83+R83+T83+U83+V83+W83+X83+Y83+Z83+AA83+AB83+AC83+AD83+AE83</f>
        <v>2373016.2799999998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3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558.45000000000005</v>
      </c>
      <c r="R83" s="31">
        <v>2338119.84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273">
        <v>34896.44</v>
      </c>
      <c r="AD83" s="31">
        <v>0</v>
      </c>
      <c r="AE83" s="31">
        <v>0</v>
      </c>
      <c r="AF83" s="219" t="s">
        <v>271</v>
      </c>
      <c r="AG83" s="219">
        <v>2020</v>
      </c>
      <c r="AH83" s="220">
        <v>2020</v>
      </c>
      <c r="BZ83" s="71"/>
      <c r="CD83" s="20" t="e">
        <f t="shared" si="9"/>
        <v>#N/A</v>
      </c>
      <c r="CE83" s="115" t="s">
        <v>1198</v>
      </c>
      <c r="CF83" s="115">
        <v>1995.2</v>
      </c>
    </row>
    <row r="84" spans="1:84" ht="61.5" x14ac:dyDescent="0.85">
      <c r="A84" s="20">
        <v>1</v>
      </c>
      <c r="B84" s="66">
        <f>SUBTOTAL(103,$A$22:A84)</f>
        <v>63</v>
      </c>
      <c r="C84" s="24" t="s">
        <v>1124</v>
      </c>
      <c r="D84" s="31">
        <f t="shared" si="10"/>
        <v>3249268.89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3">
        <v>0</v>
      </c>
      <c r="L84" s="31">
        <v>0</v>
      </c>
      <c r="M84" s="215">
        <f>959.6+211</f>
        <v>1170.5999999999999</v>
      </c>
      <c r="N84" s="217">
        <v>3201486.7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206">
        <v>47782.19</v>
      </c>
      <c r="AD84" s="31">
        <v>0</v>
      </c>
      <c r="AE84" s="31">
        <v>0</v>
      </c>
      <c r="AF84" s="219" t="s">
        <v>271</v>
      </c>
      <c r="AG84" s="219">
        <v>2020</v>
      </c>
      <c r="AH84" s="220">
        <v>2020</v>
      </c>
      <c r="BZ84" s="71"/>
      <c r="CD84" s="20">
        <f t="shared" si="9"/>
        <v>1200</v>
      </c>
      <c r="CE84" s="115" t="s">
        <v>1214</v>
      </c>
      <c r="CF84" s="115">
        <v>855</v>
      </c>
    </row>
    <row r="85" spans="1:84" ht="61.5" x14ac:dyDescent="0.85">
      <c r="A85" s="20">
        <v>1</v>
      </c>
      <c r="B85" s="66">
        <f>SUBTOTAL(103,$A$22:A85)</f>
        <v>64</v>
      </c>
      <c r="C85" s="24" t="s">
        <v>1125</v>
      </c>
      <c r="D85" s="31">
        <f t="shared" si="10"/>
        <v>2982453.63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3">
        <v>0</v>
      </c>
      <c r="L85" s="31">
        <v>0</v>
      </c>
      <c r="M85" s="31">
        <v>946</v>
      </c>
      <c r="N85" s="31">
        <v>2938595.1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43858.53</v>
      </c>
      <c r="AD85" s="31">
        <v>0</v>
      </c>
      <c r="AE85" s="31">
        <v>0</v>
      </c>
      <c r="AF85" s="219" t="s">
        <v>271</v>
      </c>
      <c r="AG85" s="219">
        <v>2020</v>
      </c>
      <c r="AH85" s="220">
        <v>2020</v>
      </c>
      <c r="BZ85" s="71"/>
      <c r="CD85" s="20">
        <f t="shared" si="9"/>
        <v>946</v>
      </c>
      <c r="CE85" s="115" t="s">
        <v>1200</v>
      </c>
      <c r="CF85" s="115">
        <v>1155.9000000000001</v>
      </c>
    </row>
    <row r="86" spans="1:84" ht="61.5" x14ac:dyDescent="0.85">
      <c r="A86" s="20">
        <v>1</v>
      </c>
      <c r="B86" s="66">
        <f>SUBTOTAL(103,$A$22:A86)</f>
        <v>65</v>
      </c>
      <c r="C86" s="24" t="s">
        <v>1126</v>
      </c>
      <c r="D86" s="31">
        <f t="shared" si="10"/>
        <v>1571848.57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3">
        <v>0</v>
      </c>
      <c r="L86" s="31">
        <v>0</v>
      </c>
      <c r="M86" s="31">
        <v>365.5</v>
      </c>
      <c r="N86" s="31">
        <v>1548733.72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23114.85</v>
      </c>
      <c r="AD86" s="31">
        <v>0</v>
      </c>
      <c r="AE86" s="31">
        <v>0</v>
      </c>
      <c r="AF86" s="219" t="s">
        <v>271</v>
      </c>
      <c r="AG86" s="219">
        <v>2020</v>
      </c>
      <c r="AH86" s="220">
        <v>2020</v>
      </c>
      <c r="BZ86" s="71"/>
      <c r="CD86" s="20">
        <f t="shared" si="9"/>
        <v>365.5</v>
      </c>
      <c r="CE86" s="115" t="s">
        <v>688</v>
      </c>
      <c r="CF86" s="115">
        <v>1022</v>
      </c>
    </row>
    <row r="87" spans="1:84" ht="61.5" x14ac:dyDescent="0.85">
      <c r="A87" s="20">
        <v>1</v>
      </c>
      <c r="B87" s="66">
        <f>SUBTOTAL(103,$A$22:A87)</f>
        <v>66</v>
      </c>
      <c r="C87" s="24" t="s">
        <v>1127</v>
      </c>
      <c r="D87" s="31">
        <f t="shared" si="10"/>
        <v>966096.24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3">
        <v>0</v>
      </c>
      <c r="L87" s="31">
        <v>0</v>
      </c>
      <c r="M87" s="327">
        <v>358</v>
      </c>
      <c r="N87" s="206">
        <v>951818.96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206">
        <v>14277.28</v>
      </c>
      <c r="AD87" s="31">
        <v>0</v>
      </c>
      <c r="AE87" s="31">
        <v>0</v>
      </c>
      <c r="AF87" s="219" t="s">
        <v>271</v>
      </c>
      <c r="AG87" s="219">
        <v>2020</v>
      </c>
      <c r="AH87" s="220">
        <v>2020</v>
      </c>
      <c r="BZ87" s="71"/>
      <c r="CD87" s="20">
        <f t="shared" si="9"/>
        <v>365.5</v>
      </c>
      <c r="CE87" s="115" t="s">
        <v>1215</v>
      </c>
      <c r="CF87" s="115">
        <v>407.8</v>
      </c>
    </row>
    <row r="88" spans="1:84" ht="61.5" x14ac:dyDescent="0.85">
      <c r="A88" s="20">
        <v>1</v>
      </c>
      <c r="B88" s="66">
        <f>SUBTOTAL(103,$A$22:A88)</f>
        <v>67</v>
      </c>
      <c r="C88" s="24" t="s">
        <v>1128</v>
      </c>
      <c r="D88" s="31">
        <f t="shared" si="10"/>
        <v>2880785.14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3">
        <v>2</v>
      </c>
      <c r="L88" s="31">
        <v>2880785.14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219" t="s">
        <v>271</v>
      </c>
      <c r="AG88" s="219">
        <v>2020</v>
      </c>
      <c r="AH88" s="220" t="s">
        <v>271</v>
      </c>
      <c r="BZ88" s="71"/>
      <c r="CD88" s="20" t="e">
        <f t="shared" si="9"/>
        <v>#N/A</v>
      </c>
      <c r="CE88" s="115" t="s">
        <v>1216</v>
      </c>
      <c r="CF88" s="115">
        <v>953.5</v>
      </c>
    </row>
    <row r="89" spans="1:84" ht="61.5" x14ac:dyDescent="0.85">
      <c r="A89" s="20">
        <v>1</v>
      </c>
      <c r="B89" s="66">
        <f>SUBTOTAL(103,$A$22:A89)</f>
        <v>68</v>
      </c>
      <c r="C89" s="24" t="s">
        <v>1129</v>
      </c>
      <c r="D89" s="31">
        <f t="shared" si="10"/>
        <v>3859190.52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3">
        <v>2</v>
      </c>
      <c r="L89" s="31">
        <v>3859190.52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219" t="s">
        <v>271</v>
      </c>
      <c r="AG89" s="219">
        <v>2020</v>
      </c>
      <c r="AH89" s="220" t="s">
        <v>271</v>
      </c>
      <c r="BZ89" s="71"/>
      <c r="CD89" s="20" t="e">
        <f t="shared" si="9"/>
        <v>#N/A</v>
      </c>
      <c r="CE89" s="115" t="s">
        <v>1224</v>
      </c>
      <c r="CF89" s="115">
        <v>738.92</v>
      </c>
    </row>
    <row r="90" spans="1:84" ht="61.5" x14ac:dyDescent="0.85">
      <c r="A90" s="20">
        <v>1</v>
      </c>
      <c r="B90" s="66">
        <f>SUBTOTAL(103,$A$22:A90)</f>
        <v>69</v>
      </c>
      <c r="C90" s="24" t="s">
        <v>1132</v>
      </c>
      <c r="D90" s="31">
        <f t="shared" si="10"/>
        <v>227402.5</v>
      </c>
      <c r="E90" s="206">
        <v>88156.71</v>
      </c>
      <c r="F90" s="31">
        <v>0</v>
      </c>
      <c r="G90" s="31">
        <v>0</v>
      </c>
      <c r="H90" s="206">
        <v>135901.72</v>
      </c>
      <c r="I90" s="31">
        <v>0</v>
      </c>
      <c r="J90" s="31">
        <v>0</v>
      </c>
      <c r="K90" s="33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3344.07</v>
      </c>
      <c r="AD90" s="31">
        <v>0</v>
      </c>
      <c r="AE90" s="31">
        <v>0</v>
      </c>
      <c r="AF90" s="219" t="s">
        <v>271</v>
      </c>
      <c r="AG90" s="219">
        <v>2020</v>
      </c>
      <c r="AH90" s="220">
        <v>2020</v>
      </c>
      <c r="BZ90" s="71"/>
      <c r="CD90" s="20" t="e">
        <f t="shared" si="9"/>
        <v>#N/A</v>
      </c>
      <c r="CE90" s="115" t="s">
        <v>1560</v>
      </c>
      <c r="CF90" s="115">
        <v>275.39999999999998</v>
      </c>
    </row>
    <row r="91" spans="1:84" ht="61.5" x14ac:dyDescent="0.85">
      <c r="A91" s="20">
        <v>1</v>
      </c>
      <c r="B91" s="66">
        <f>SUBTOTAL(103,$A$22:A91)</f>
        <v>70</v>
      </c>
      <c r="C91" s="24" t="s">
        <v>1138</v>
      </c>
      <c r="D91" s="31">
        <f t="shared" si="10"/>
        <v>4254119.95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3">
        <v>0</v>
      </c>
      <c r="L91" s="31">
        <v>0</v>
      </c>
      <c r="M91" s="31">
        <v>1124.75</v>
      </c>
      <c r="N91" s="31">
        <v>4191251.18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62868.77</v>
      </c>
      <c r="AD91" s="31">
        <v>0</v>
      </c>
      <c r="AE91" s="31">
        <v>0</v>
      </c>
      <c r="AF91" s="219" t="s">
        <v>271</v>
      </c>
      <c r="AG91" s="219">
        <v>2020</v>
      </c>
      <c r="AH91" s="220">
        <v>2020</v>
      </c>
      <c r="BZ91" s="71"/>
      <c r="CD91" s="20">
        <f t="shared" si="9"/>
        <v>1124.75</v>
      </c>
      <c r="CE91" s="115" t="s">
        <v>1570</v>
      </c>
      <c r="CF91" s="115">
        <v>344.5</v>
      </c>
    </row>
    <row r="92" spans="1:84" ht="61.5" x14ac:dyDescent="0.85">
      <c r="A92" s="20">
        <v>1</v>
      </c>
      <c r="B92" s="66">
        <f>SUBTOTAL(103,$A$22:A92)</f>
        <v>71</v>
      </c>
      <c r="C92" s="24" t="s">
        <v>1139</v>
      </c>
      <c r="D92" s="31">
        <f t="shared" si="10"/>
        <v>3712372.02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3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820</v>
      </c>
      <c r="R92" s="31">
        <v>3657509.38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54862.64</v>
      </c>
      <c r="AD92" s="31">
        <v>0</v>
      </c>
      <c r="AE92" s="31">
        <v>0</v>
      </c>
      <c r="AF92" s="219" t="s">
        <v>271</v>
      </c>
      <c r="AG92" s="219">
        <v>2020</v>
      </c>
      <c r="AH92" s="220">
        <v>2020</v>
      </c>
      <c r="BZ92" s="71"/>
      <c r="CD92" s="20" t="e">
        <f t="shared" si="9"/>
        <v>#N/A</v>
      </c>
      <c r="CE92" s="115" t="s">
        <v>1232</v>
      </c>
      <c r="CF92" s="115">
        <v>374.3</v>
      </c>
    </row>
    <row r="93" spans="1:84" ht="61.5" x14ac:dyDescent="0.85">
      <c r="A93" s="20">
        <v>1</v>
      </c>
      <c r="B93" s="66">
        <f>SUBTOTAL(103,$A$22:A93)</f>
        <v>72</v>
      </c>
      <c r="C93" s="24" t="s">
        <v>1140</v>
      </c>
      <c r="D93" s="31">
        <f t="shared" si="10"/>
        <v>1900391.55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3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516</v>
      </c>
      <c r="R93" s="31">
        <v>1872306.95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28084.6</v>
      </c>
      <c r="AD93" s="31">
        <v>0</v>
      </c>
      <c r="AE93" s="31">
        <v>0</v>
      </c>
      <c r="AF93" s="219" t="s">
        <v>271</v>
      </c>
      <c r="AG93" s="219">
        <v>2020</v>
      </c>
      <c r="AH93" s="220">
        <v>2020</v>
      </c>
      <c r="BZ93" s="71"/>
      <c r="CD93" s="20" t="e">
        <f t="shared" si="9"/>
        <v>#N/A</v>
      </c>
      <c r="CE93" s="115" t="s">
        <v>1553</v>
      </c>
      <c r="CF93" s="115">
        <v>329.1</v>
      </c>
    </row>
    <row r="94" spans="1:84" ht="61.5" x14ac:dyDescent="0.85">
      <c r="A94" s="20">
        <v>1</v>
      </c>
      <c r="B94" s="66">
        <f>SUBTOTAL(103,$A$22:A94)</f>
        <v>73</v>
      </c>
      <c r="C94" s="24" t="s">
        <v>1141</v>
      </c>
      <c r="D94" s="31">
        <f t="shared" si="10"/>
        <v>2106147.9500000002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3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559</v>
      </c>
      <c r="R94" s="31">
        <v>2075022.61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31125.34</v>
      </c>
      <c r="AD94" s="31">
        <v>0</v>
      </c>
      <c r="AE94" s="31">
        <v>0</v>
      </c>
      <c r="AF94" s="219" t="s">
        <v>271</v>
      </c>
      <c r="AG94" s="219">
        <v>2020</v>
      </c>
      <c r="AH94" s="220">
        <v>2020</v>
      </c>
      <c r="BZ94" s="71"/>
      <c r="CD94" s="20" t="e">
        <f t="shared" si="9"/>
        <v>#N/A</v>
      </c>
      <c r="CE94" s="115" t="s">
        <v>1554</v>
      </c>
      <c r="CF94" s="115">
        <v>611</v>
      </c>
    </row>
    <row r="95" spans="1:84" ht="61.5" x14ac:dyDescent="0.85">
      <c r="A95" s="20">
        <v>1</v>
      </c>
      <c r="B95" s="66">
        <f>SUBTOTAL(103,$A$22:A95)</f>
        <v>74</v>
      </c>
      <c r="C95" s="24" t="s">
        <v>1142</v>
      </c>
      <c r="D95" s="31">
        <f t="shared" si="10"/>
        <v>3257277.38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3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1522.8</v>
      </c>
      <c r="R95" s="31">
        <v>3209377.42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47899.96</v>
      </c>
      <c r="AD95" s="31">
        <v>0</v>
      </c>
      <c r="AE95" s="31">
        <v>0</v>
      </c>
      <c r="AF95" s="219" t="s">
        <v>271</v>
      </c>
      <c r="AG95" s="219">
        <v>2020</v>
      </c>
      <c r="AH95" s="220">
        <v>2020</v>
      </c>
      <c r="BZ95" s="71"/>
      <c r="CD95" s="20" t="e">
        <f t="shared" si="9"/>
        <v>#N/A</v>
      </c>
      <c r="CE95" s="115" t="s">
        <v>1568</v>
      </c>
      <c r="CF95" s="115">
        <v>606</v>
      </c>
    </row>
    <row r="96" spans="1:84" ht="61.5" x14ac:dyDescent="0.85">
      <c r="A96" s="20">
        <v>1</v>
      </c>
      <c r="B96" s="66">
        <f>SUBTOTAL(103,$A$22:A96)</f>
        <v>75</v>
      </c>
      <c r="C96" s="24" t="s">
        <v>1143</v>
      </c>
      <c r="D96" s="31">
        <f t="shared" si="10"/>
        <v>2278510.5799999996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3">
        <v>0</v>
      </c>
      <c r="L96" s="31">
        <v>0</v>
      </c>
      <c r="M96" s="31">
        <v>556.6</v>
      </c>
      <c r="N96" s="31">
        <v>2244838.0099999998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33672.57</v>
      </c>
      <c r="AD96" s="31">
        <v>0</v>
      </c>
      <c r="AE96" s="31">
        <v>0</v>
      </c>
      <c r="AF96" s="219" t="s">
        <v>271</v>
      </c>
      <c r="AG96" s="219">
        <v>2020</v>
      </c>
      <c r="AH96" s="220">
        <v>2020</v>
      </c>
      <c r="BZ96" s="71"/>
      <c r="CD96" s="20">
        <f t="shared" si="9"/>
        <v>556.6</v>
      </c>
      <c r="CE96" s="115" t="s">
        <v>1555</v>
      </c>
      <c r="CF96" s="115">
        <v>249</v>
      </c>
    </row>
    <row r="97" spans="1:84" ht="61.5" x14ac:dyDescent="0.85">
      <c r="A97" s="20">
        <v>1</v>
      </c>
      <c r="B97" s="66">
        <f>SUBTOTAL(103,$A$22:A97)</f>
        <v>76</v>
      </c>
      <c r="C97" s="24" t="s">
        <v>1144</v>
      </c>
      <c r="D97" s="31">
        <f t="shared" si="10"/>
        <v>2391493.25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3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649.6</v>
      </c>
      <c r="R97" s="31">
        <v>2356150.9900000002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35342.26</v>
      </c>
      <c r="AD97" s="31">
        <v>0</v>
      </c>
      <c r="AE97" s="31">
        <v>0</v>
      </c>
      <c r="AF97" s="219" t="s">
        <v>271</v>
      </c>
      <c r="AG97" s="219">
        <v>2020</v>
      </c>
      <c r="AH97" s="220">
        <v>2020</v>
      </c>
      <c r="BZ97" s="71"/>
      <c r="CD97" s="20" t="e">
        <f t="shared" si="9"/>
        <v>#N/A</v>
      </c>
      <c r="CE97" s="115" t="s">
        <v>1556</v>
      </c>
      <c r="CF97" s="115">
        <v>309</v>
      </c>
    </row>
    <row r="98" spans="1:84" ht="61.5" x14ac:dyDescent="0.85">
      <c r="A98" s="20">
        <v>1</v>
      </c>
      <c r="B98" s="66">
        <f>SUBTOTAL(103,$A$22:A98)</f>
        <v>77</v>
      </c>
      <c r="C98" s="24" t="s">
        <v>1145</v>
      </c>
      <c r="D98" s="31">
        <f t="shared" si="10"/>
        <v>1057247.3700000001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3">
        <v>0</v>
      </c>
      <c r="L98" s="31">
        <v>0</v>
      </c>
      <c r="M98" s="31">
        <v>0</v>
      </c>
      <c r="N98" s="31">
        <v>0</v>
      </c>
      <c r="O98" s="31">
        <v>780</v>
      </c>
      <c r="P98" s="31">
        <v>1041700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15547.37</v>
      </c>
      <c r="AD98" s="31">
        <v>0</v>
      </c>
      <c r="AE98" s="31">
        <v>0</v>
      </c>
      <c r="AF98" s="219" t="s">
        <v>271</v>
      </c>
      <c r="AG98" s="219">
        <v>2020</v>
      </c>
      <c r="AH98" s="220">
        <v>2020</v>
      </c>
      <c r="BZ98" s="71"/>
      <c r="CD98" s="20" t="e">
        <f t="shared" si="9"/>
        <v>#N/A</v>
      </c>
      <c r="CE98" s="115" t="s">
        <v>5</v>
      </c>
      <c r="CF98" s="115">
        <v>722.14</v>
      </c>
    </row>
    <row r="99" spans="1:84" ht="61.5" x14ac:dyDescent="0.85">
      <c r="A99" s="20">
        <v>1</v>
      </c>
      <c r="B99" s="66">
        <f>SUBTOTAL(103,$A$22:A99)</f>
        <v>78</v>
      </c>
      <c r="C99" s="24" t="s">
        <v>1146</v>
      </c>
      <c r="D99" s="31">
        <f t="shared" si="10"/>
        <v>5161607.8099999996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3">
        <v>0</v>
      </c>
      <c r="L99" s="31">
        <v>0</v>
      </c>
      <c r="M99" s="31">
        <v>1200</v>
      </c>
      <c r="N99" s="31">
        <v>5085703.68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75904.13</v>
      </c>
      <c r="AD99" s="31">
        <v>0</v>
      </c>
      <c r="AE99" s="31">
        <v>0</v>
      </c>
      <c r="AF99" s="219" t="s">
        <v>271</v>
      </c>
      <c r="AG99" s="219">
        <v>2020</v>
      </c>
      <c r="AH99" s="220">
        <v>2020</v>
      </c>
      <c r="BZ99" s="71"/>
      <c r="CD99" s="20" t="e">
        <f t="shared" si="9"/>
        <v>#N/A</v>
      </c>
      <c r="CE99" s="115" t="s">
        <v>1575</v>
      </c>
      <c r="CF99" s="115">
        <v>762.8</v>
      </c>
    </row>
    <row r="100" spans="1:84" ht="61.5" x14ac:dyDescent="0.85">
      <c r="A100" s="20">
        <v>1</v>
      </c>
      <c r="B100" s="66">
        <f>SUBTOTAL(103,$A$22:A100)</f>
        <v>79</v>
      </c>
      <c r="C100" s="24" t="s">
        <v>1149</v>
      </c>
      <c r="D100" s="31">
        <f t="shared" si="10"/>
        <v>1938049.3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3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680.01</v>
      </c>
      <c r="R100" s="31">
        <v>1909408.18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28641.119999999999</v>
      </c>
      <c r="AD100" s="31">
        <v>0</v>
      </c>
      <c r="AE100" s="31">
        <v>0</v>
      </c>
      <c r="AF100" s="219" t="s">
        <v>271</v>
      </c>
      <c r="AG100" s="219">
        <v>2020</v>
      </c>
      <c r="AH100" s="220">
        <v>2020</v>
      </c>
      <c r="BZ100" s="71"/>
      <c r="CD100" s="20" t="e">
        <f t="shared" si="9"/>
        <v>#N/A</v>
      </c>
      <c r="CE100" s="115" t="s">
        <v>115</v>
      </c>
      <c r="CF100" s="115">
        <v>1256.9000000000001</v>
      </c>
    </row>
    <row r="101" spans="1:84" ht="61.5" x14ac:dyDescent="0.85">
      <c r="A101" s="20">
        <v>1</v>
      </c>
      <c r="B101" s="66">
        <f>SUBTOTAL(103,$A$22:A101)</f>
        <v>80</v>
      </c>
      <c r="C101" s="24" t="s">
        <v>1150</v>
      </c>
      <c r="D101" s="31">
        <f t="shared" si="10"/>
        <v>1663097.88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3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413.87</v>
      </c>
      <c r="R101" s="31">
        <v>1590465.92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23856.99</v>
      </c>
      <c r="AD101" s="273">
        <v>48774.97</v>
      </c>
      <c r="AE101" s="31">
        <v>0</v>
      </c>
      <c r="AF101" s="219">
        <v>2020</v>
      </c>
      <c r="AG101" s="219">
        <v>2020</v>
      </c>
      <c r="AH101" s="220">
        <v>2020</v>
      </c>
      <c r="BZ101" s="71"/>
      <c r="CD101" s="20" t="e">
        <f t="shared" si="9"/>
        <v>#N/A</v>
      </c>
      <c r="CE101" s="115" t="s">
        <v>1239</v>
      </c>
      <c r="CF101" s="115">
        <v>1150.3</v>
      </c>
    </row>
    <row r="102" spans="1:84" ht="61.5" x14ac:dyDescent="0.85">
      <c r="A102" s="20">
        <v>1</v>
      </c>
      <c r="B102" s="66">
        <f>SUBTOTAL(103,$A$22:A102)</f>
        <v>81</v>
      </c>
      <c r="C102" s="24" t="s">
        <v>1566</v>
      </c>
      <c r="D102" s="31">
        <f t="shared" si="10"/>
        <v>1677475.96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3">
        <v>0</v>
      </c>
      <c r="L102" s="31">
        <v>0</v>
      </c>
      <c r="M102" s="181">
        <v>466.12</v>
      </c>
      <c r="N102" s="31">
        <v>1677475.96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219" t="s">
        <v>271</v>
      </c>
      <c r="AG102" s="219">
        <v>2020</v>
      </c>
      <c r="AH102" s="220" t="s">
        <v>271</v>
      </c>
      <c r="BZ102" s="71"/>
      <c r="CD102" s="20">
        <f t="shared" si="9"/>
        <v>466.12</v>
      </c>
      <c r="CE102" s="115" t="s">
        <v>1240</v>
      </c>
      <c r="CF102" s="115">
        <v>763.8</v>
      </c>
    </row>
    <row r="103" spans="1:84" ht="61.5" x14ac:dyDescent="0.85">
      <c r="A103" s="20">
        <v>1</v>
      </c>
      <c r="B103" s="66">
        <f>SUBTOTAL(103,$A$22:A103)</f>
        <v>82</v>
      </c>
      <c r="C103" s="24" t="s">
        <v>1562</v>
      </c>
      <c r="D103" s="31">
        <f t="shared" si="10"/>
        <v>3647517.81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3">
        <v>0</v>
      </c>
      <c r="L103" s="31">
        <v>0</v>
      </c>
      <c r="M103" s="181">
        <v>859</v>
      </c>
      <c r="N103" s="31">
        <v>3593879.16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273">
        <v>53638.65</v>
      </c>
      <c r="AD103" s="31">
        <v>0</v>
      </c>
      <c r="AE103" s="31">
        <v>0</v>
      </c>
      <c r="AF103" s="219" t="s">
        <v>271</v>
      </c>
      <c r="AG103" s="219">
        <v>2020</v>
      </c>
      <c r="AH103" s="220">
        <v>2020</v>
      </c>
      <c r="BZ103" s="71"/>
      <c r="CD103" s="20">
        <f t="shared" si="9"/>
        <v>859</v>
      </c>
      <c r="CE103" s="115" t="s">
        <v>1241</v>
      </c>
      <c r="CF103" s="115">
        <v>461.1</v>
      </c>
    </row>
    <row r="104" spans="1:84" ht="61.5" x14ac:dyDescent="0.85">
      <c r="A104" s="20">
        <v>1</v>
      </c>
      <c r="B104" s="66">
        <f>SUBTOTAL(103,$A$22:A104)</f>
        <v>83</v>
      </c>
      <c r="C104" s="24" t="s">
        <v>1565</v>
      </c>
      <c r="D104" s="31">
        <f t="shared" si="10"/>
        <v>5096776.0799999991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3">
        <v>0</v>
      </c>
      <c r="L104" s="31">
        <v>0</v>
      </c>
      <c r="M104" s="31">
        <v>1004.3</v>
      </c>
      <c r="N104" s="31">
        <v>5021454.2699999996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75321.81</v>
      </c>
      <c r="AD104" s="31">
        <v>0</v>
      </c>
      <c r="AE104" s="31">
        <v>0</v>
      </c>
      <c r="AF104" s="219" t="s">
        <v>271</v>
      </c>
      <c r="AG104" s="219">
        <v>2020</v>
      </c>
      <c r="AH104" s="220">
        <v>2020</v>
      </c>
      <c r="BZ104" s="71"/>
      <c r="CD104" s="20">
        <f t="shared" si="9"/>
        <v>1004.3</v>
      </c>
      <c r="CE104" s="115" t="s">
        <v>1243</v>
      </c>
      <c r="CF104" s="115">
        <v>1528.9</v>
      </c>
    </row>
    <row r="105" spans="1:84" ht="61.5" x14ac:dyDescent="0.85">
      <c r="A105" s="20">
        <v>1</v>
      </c>
      <c r="B105" s="66">
        <f>SUBTOTAL(103,$A$22:A105)</f>
        <v>84</v>
      </c>
      <c r="C105" s="24" t="s">
        <v>1561</v>
      </c>
      <c r="D105" s="31">
        <f t="shared" si="10"/>
        <v>3789473.9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3">
        <v>0</v>
      </c>
      <c r="L105" s="31">
        <v>0</v>
      </c>
      <c r="M105" s="181">
        <v>1028.5</v>
      </c>
      <c r="N105" s="31">
        <v>3733471.82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56002.080000000002</v>
      </c>
      <c r="AD105" s="31">
        <v>0</v>
      </c>
      <c r="AE105" s="31">
        <v>0</v>
      </c>
      <c r="AF105" s="219" t="s">
        <v>271</v>
      </c>
      <c r="AG105" s="219">
        <v>2020</v>
      </c>
      <c r="AH105" s="220">
        <v>2020</v>
      </c>
      <c r="BZ105" s="71"/>
      <c r="CD105" s="20">
        <f t="shared" si="9"/>
        <v>1028.5</v>
      </c>
      <c r="CE105" s="115" t="s">
        <v>120</v>
      </c>
      <c r="CF105" s="115">
        <v>541.1</v>
      </c>
    </row>
    <row r="106" spans="1:84" ht="61.5" x14ac:dyDescent="0.85">
      <c r="A106" s="20">
        <v>1</v>
      </c>
      <c r="B106" s="66">
        <f>SUBTOTAL(103,$A$22:A106)</f>
        <v>85</v>
      </c>
      <c r="C106" s="24" t="s">
        <v>1551</v>
      </c>
      <c r="D106" s="31">
        <f t="shared" si="10"/>
        <v>597387.81000000006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3">
        <v>0</v>
      </c>
      <c r="L106" s="31">
        <v>0</v>
      </c>
      <c r="M106" s="181">
        <v>334.8</v>
      </c>
      <c r="N106" s="31">
        <v>588602.91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8784.9</v>
      </c>
      <c r="AD106" s="31">
        <v>0</v>
      </c>
      <c r="AE106" s="31">
        <v>0</v>
      </c>
      <c r="AF106" s="219" t="s">
        <v>271</v>
      </c>
      <c r="AG106" s="219">
        <v>2020</v>
      </c>
      <c r="AH106" s="220">
        <v>2020</v>
      </c>
      <c r="BZ106" s="71"/>
      <c r="CD106" s="20">
        <f t="shared" si="9"/>
        <v>334.8</v>
      </c>
      <c r="CE106" s="115" t="s">
        <v>172</v>
      </c>
      <c r="CF106" s="115">
        <v>678.3</v>
      </c>
    </row>
    <row r="107" spans="1:84" ht="61.5" x14ac:dyDescent="0.85">
      <c r="A107" s="20">
        <v>1</v>
      </c>
      <c r="B107" s="66">
        <f>SUBTOTAL(103,$A$22:A107)</f>
        <v>86</v>
      </c>
      <c r="C107" s="24" t="s">
        <v>1563</v>
      </c>
      <c r="D107" s="31">
        <f t="shared" si="10"/>
        <v>5103753.3499999996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3">
        <v>0</v>
      </c>
      <c r="L107" s="31">
        <v>0</v>
      </c>
      <c r="M107" s="181">
        <v>1585</v>
      </c>
      <c r="N107" s="31">
        <v>5028700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75053.350000000006</v>
      </c>
      <c r="AD107" s="31">
        <v>0</v>
      </c>
      <c r="AE107" s="31">
        <v>0</v>
      </c>
      <c r="AF107" s="219" t="s">
        <v>271</v>
      </c>
      <c r="AG107" s="219">
        <v>2020</v>
      </c>
      <c r="AH107" s="220">
        <v>2020</v>
      </c>
      <c r="BZ107" s="71"/>
      <c r="CD107" s="20">
        <f t="shared" ref="CD107:CD117" si="11">VLOOKUP(C107,CE:CF,2,FALSE)</f>
        <v>1585</v>
      </c>
      <c r="CE107" s="115" t="s">
        <v>1249</v>
      </c>
      <c r="CF107" s="115">
        <v>975.2</v>
      </c>
    </row>
    <row r="108" spans="1:84" ht="61.5" x14ac:dyDescent="0.85">
      <c r="A108" s="20">
        <v>1</v>
      </c>
      <c r="B108" s="66">
        <f>SUBTOTAL(103,$A$22:A108)</f>
        <v>87</v>
      </c>
      <c r="C108" s="24" t="s">
        <v>1564</v>
      </c>
      <c r="D108" s="31">
        <f t="shared" si="10"/>
        <v>6439254.3500000006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3">
        <v>0</v>
      </c>
      <c r="L108" s="31">
        <v>0</v>
      </c>
      <c r="M108" s="352">
        <v>1663.4</v>
      </c>
      <c r="N108" s="31">
        <v>6233451.8300000001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109313.23</v>
      </c>
      <c r="AD108" s="206">
        <v>96489.29</v>
      </c>
      <c r="AE108" s="31">
        <v>0</v>
      </c>
      <c r="AF108" s="219">
        <v>2020</v>
      </c>
      <c r="AG108" s="219">
        <v>2020</v>
      </c>
      <c r="AH108" s="220">
        <v>2020</v>
      </c>
      <c r="BZ108" s="71"/>
      <c r="CD108" s="20" t="e">
        <f t="shared" si="11"/>
        <v>#N/A</v>
      </c>
      <c r="CE108" s="115" t="s">
        <v>1250</v>
      </c>
      <c r="CF108" s="115">
        <v>600</v>
      </c>
    </row>
    <row r="109" spans="1:84" ht="61.5" x14ac:dyDescent="0.85">
      <c r="A109" s="20">
        <v>1</v>
      </c>
      <c r="B109" s="66">
        <f>SUBTOTAL(103,$A$22:A109)</f>
        <v>88</v>
      </c>
      <c r="C109" s="24" t="s">
        <v>1552</v>
      </c>
      <c r="D109" s="31">
        <f t="shared" si="10"/>
        <v>1913423.73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3">
        <v>0</v>
      </c>
      <c r="L109" s="31">
        <v>0</v>
      </c>
      <c r="M109" s="280">
        <v>508</v>
      </c>
      <c r="N109" s="281">
        <v>1913423.73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219" t="s">
        <v>271</v>
      </c>
      <c r="AG109" s="219">
        <v>2020</v>
      </c>
      <c r="AH109" s="220" t="s">
        <v>271</v>
      </c>
      <c r="BZ109" s="71"/>
      <c r="CD109" s="20">
        <f t="shared" si="11"/>
        <v>543.6</v>
      </c>
      <c r="CE109" s="115" t="s">
        <v>107</v>
      </c>
      <c r="CF109" s="115">
        <v>596.4</v>
      </c>
    </row>
    <row r="110" spans="1:84" ht="61.5" x14ac:dyDescent="0.85">
      <c r="A110" s="20">
        <v>1</v>
      </c>
      <c r="B110" s="66">
        <f>SUBTOTAL(103,$A$22:A110)</f>
        <v>89</v>
      </c>
      <c r="C110" s="24" t="s">
        <v>1606</v>
      </c>
      <c r="D110" s="31">
        <f t="shared" si="10"/>
        <v>2139777.0500000003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3">
        <v>0</v>
      </c>
      <c r="L110" s="31">
        <v>0</v>
      </c>
      <c r="M110" s="31">
        <v>356</v>
      </c>
      <c r="N110" s="31">
        <v>2033939.08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30509.09</v>
      </c>
      <c r="AD110" s="31">
        <v>75328.88</v>
      </c>
      <c r="AE110" s="31">
        <v>0</v>
      </c>
      <c r="AF110" s="219">
        <v>2020</v>
      </c>
      <c r="AG110" s="219">
        <v>2020</v>
      </c>
      <c r="AH110" s="220">
        <v>2020</v>
      </c>
      <c r="BZ110" s="71"/>
      <c r="CD110" s="20" t="e">
        <f t="shared" si="11"/>
        <v>#N/A</v>
      </c>
      <c r="CE110" s="115" t="s">
        <v>109</v>
      </c>
      <c r="CF110" s="115">
        <v>936.1</v>
      </c>
    </row>
    <row r="111" spans="1:84" ht="61.5" x14ac:dyDescent="0.85">
      <c r="A111" s="20">
        <v>1</v>
      </c>
      <c r="B111" s="66">
        <f>SUBTOTAL(103,$A$22:A111)</f>
        <v>90</v>
      </c>
      <c r="C111" s="24" t="s">
        <v>1608</v>
      </c>
      <c r="D111" s="31">
        <f t="shared" si="10"/>
        <v>4640895.0699999994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3">
        <v>0</v>
      </c>
      <c r="L111" s="31">
        <v>0</v>
      </c>
      <c r="M111" s="31">
        <v>1119</v>
      </c>
      <c r="N111" s="31">
        <v>4475542.5999999996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67133.14</v>
      </c>
      <c r="AD111" s="31">
        <v>98219.33</v>
      </c>
      <c r="AE111" s="31">
        <v>0</v>
      </c>
      <c r="AF111" s="219">
        <v>2020</v>
      </c>
      <c r="AG111" s="219">
        <v>2020</v>
      </c>
      <c r="AH111" s="220">
        <v>2020</v>
      </c>
      <c r="BZ111" s="71"/>
      <c r="CD111" s="20" t="e">
        <f t="shared" si="11"/>
        <v>#N/A</v>
      </c>
      <c r="CE111" s="115" t="s">
        <v>1253</v>
      </c>
      <c r="CF111" s="115">
        <v>901.42</v>
      </c>
    </row>
    <row r="112" spans="1:84" ht="61.5" x14ac:dyDescent="0.85">
      <c r="A112" s="20">
        <v>1</v>
      </c>
      <c r="B112" s="66">
        <f>SUBTOTAL(103,$A$22:A112)</f>
        <v>91</v>
      </c>
      <c r="C112" s="24" t="s">
        <v>1609</v>
      </c>
      <c r="D112" s="31">
        <f t="shared" si="10"/>
        <v>2739411.65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3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1314</v>
      </c>
      <c r="R112" s="31">
        <v>2698927.73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40483.919999999998</v>
      </c>
      <c r="AD112" s="31">
        <v>0</v>
      </c>
      <c r="AE112" s="31">
        <v>0</v>
      </c>
      <c r="AF112" s="219" t="s">
        <v>271</v>
      </c>
      <c r="AG112" s="219">
        <v>2020</v>
      </c>
      <c r="AH112" s="220">
        <v>2020</v>
      </c>
      <c r="BZ112" s="71"/>
      <c r="CD112" s="20" t="e">
        <f t="shared" si="11"/>
        <v>#N/A</v>
      </c>
      <c r="CE112" s="115" t="s">
        <v>44</v>
      </c>
      <c r="CF112" s="115">
        <v>631</v>
      </c>
    </row>
    <row r="113" spans="1:84" ht="61.5" x14ac:dyDescent="0.85">
      <c r="A113" s="20">
        <v>1</v>
      </c>
      <c r="B113" s="66">
        <f>SUBTOTAL(103,$A$22:A113)</f>
        <v>92</v>
      </c>
      <c r="C113" s="24" t="s">
        <v>1610</v>
      </c>
      <c r="D113" s="31">
        <f t="shared" si="10"/>
        <v>3080924.7199999997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3">
        <v>0</v>
      </c>
      <c r="L113" s="31">
        <v>0</v>
      </c>
      <c r="M113" s="31">
        <v>707</v>
      </c>
      <c r="N113" s="31">
        <v>2956650.15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44349.75</v>
      </c>
      <c r="AD113" s="31">
        <v>79924.820000000007</v>
      </c>
      <c r="AE113" s="31">
        <v>0</v>
      </c>
      <c r="AF113" s="219">
        <v>2020</v>
      </c>
      <c r="AG113" s="219">
        <v>2020</v>
      </c>
      <c r="AH113" s="220">
        <v>2020</v>
      </c>
      <c r="BZ113" s="71"/>
      <c r="CD113" s="20" t="e">
        <f t="shared" si="11"/>
        <v>#N/A</v>
      </c>
      <c r="CE113" s="115" t="s">
        <v>43</v>
      </c>
      <c r="CF113" s="115">
        <v>566</v>
      </c>
    </row>
    <row r="114" spans="1:84" ht="61.5" x14ac:dyDescent="0.85">
      <c r="A114" s="20">
        <v>1</v>
      </c>
      <c r="B114" s="66">
        <f>SUBTOTAL(103,$A$22:A114)</f>
        <v>93</v>
      </c>
      <c r="C114" s="24" t="s">
        <v>1611</v>
      </c>
      <c r="D114" s="31">
        <f t="shared" si="10"/>
        <v>3171091.7600000002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3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641</v>
      </c>
      <c r="R114" s="31">
        <v>3054645.18</v>
      </c>
      <c r="S114" s="31"/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45819.68</v>
      </c>
      <c r="AD114" s="206">
        <v>70626.899999999994</v>
      </c>
      <c r="AE114" s="31">
        <v>0</v>
      </c>
      <c r="AF114" s="219">
        <v>2020</v>
      </c>
      <c r="AG114" s="219">
        <v>2020</v>
      </c>
      <c r="AH114" s="220">
        <v>2020</v>
      </c>
      <c r="BZ114" s="71"/>
      <c r="CD114" s="20" t="e">
        <f t="shared" si="11"/>
        <v>#N/A</v>
      </c>
      <c r="CE114" s="115" t="s">
        <v>45</v>
      </c>
      <c r="CF114" s="115">
        <v>562</v>
      </c>
    </row>
    <row r="115" spans="1:84" ht="61.5" x14ac:dyDescent="0.85">
      <c r="A115" s="20">
        <v>1</v>
      </c>
      <c r="B115" s="66">
        <f>SUBTOTAL(103,$A$22:A115)</f>
        <v>94</v>
      </c>
      <c r="C115" s="24" t="s">
        <v>1633</v>
      </c>
      <c r="D115" s="31">
        <f t="shared" si="10"/>
        <v>1538390.57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3">
        <v>0</v>
      </c>
      <c r="L115" s="31">
        <v>0</v>
      </c>
      <c r="M115" s="105">
        <v>378</v>
      </c>
      <c r="N115" s="31">
        <v>1515655.73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22734.84</v>
      </c>
      <c r="AD115" s="31">
        <v>0</v>
      </c>
      <c r="AE115" s="31">
        <v>0</v>
      </c>
      <c r="AF115" s="219" t="s">
        <v>271</v>
      </c>
      <c r="AG115" s="219">
        <v>2020</v>
      </c>
      <c r="AH115" s="220">
        <v>2020</v>
      </c>
      <c r="BZ115" s="71"/>
      <c r="CD115" s="20" t="e">
        <f t="shared" si="11"/>
        <v>#N/A</v>
      </c>
      <c r="CE115" s="115" t="s">
        <v>1266</v>
      </c>
      <c r="CF115" s="115">
        <v>454</v>
      </c>
    </row>
    <row r="116" spans="1:84" ht="61.5" x14ac:dyDescent="0.85">
      <c r="A116" s="20">
        <v>1</v>
      </c>
      <c r="B116" s="66">
        <f>SUBTOTAL(103,$A$22:A116)</f>
        <v>95</v>
      </c>
      <c r="C116" s="24" t="s">
        <v>1634</v>
      </c>
      <c r="D116" s="31">
        <f t="shared" si="10"/>
        <v>2359648.1800000002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3">
        <v>1</v>
      </c>
      <c r="L116" s="213">
        <v>2251070.23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218">
        <v>108577.95</v>
      </c>
      <c r="AE116" s="31">
        <v>0</v>
      </c>
      <c r="AF116" s="219">
        <v>2020</v>
      </c>
      <c r="AG116" s="219">
        <v>2020</v>
      </c>
      <c r="AH116" s="220" t="s">
        <v>271</v>
      </c>
      <c r="BZ116" s="71"/>
      <c r="CD116" s="20" t="e">
        <f t="shared" si="11"/>
        <v>#N/A</v>
      </c>
      <c r="CE116" s="115" t="s">
        <v>42</v>
      </c>
      <c r="CF116" s="115">
        <v>595</v>
      </c>
    </row>
    <row r="117" spans="1:84" ht="61.5" x14ac:dyDescent="0.85">
      <c r="A117" s="20">
        <v>1</v>
      </c>
      <c r="B117" s="66">
        <f>SUBTOTAL(103,$A$22:A117)</f>
        <v>96</v>
      </c>
      <c r="C117" s="24" t="s">
        <v>1137</v>
      </c>
      <c r="D117" s="31">
        <f t="shared" ref="D117:D124" si="12">E117+F117+G117+H117+I117+J117+L117+N117+P117+R117+T117+U117+V117+W117+X117+Y117+Z117+AA117+AB117+AC117+AD117+AE117</f>
        <v>3669425.82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3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1778.5</v>
      </c>
      <c r="R117" s="31">
        <v>3615465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53960.82</v>
      </c>
      <c r="AD117" s="31">
        <v>0</v>
      </c>
      <c r="AE117" s="31">
        <v>0</v>
      </c>
      <c r="AF117" s="219" t="s">
        <v>271</v>
      </c>
      <c r="AG117" s="219">
        <v>2020</v>
      </c>
      <c r="AH117" s="220">
        <v>2020</v>
      </c>
      <c r="BZ117" s="71"/>
      <c r="CD117" s="20" t="e">
        <f t="shared" si="11"/>
        <v>#N/A</v>
      </c>
    </row>
    <row r="118" spans="1:84" ht="61.5" x14ac:dyDescent="0.85">
      <c r="A118" s="20">
        <v>1</v>
      </c>
      <c r="B118" s="66">
        <f>SUBTOTAL(103,$A$22:A118)</f>
        <v>97</v>
      </c>
      <c r="C118" s="212" t="s">
        <v>587</v>
      </c>
      <c r="D118" s="31">
        <f t="shared" si="12"/>
        <v>2298975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3">
        <v>0</v>
      </c>
      <c r="L118" s="31">
        <v>0</v>
      </c>
      <c r="M118" s="31">
        <v>917.7</v>
      </c>
      <c r="N118" s="206">
        <v>2265000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33975</v>
      </c>
      <c r="AD118" s="31">
        <v>0</v>
      </c>
      <c r="AE118" s="31">
        <v>0</v>
      </c>
      <c r="AF118" s="219" t="s">
        <v>271</v>
      </c>
      <c r="AG118" s="219">
        <v>2020</v>
      </c>
      <c r="AH118" s="219">
        <v>2020</v>
      </c>
      <c r="AT118" s="20" t="e">
        <f>VLOOKUP(C118,AW:AX,2,FALSE)</f>
        <v>#N/A</v>
      </c>
      <c r="BZ118" s="71"/>
    </row>
    <row r="119" spans="1:84" ht="61.5" x14ac:dyDescent="0.85">
      <c r="A119" s="20">
        <v>1</v>
      </c>
      <c r="B119" s="66">
        <f>SUBTOTAL(103,$A$22:A119)</f>
        <v>98</v>
      </c>
      <c r="C119" s="212" t="s">
        <v>538</v>
      </c>
      <c r="D119" s="31">
        <f t="shared" si="12"/>
        <v>1843496.65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3">
        <v>1</v>
      </c>
      <c r="L119" s="210">
        <v>1772595.98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204">
        <v>70900.67</v>
      </c>
      <c r="AE119" s="31">
        <v>0</v>
      </c>
      <c r="AF119" s="219">
        <v>2020</v>
      </c>
      <c r="AG119" s="219">
        <v>2020</v>
      </c>
      <c r="AH119" s="220" t="s">
        <v>271</v>
      </c>
      <c r="AT119" s="20" t="e">
        <f>VLOOKUP(C119,AW:AX,2,FALSE)</f>
        <v>#N/A</v>
      </c>
      <c r="BZ119" s="71"/>
      <c r="CD119" s="20" t="e">
        <f t="shared" ref="CD119:CD182" si="13">VLOOKUP(C119,CE:CF,2,FALSE)</f>
        <v>#N/A</v>
      </c>
    </row>
    <row r="120" spans="1:84" ht="61.5" x14ac:dyDescent="0.85">
      <c r="A120" s="20">
        <v>1</v>
      </c>
      <c r="B120" s="66">
        <f>SUBTOTAL(103,$A$22:A120)</f>
        <v>99</v>
      </c>
      <c r="C120" s="212" t="s">
        <v>539</v>
      </c>
      <c r="D120" s="31">
        <f t="shared" si="12"/>
        <v>1838816.0899999999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3">
        <v>1</v>
      </c>
      <c r="L120" s="210">
        <v>1767995.18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214">
        <v>70820.91</v>
      </c>
      <c r="AE120" s="31">
        <v>0</v>
      </c>
      <c r="AF120" s="219">
        <v>2020</v>
      </c>
      <c r="AG120" s="219">
        <v>2020</v>
      </c>
      <c r="AH120" s="220" t="s">
        <v>271</v>
      </c>
      <c r="AT120" s="20" t="e">
        <f>VLOOKUP(C120,AW:AX,2,FALSE)</f>
        <v>#N/A</v>
      </c>
      <c r="BZ120" s="71"/>
      <c r="CD120" s="20" t="e">
        <f t="shared" si="13"/>
        <v>#N/A</v>
      </c>
    </row>
    <row r="121" spans="1:84" ht="61.5" x14ac:dyDescent="0.85">
      <c r="A121" s="20">
        <v>1</v>
      </c>
      <c r="B121" s="66">
        <f>SUBTOTAL(103,$A$22:A121)</f>
        <v>100</v>
      </c>
      <c r="C121" s="212" t="s">
        <v>1391</v>
      </c>
      <c r="D121" s="31">
        <f t="shared" si="12"/>
        <v>10746088.879999999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3">
        <v>6</v>
      </c>
      <c r="L121" s="210">
        <v>10646311.34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214">
        <v>99777.54</v>
      </c>
      <c r="AE121" s="31">
        <v>0</v>
      </c>
      <c r="AF121" s="219">
        <v>2020</v>
      </c>
      <c r="AG121" s="219">
        <v>2020</v>
      </c>
      <c r="AH121" s="220" t="s">
        <v>271</v>
      </c>
      <c r="BZ121" s="71"/>
      <c r="CD121" s="20" t="e">
        <f t="shared" si="13"/>
        <v>#N/A</v>
      </c>
    </row>
    <row r="122" spans="1:84" ht="61.5" x14ac:dyDescent="0.85">
      <c r="A122" s="20">
        <v>1</v>
      </c>
      <c r="B122" s="66">
        <f>SUBTOTAL(103,$A$22:A122)</f>
        <v>101</v>
      </c>
      <c r="C122" s="212" t="s">
        <v>553</v>
      </c>
      <c r="D122" s="31">
        <f t="shared" si="12"/>
        <v>2078209.55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3">
        <v>1</v>
      </c>
      <c r="L122" s="210">
        <v>2005748.81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214">
        <v>72460.740000000005</v>
      </c>
      <c r="AE122" s="31">
        <v>0</v>
      </c>
      <c r="AF122" s="219">
        <v>2020</v>
      </c>
      <c r="AG122" s="219">
        <v>2020</v>
      </c>
      <c r="AH122" s="220" t="s">
        <v>271</v>
      </c>
      <c r="AT122" s="20" t="e">
        <f>VLOOKUP(C122,AW:AX,2,FALSE)</f>
        <v>#N/A</v>
      </c>
      <c r="BZ122" s="71"/>
      <c r="CD122" s="20" t="e">
        <f t="shared" si="13"/>
        <v>#N/A</v>
      </c>
    </row>
    <row r="123" spans="1:84" ht="61.5" x14ac:dyDescent="0.85">
      <c r="A123" s="20">
        <v>1</v>
      </c>
      <c r="B123" s="66">
        <f>SUBTOTAL(103,$A$22:A123)</f>
        <v>102</v>
      </c>
      <c r="C123" s="212" t="s">
        <v>1103</v>
      </c>
      <c r="D123" s="31">
        <f t="shared" si="12"/>
        <v>8533423.2400000002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3">
        <v>4</v>
      </c>
      <c r="L123" s="210">
        <v>8441723.0500000007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214">
        <v>91700.19</v>
      </c>
      <c r="AE123" s="31">
        <v>0</v>
      </c>
      <c r="AF123" s="219">
        <v>2020</v>
      </c>
      <c r="AG123" s="219">
        <v>2020</v>
      </c>
      <c r="AH123" s="220" t="s">
        <v>271</v>
      </c>
      <c r="BZ123" s="71"/>
      <c r="CD123" s="20" t="e">
        <f t="shared" si="13"/>
        <v>#N/A</v>
      </c>
    </row>
    <row r="124" spans="1:84" ht="61.5" x14ac:dyDescent="0.85">
      <c r="A124" s="20">
        <v>1</v>
      </c>
      <c r="B124" s="66">
        <f>SUBTOTAL(103,$A$22:A124)</f>
        <v>103</v>
      </c>
      <c r="C124" s="212" t="s">
        <v>561</v>
      </c>
      <c r="D124" s="31">
        <f t="shared" si="12"/>
        <v>2063785.08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3">
        <v>1</v>
      </c>
      <c r="L124" s="210">
        <v>1992878.5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214">
        <v>70906.58</v>
      </c>
      <c r="AE124" s="31">
        <v>0</v>
      </c>
      <c r="AF124" s="219">
        <v>2020</v>
      </c>
      <c r="AG124" s="219">
        <v>2020</v>
      </c>
      <c r="AH124" s="220" t="s">
        <v>271</v>
      </c>
      <c r="AT124" s="20" t="e">
        <f>VLOOKUP(C124,AW:AX,2,FALSE)</f>
        <v>#N/A</v>
      </c>
      <c r="BZ124" s="71"/>
      <c r="CD124" s="20" t="e">
        <f t="shared" si="13"/>
        <v>#N/A</v>
      </c>
    </row>
    <row r="125" spans="1:84" ht="61.5" x14ac:dyDescent="0.85">
      <c r="A125" s="20">
        <v>1</v>
      </c>
      <c r="B125" s="66">
        <f>SUBTOTAL(103,$A$22:A125)</f>
        <v>104</v>
      </c>
      <c r="C125" s="212" t="s">
        <v>1638</v>
      </c>
      <c r="D125" s="31">
        <f>E125+F125+G125+H125+I125+J125+L125+N125+P125+R125+T125+U125+V125+W125+X125+Y125+Z125+AA125+AB125+AC125+AD125+AE125</f>
        <v>3897600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3">
        <v>0</v>
      </c>
      <c r="L125" s="31">
        <v>0</v>
      </c>
      <c r="M125" s="31">
        <v>878</v>
      </c>
      <c r="N125" s="206">
        <v>3840000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57600</v>
      </c>
      <c r="AD125" s="31">
        <v>0</v>
      </c>
      <c r="AE125" s="31">
        <v>0</v>
      </c>
      <c r="AF125" s="219" t="s">
        <v>271</v>
      </c>
      <c r="AG125" s="219">
        <v>2020</v>
      </c>
      <c r="AH125" s="219">
        <v>2020</v>
      </c>
      <c r="BZ125" s="71"/>
      <c r="CD125" s="20" t="e">
        <f t="shared" si="13"/>
        <v>#N/A</v>
      </c>
    </row>
    <row r="126" spans="1:84" ht="61.5" x14ac:dyDescent="0.85">
      <c r="A126" s="20">
        <v>1</v>
      </c>
      <c r="B126" s="66">
        <f>SUBTOTAL(103,$A$22:A126)</f>
        <v>105</v>
      </c>
      <c r="C126" s="212" t="s">
        <v>1134</v>
      </c>
      <c r="D126" s="31">
        <f>E126+F126+G126+H126+I126+J126+L126+N126+P126+R126+T126+U126+V126+W126+X126+Y126+Z126+AA126+AB126+AC126+AD126+AE126</f>
        <v>1772415.75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3">
        <v>0</v>
      </c>
      <c r="L126" s="31">
        <v>0</v>
      </c>
      <c r="M126" s="31">
        <v>523.98</v>
      </c>
      <c r="N126" s="31">
        <v>1746351.45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26064.3</v>
      </c>
      <c r="AD126" s="31">
        <v>0</v>
      </c>
      <c r="AE126" s="31">
        <v>0</v>
      </c>
      <c r="AF126" s="220" t="s">
        <v>271</v>
      </c>
      <c r="AG126" s="219">
        <v>2020</v>
      </c>
      <c r="AH126" s="219">
        <v>2020</v>
      </c>
      <c r="BZ126" s="71"/>
      <c r="CD126" s="20">
        <f t="shared" si="13"/>
        <v>523.98</v>
      </c>
    </row>
    <row r="127" spans="1:84" ht="61.5" x14ac:dyDescent="0.85">
      <c r="A127" s="20">
        <v>1</v>
      </c>
      <c r="B127" s="66">
        <f>SUBTOTAL(103,$A$22:A127)</f>
        <v>106</v>
      </c>
      <c r="C127" s="212" t="s">
        <v>812</v>
      </c>
      <c r="D127" s="31">
        <f>E127+F127+G127+H127+I127+J127+L127+N127+P127+R127+T127+U127+V127+W127+X127+Y127+Z127+AA127+AB127+AC127+AD127+AE127</f>
        <v>1584967.92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3">
        <v>0</v>
      </c>
      <c r="L127" s="31">
        <v>0</v>
      </c>
      <c r="M127" s="207">
        <v>307</v>
      </c>
      <c r="N127" s="31">
        <v>1492579.23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22388.69</v>
      </c>
      <c r="AD127" s="31">
        <v>70000</v>
      </c>
      <c r="AE127" s="31">
        <v>0</v>
      </c>
      <c r="AF127" s="219">
        <v>2020</v>
      </c>
      <c r="AG127" s="219">
        <v>2020</v>
      </c>
      <c r="AH127" s="219">
        <v>2020</v>
      </c>
      <c r="AT127" s="20" t="e">
        <f>VLOOKUP(C127,AW:AX,2,FALSE)</f>
        <v>#N/A</v>
      </c>
      <c r="BZ127" s="71"/>
      <c r="CD127" s="20" t="e">
        <f t="shared" si="13"/>
        <v>#N/A</v>
      </c>
    </row>
    <row r="128" spans="1:84" s="134" customFormat="1" ht="61.5" x14ac:dyDescent="0.85">
      <c r="A128" s="134">
        <v>1</v>
      </c>
      <c r="B128" s="66">
        <f>SUBTOTAL(103,$A$22:A128)</f>
        <v>107</v>
      </c>
      <c r="C128" s="24" t="s">
        <v>1711</v>
      </c>
      <c r="D128" s="31">
        <f t="shared" ref="D128" si="14">E128+F128+G128+H128+I128+J128+L128+N128+P128+R128+T128+U128+V128+W128+X128+Y128+Z128+AA128+AB128+AC128+AD128+AE128</f>
        <v>110000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3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110000</v>
      </c>
      <c r="AE128" s="31">
        <v>0</v>
      </c>
      <c r="AF128" s="219">
        <v>2020</v>
      </c>
      <c r="AG128" s="220" t="s">
        <v>271</v>
      </c>
      <c r="AH128" s="220" t="s">
        <v>271</v>
      </c>
      <c r="AI128" s="20"/>
      <c r="AJ128" s="20"/>
      <c r="AK128" s="20"/>
      <c r="AL128" s="20"/>
      <c r="BZ128" s="135"/>
      <c r="CD128" s="134" t="e">
        <f t="shared" si="13"/>
        <v>#N/A</v>
      </c>
    </row>
    <row r="129" spans="1:84" ht="61.5" x14ac:dyDescent="0.85">
      <c r="B129" s="24" t="s">
        <v>769</v>
      </c>
      <c r="C129" s="114"/>
      <c r="D129" s="31">
        <f t="shared" ref="D129:AE129" si="15">SUM(D130:D160)</f>
        <v>79026156.439999998</v>
      </c>
      <c r="E129" s="31">
        <f t="shared" si="15"/>
        <v>392971.79</v>
      </c>
      <c r="F129" s="31">
        <f t="shared" si="15"/>
        <v>287233.21999999997</v>
      </c>
      <c r="G129" s="31">
        <f t="shared" si="15"/>
        <v>2812713.8499999996</v>
      </c>
      <c r="H129" s="31">
        <f t="shared" si="15"/>
        <v>643435.68999999994</v>
      </c>
      <c r="I129" s="31">
        <f t="shared" si="15"/>
        <v>5161884.18</v>
      </c>
      <c r="J129" s="31">
        <f t="shared" si="15"/>
        <v>0</v>
      </c>
      <c r="K129" s="33">
        <f t="shared" si="15"/>
        <v>4</v>
      </c>
      <c r="L129" s="31">
        <f t="shared" si="15"/>
        <v>5593558.4000000004</v>
      </c>
      <c r="M129" s="31">
        <f t="shared" si="15"/>
        <v>9694</v>
      </c>
      <c r="N129" s="31">
        <f t="shared" si="15"/>
        <v>47352279.850000001</v>
      </c>
      <c r="O129" s="31">
        <f t="shared" si="15"/>
        <v>0</v>
      </c>
      <c r="P129" s="31">
        <f t="shared" si="15"/>
        <v>0</v>
      </c>
      <c r="Q129" s="31">
        <f t="shared" si="15"/>
        <v>4827.55</v>
      </c>
      <c r="R129" s="31">
        <f t="shared" si="15"/>
        <v>14692845.030000001</v>
      </c>
      <c r="S129" s="31">
        <f t="shared" si="15"/>
        <v>0</v>
      </c>
      <c r="T129" s="31">
        <f t="shared" si="15"/>
        <v>0</v>
      </c>
      <c r="U129" s="31">
        <f t="shared" si="15"/>
        <v>0</v>
      </c>
      <c r="V129" s="31">
        <f t="shared" si="15"/>
        <v>0</v>
      </c>
      <c r="W129" s="31">
        <f t="shared" si="15"/>
        <v>0</v>
      </c>
      <c r="X129" s="31">
        <f t="shared" si="15"/>
        <v>0</v>
      </c>
      <c r="Y129" s="31">
        <f t="shared" si="15"/>
        <v>0</v>
      </c>
      <c r="Z129" s="31">
        <f t="shared" si="15"/>
        <v>0</v>
      </c>
      <c r="AA129" s="31">
        <f t="shared" si="15"/>
        <v>0</v>
      </c>
      <c r="AB129" s="31">
        <f t="shared" si="15"/>
        <v>0</v>
      </c>
      <c r="AC129" s="31">
        <f t="shared" si="15"/>
        <v>998904.35000000009</v>
      </c>
      <c r="AD129" s="31">
        <f t="shared" si="15"/>
        <v>1090330.08</v>
      </c>
      <c r="AE129" s="31">
        <f t="shared" si="15"/>
        <v>0</v>
      </c>
      <c r="AF129" s="221" t="s">
        <v>764</v>
      </c>
      <c r="AG129" s="221" t="s">
        <v>764</v>
      </c>
      <c r="AH129" s="222" t="s">
        <v>764</v>
      </c>
      <c r="AT129" s="20" t="e">
        <f t="shared" ref="AT129:AT142" si="16">VLOOKUP(C129,AW:AX,2,FALSE)</f>
        <v>#N/A</v>
      </c>
      <c r="BZ129" s="31">
        <v>95682574.419999987</v>
      </c>
      <c r="CA129" s="31"/>
      <c r="CB129" s="31">
        <f>BZ129-D129</f>
        <v>16656417.979999989</v>
      </c>
      <c r="CD129" s="20" t="e">
        <f t="shared" si="13"/>
        <v>#N/A</v>
      </c>
      <c r="CE129" s="115" t="s">
        <v>1261</v>
      </c>
      <c r="CF129" s="115">
        <v>1278.8</v>
      </c>
    </row>
    <row r="130" spans="1:84" ht="61.5" x14ac:dyDescent="0.85">
      <c r="A130" s="20">
        <v>1</v>
      </c>
      <c r="B130" s="66">
        <f>SUBTOTAL(103,$A$22:A130)</f>
        <v>108</v>
      </c>
      <c r="C130" s="24" t="s">
        <v>448</v>
      </c>
      <c r="D130" s="31">
        <f t="shared" ref="D130:D160" si="17">E130+F130+G130+H130+I130+J130+L130+N130+P130+R130+T130+U130+V130+W130+X130+Y130+Z130+AA130+AB130+AC130+AD130+AE130</f>
        <v>3002974.44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74">
        <v>0</v>
      </c>
      <c r="L130" s="31">
        <v>0</v>
      </c>
      <c r="M130" s="31">
        <v>598</v>
      </c>
      <c r="N130" s="31">
        <v>2924188.81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f t="shared" ref="AC130:AC141" si="18">ROUND(N130*1.5%,2)</f>
        <v>43862.83</v>
      </c>
      <c r="AD130" s="204">
        <v>34922.800000000003</v>
      </c>
      <c r="AE130" s="31">
        <v>0</v>
      </c>
      <c r="AF130" s="219">
        <v>2020</v>
      </c>
      <c r="AG130" s="219">
        <v>2020</v>
      </c>
      <c r="AH130" s="220">
        <v>2020</v>
      </c>
      <c r="AT130" s="20" t="e">
        <f t="shared" si="16"/>
        <v>#N/A</v>
      </c>
      <c r="BZ130" s="71"/>
      <c r="CD130" s="20">
        <f t="shared" si="13"/>
        <v>598</v>
      </c>
      <c r="CE130" s="115" t="s">
        <v>1263</v>
      </c>
      <c r="CF130" s="115">
        <v>225.04</v>
      </c>
    </row>
    <row r="131" spans="1:84" ht="61.5" x14ac:dyDescent="0.85">
      <c r="A131" s="20">
        <v>1</v>
      </c>
      <c r="B131" s="66">
        <f>SUBTOTAL(103,$A$22:A131)</f>
        <v>109</v>
      </c>
      <c r="C131" s="24" t="s">
        <v>449</v>
      </c>
      <c r="D131" s="31">
        <f t="shared" si="17"/>
        <v>3572063.7399999998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74">
        <v>0</v>
      </c>
      <c r="L131" s="31">
        <v>0</v>
      </c>
      <c r="M131" s="31">
        <v>592.20000000000005</v>
      </c>
      <c r="N131" s="31">
        <f>2990544.46+300000+175739.73</f>
        <v>3466284.19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f t="shared" si="18"/>
        <v>51994.26</v>
      </c>
      <c r="AD131" s="204">
        <v>53785.29</v>
      </c>
      <c r="AE131" s="31">
        <v>0</v>
      </c>
      <c r="AF131" s="219">
        <v>2020</v>
      </c>
      <c r="AG131" s="219">
        <v>2020</v>
      </c>
      <c r="AH131" s="220">
        <v>2020</v>
      </c>
      <c r="AT131" s="20" t="e">
        <f t="shared" si="16"/>
        <v>#N/A</v>
      </c>
      <c r="BZ131" s="71"/>
      <c r="CD131" s="20">
        <f t="shared" si="13"/>
        <v>592.20000000000005</v>
      </c>
      <c r="CE131" s="115" t="s">
        <v>1264</v>
      </c>
      <c r="CF131" s="115">
        <v>337</v>
      </c>
    </row>
    <row r="132" spans="1:84" ht="61.5" x14ac:dyDescent="0.85">
      <c r="A132" s="20">
        <v>1</v>
      </c>
      <c r="B132" s="66">
        <f>SUBTOTAL(103,$A$22:A132)</f>
        <v>110</v>
      </c>
      <c r="C132" s="24" t="s">
        <v>450</v>
      </c>
      <c r="D132" s="31">
        <f t="shared" si="17"/>
        <v>2978080.5300000003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74">
        <v>0</v>
      </c>
      <c r="L132" s="31">
        <v>0</v>
      </c>
      <c r="M132" s="210">
        <v>539.9</v>
      </c>
      <c r="N132" s="31">
        <v>2884911.16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f t="shared" si="18"/>
        <v>43273.67</v>
      </c>
      <c r="AD132" s="204">
        <v>49895.7</v>
      </c>
      <c r="AE132" s="31">
        <v>0</v>
      </c>
      <c r="AF132" s="219">
        <v>2020</v>
      </c>
      <c r="AG132" s="219">
        <v>2020</v>
      </c>
      <c r="AH132" s="219">
        <v>2020</v>
      </c>
      <c r="AT132" s="20" t="e">
        <f t="shared" si="16"/>
        <v>#N/A</v>
      </c>
      <c r="BZ132" s="71"/>
      <c r="CD132" s="20" t="e">
        <f t="shared" si="13"/>
        <v>#N/A</v>
      </c>
      <c r="CE132" s="115" t="s">
        <v>229</v>
      </c>
      <c r="CF132" s="115">
        <v>806.38</v>
      </c>
    </row>
    <row r="133" spans="1:84" ht="61.5" x14ac:dyDescent="0.85">
      <c r="A133" s="20">
        <v>1</v>
      </c>
      <c r="B133" s="66">
        <f>SUBTOTAL(103,$A$22:A133)</f>
        <v>111</v>
      </c>
      <c r="C133" s="24" t="s">
        <v>451</v>
      </c>
      <c r="D133" s="31">
        <f t="shared" si="17"/>
        <v>66096.710000000006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74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f t="shared" si="18"/>
        <v>0</v>
      </c>
      <c r="AD133" s="205">
        <v>66096.710000000006</v>
      </c>
      <c r="AE133" s="31">
        <v>0</v>
      </c>
      <c r="AF133" s="219">
        <v>2020</v>
      </c>
      <c r="AG133" s="219" t="s">
        <v>271</v>
      </c>
      <c r="AH133" s="220" t="s">
        <v>271</v>
      </c>
      <c r="AT133" s="20" t="e">
        <f t="shared" si="16"/>
        <v>#N/A</v>
      </c>
      <c r="BZ133" s="71"/>
      <c r="CD133" s="20" t="e">
        <f t="shared" si="13"/>
        <v>#N/A</v>
      </c>
      <c r="CE133" s="115" t="s">
        <v>232</v>
      </c>
      <c r="CF133" s="115">
        <v>308.60000000000002</v>
      </c>
    </row>
    <row r="134" spans="1:84" ht="61.5" x14ac:dyDescent="0.85">
      <c r="A134" s="20">
        <v>1</v>
      </c>
      <c r="B134" s="66">
        <f>SUBTOTAL(103,$A$22:A134)</f>
        <v>112</v>
      </c>
      <c r="C134" s="24" t="s">
        <v>452</v>
      </c>
      <c r="D134" s="31">
        <f t="shared" si="17"/>
        <v>3455519.85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74">
        <v>0</v>
      </c>
      <c r="L134" s="31">
        <v>0</v>
      </c>
      <c r="M134" s="31">
        <v>603.71</v>
      </c>
      <c r="N134" s="31">
        <f>2852841.65+500000</f>
        <v>3352841.65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f t="shared" si="18"/>
        <v>50292.62</v>
      </c>
      <c r="AD134" s="204">
        <v>52385.58</v>
      </c>
      <c r="AE134" s="31">
        <v>0</v>
      </c>
      <c r="AF134" s="219">
        <v>2020</v>
      </c>
      <c r="AG134" s="219">
        <v>2020</v>
      </c>
      <c r="AH134" s="220">
        <v>2020</v>
      </c>
      <c r="AT134" s="20" t="e">
        <f t="shared" si="16"/>
        <v>#N/A</v>
      </c>
      <c r="BZ134" s="71"/>
      <c r="CD134" s="20">
        <f t="shared" si="13"/>
        <v>603.71</v>
      </c>
      <c r="CE134" s="115" t="s">
        <v>1278</v>
      </c>
      <c r="CF134" s="115">
        <v>189.8</v>
      </c>
    </row>
    <row r="135" spans="1:84" ht="61.5" x14ac:dyDescent="0.85">
      <c r="A135" s="20">
        <v>1</v>
      </c>
      <c r="B135" s="66">
        <f>SUBTOTAL(103,$A$22:A135)</f>
        <v>113</v>
      </c>
      <c r="C135" s="24" t="s">
        <v>453</v>
      </c>
      <c r="D135" s="31">
        <f t="shared" si="17"/>
        <v>2346811.4300000002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74">
        <v>0</v>
      </c>
      <c r="L135" s="31">
        <v>0</v>
      </c>
      <c r="M135" s="215">
        <v>618.17999999999995</v>
      </c>
      <c r="N135" s="31">
        <v>2259637.87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f t="shared" si="18"/>
        <v>33894.57</v>
      </c>
      <c r="AD135" s="204">
        <v>53278.99</v>
      </c>
      <c r="AE135" s="31">
        <v>0</v>
      </c>
      <c r="AF135" s="219">
        <v>2020</v>
      </c>
      <c r="AG135" s="219">
        <v>2020</v>
      </c>
      <c r="AH135" s="220">
        <v>2020</v>
      </c>
      <c r="AT135" s="20" t="e">
        <f t="shared" si="16"/>
        <v>#N/A</v>
      </c>
      <c r="BZ135" s="71"/>
      <c r="CD135" s="20">
        <f t="shared" si="13"/>
        <v>588.4</v>
      </c>
      <c r="CE135" s="115" t="s">
        <v>146</v>
      </c>
      <c r="CF135" s="115">
        <v>1525.2</v>
      </c>
    </row>
    <row r="136" spans="1:84" ht="61.5" x14ac:dyDescent="0.85">
      <c r="A136" s="20">
        <v>1</v>
      </c>
      <c r="B136" s="66">
        <f>SUBTOTAL(103,$A$22:A136)</f>
        <v>114</v>
      </c>
      <c r="C136" s="24" t="s">
        <v>454</v>
      </c>
      <c r="D136" s="31">
        <f t="shared" si="17"/>
        <v>3240517.53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74">
        <v>0</v>
      </c>
      <c r="L136" s="31">
        <v>0</v>
      </c>
      <c r="M136" s="31">
        <v>555.39</v>
      </c>
      <c r="N136" s="31">
        <v>3123050.84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f t="shared" si="18"/>
        <v>46845.760000000002</v>
      </c>
      <c r="AD136" s="204">
        <v>70620.929999999993</v>
      </c>
      <c r="AE136" s="31">
        <v>0</v>
      </c>
      <c r="AF136" s="219">
        <v>2020</v>
      </c>
      <c r="AG136" s="219">
        <v>2020</v>
      </c>
      <c r="AH136" s="220">
        <v>2020</v>
      </c>
      <c r="AT136" s="20" t="e">
        <f t="shared" si="16"/>
        <v>#N/A</v>
      </c>
      <c r="BZ136" s="71"/>
      <c r="CD136" s="20">
        <f t="shared" si="13"/>
        <v>555.39</v>
      </c>
      <c r="CE136" s="115" t="s">
        <v>142</v>
      </c>
      <c r="CF136" s="115">
        <v>1373.6</v>
      </c>
    </row>
    <row r="137" spans="1:84" ht="61.5" x14ac:dyDescent="0.85">
      <c r="A137" s="20">
        <v>1</v>
      </c>
      <c r="B137" s="66">
        <f>SUBTOTAL(103,$A$22:A137)</f>
        <v>115</v>
      </c>
      <c r="C137" s="24" t="s">
        <v>455</v>
      </c>
      <c r="D137" s="31">
        <f t="shared" si="17"/>
        <v>3239042.2399999998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74">
        <v>0</v>
      </c>
      <c r="L137" s="31">
        <v>0</v>
      </c>
      <c r="M137" s="31">
        <v>577</v>
      </c>
      <c r="N137" s="31">
        <f>2638768.3+500000</f>
        <v>3138768.3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f t="shared" si="18"/>
        <v>47081.52</v>
      </c>
      <c r="AD137" s="204">
        <v>53192.42</v>
      </c>
      <c r="AE137" s="31">
        <v>0</v>
      </c>
      <c r="AF137" s="219">
        <v>2020</v>
      </c>
      <c r="AG137" s="219">
        <v>2020</v>
      </c>
      <c r="AH137" s="220">
        <v>2020</v>
      </c>
      <c r="AT137" s="20" t="e">
        <f t="shared" si="16"/>
        <v>#N/A</v>
      </c>
      <c r="BZ137" s="71"/>
      <c r="CD137" s="20">
        <f t="shared" si="13"/>
        <v>577</v>
      </c>
      <c r="CE137" s="115" t="s">
        <v>137</v>
      </c>
      <c r="CF137" s="115">
        <v>1062.4000000000001</v>
      </c>
    </row>
    <row r="138" spans="1:84" ht="61.5" x14ac:dyDescent="0.85">
      <c r="A138" s="20">
        <v>1</v>
      </c>
      <c r="B138" s="66">
        <f>SUBTOTAL(103,$A$22:A138)</f>
        <v>116</v>
      </c>
      <c r="C138" s="24" t="s">
        <v>456</v>
      </c>
      <c r="D138" s="31">
        <f t="shared" si="17"/>
        <v>2412051.81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74">
        <v>0</v>
      </c>
      <c r="L138" s="31">
        <v>0</v>
      </c>
      <c r="M138" s="215">
        <v>585.91</v>
      </c>
      <c r="N138" s="204">
        <v>2323884.75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f t="shared" si="18"/>
        <v>34858.269999999997</v>
      </c>
      <c r="AD138" s="204">
        <v>53308.79</v>
      </c>
      <c r="AE138" s="31">
        <v>0</v>
      </c>
      <c r="AF138" s="219">
        <v>2020</v>
      </c>
      <c r="AG138" s="219">
        <v>2020</v>
      </c>
      <c r="AH138" s="220">
        <v>2020</v>
      </c>
      <c r="AT138" s="20" t="e">
        <f t="shared" si="16"/>
        <v>#N/A</v>
      </c>
      <c r="BZ138" s="71"/>
      <c r="CD138" s="20">
        <f t="shared" si="13"/>
        <v>567.62</v>
      </c>
      <c r="CE138" s="115" t="s">
        <v>1274</v>
      </c>
      <c r="CF138" s="115">
        <v>1105</v>
      </c>
    </row>
    <row r="139" spans="1:84" ht="61.5" x14ac:dyDescent="0.85">
      <c r="A139" s="20">
        <v>1</v>
      </c>
      <c r="B139" s="66">
        <f>SUBTOTAL(103,$A$22:A139)</f>
        <v>117</v>
      </c>
      <c r="C139" s="24" t="s">
        <v>457</v>
      </c>
      <c r="D139" s="31">
        <f t="shared" si="17"/>
        <v>4833444.3199999994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74">
        <v>0</v>
      </c>
      <c r="L139" s="31">
        <v>0</v>
      </c>
      <c r="M139" s="31">
        <v>865.12</v>
      </c>
      <c r="N139" s="31">
        <v>4643701.7699999996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f t="shared" si="18"/>
        <v>69655.53</v>
      </c>
      <c r="AD139" s="204">
        <v>120087.02</v>
      </c>
      <c r="AE139" s="31">
        <v>0</v>
      </c>
      <c r="AF139" s="219">
        <v>2020</v>
      </c>
      <c r="AG139" s="219">
        <v>2020</v>
      </c>
      <c r="AH139" s="220">
        <v>2020</v>
      </c>
      <c r="AT139" s="20" t="e">
        <f t="shared" si="16"/>
        <v>#N/A</v>
      </c>
      <c r="BZ139" s="71"/>
      <c r="CD139" s="20">
        <f t="shared" si="13"/>
        <v>865.12</v>
      </c>
      <c r="CE139" s="115" t="s">
        <v>1276</v>
      </c>
      <c r="CF139" s="115">
        <v>1401.4</v>
      </c>
    </row>
    <row r="140" spans="1:84" ht="61.5" x14ac:dyDescent="0.85">
      <c r="A140" s="20">
        <v>1</v>
      </c>
      <c r="B140" s="66">
        <f>SUBTOTAL(103,$A$22:A140)</f>
        <v>118</v>
      </c>
      <c r="C140" s="24" t="s">
        <v>458</v>
      </c>
      <c r="D140" s="31">
        <f t="shared" si="17"/>
        <v>2874285.62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74">
        <v>0</v>
      </c>
      <c r="L140" s="31">
        <v>0</v>
      </c>
      <c r="M140" s="31">
        <v>556.79999999999995</v>
      </c>
      <c r="N140" s="31">
        <v>2779000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f t="shared" si="18"/>
        <v>41685</v>
      </c>
      <c r="AD140" s="204">
        <v>53600.62</v>
      </c>
      <c r="AE140" s="31">
        <v>0</v>
      </c>
      <c r="AF140" s="219">
        <v>2020</v>
      </c>
      <c r="AG140" s="219">
        <v>2020</v>
      </c>
      <c r="AH140" s="220">
        <v>2020</v>
      </c>
      <c r="AT140" s="20" t="e">
        <f t="shared" si="16"/>
        <v>#N/A</v>
      </c>
      <c r="BZ140" s="71"/>
      <c r="CD140" s="20">
        <f t="shared" si="13"/>
        <v>556.79999999999995</v>
      </c>
      <c r="CE140" s="115" t="s">
        <v>1273</v>
      </c>
      <c r="CF140" s="115">
        <v>467.74</v>
      </c>
    </row>
    <row r="141" spans="1:84" ht="61.5" x14ac:dyDescent="0.85">
      <c r="A141" s="20">
        <v>1</v>
      </c>
      <c r="B141" s="66">
        <f>SUBTOTAL(103,$A$22:A141)</f>
        <v>119</v>
      </c>
      <c r="C141" s="24" t="s">
        <v>459</v>
      </c>
      <c r="D141" s="31">
        <f t="shared" si="17"/>
        <v>4498593.59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74">
        <v>0</v>
      </c>
      <c r="L141" s="31">
        <v>0</v>
      </c>
      <c r="M141" s="31">
        <v>860.91</v>
      </c>
      <c r="N141" s="31">
        <v>4341703.6100000003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f t="shared" si="18"/>
        <v>65125.55</v>
      </c>
      <c r="AD141" s="204">
        <v>91764.43</v>
      </c>
      <c r="AE141" s="31">
        <v>0</v>
      </c>
      <c r="AF141" s="219">
        <v>2020</v>
      </c>
      <c r="AG141" s="219">
        <v>2020</v>
      </c>
      <c r="AH141" s="220">
        <v>2020</v>
      </c>
      <c r="AT141" s="20" t="e">
        <f t="shared" si="16"/>
        <v>#N/A</v>
      </c>
      <c r="BZ141" s="71"/>
      <c r="CD141" s="20">
        <f t="shared" si="13"/>
        <v>860.91</v>
      </c>
      <c r="CE141" s="115" t="s">
        <v>1281</v>
      </c>
      <c r="CF141" s="115">
        <v>949</v>
      </c>
    </row>
    <row r="142" spans="1:84" ht="61.5" x14ac:dyDescent="0.85">
      <c r="A142" s="20">
        <v>1</v>
      </c>
      <c r="B142" s="66">
        <f>SUBTOTAL(103,$A$22:A142)</f>
        <v>120</v>
      </c>
      <c r="C142" s="24" t="s">
        <v>460</v>
      </c>
      <c r="D142" s="31">
        <f t="shared" si="17"/>
        <v>45369.9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74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f>ROUND(R142*1.5%,2)</f>
        <v>0</v>
      </c>
      <c r="AD142" s="204">
        <v>45369.9</v>
      </c>
      <c r="AE142" s="31">
        <v>0</v>
      </c>
      <c r="AF142" s="219">
        <v>2020</v>
      </c>
      <c r="AG142" s="219" t="s">
        <v>271</v>
      </c>
      <c r="AH142" s="219" t="s">
        <v>271</v>
      </c>
      <c r="AT142" s="20" t="e">
        <f t="shared" si="16"/>
        <v>#N/A</v>
      </c>
      <c r="BZ142" s="71"/>
      <c r="CD142" s="20" t="e">
        <f t="shared" si="13"/>
        <v>#N/A</v>
      </c>
      <c r="CE142" s="115" t="s">
        <v>1284</v>
      </c>
      <c r="CF142" s="115">
        <v>437.4</v>
      </c>
    </row>
    <row r="143" spans="1:84" ht="61.5" x14ac:dyDescent="0.85">
      <c r="A143" s="20">
        <v>1</v>
      </c>
      <c r="B143" s="66">
        <f>SUBTOTAL(103,$A$22:A143)</f>
        <v>121</v>
      </c>
      <c r="C143" s="24" t="s">
        <v>1151</v>
      </c>
      <c r="D143" s="31">
        <f t="shared" si="17"/>
        <v>2879103.97</v>
      </c>
      <c r="E143" s="31">
        <v>0</v>
      </c>
      <c r="F143" s="31">
        <v>0</v>
      </c>
      <c r="G143" s="204">
        <v>1294699.6299999999</v>
      </c>
      <c r="H143" s="31">
        <v>0</v>
      </c>
      <c r="I143" s="204">
        <v>1564983.85</v>
      </c>
      <c r="J143" s="31">
        <v>0</v>
      </c>
      <c r="K143" s="74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f>ROUND((G143)*1.5%,2)</f>
        <v>19420.490000000002</v>
      </c>
      <c r="AD143" s="31">
        <v>0</v>
      </c>
      <c r="AE143" s="31">
        <v>0</v>
      </c>
      <c r="AF143" s="219" t="s">
        <v>271</v>
      </c>
      <c r="AG143" s="219">
        <v>2020</v>
      </c>
      <c r="AH143" s="220">
        <v>2020</v>
      </c>
      <c r="BZ143" s="71"/>
      <c r="CD143" s="20" t="e">
        <f t="shared" si="13"/>
        <v>#N/A</v>
      </c>
      <c r="CE143" s="115" t="s">
        <v>1285</v>
      </c>
      <c r="CF143" s="115">
        <v>408</v>
      </c>
    </row>
    <row r="144" spans="1:84" ht="61.5" x14ac:dyDescent="0.85">
      <c r="A144" s="20">
        <v>1</v>
      </c>
      <c r="B144" s="66">
        <f>SUBTOTAL(103,$A$22:A144)</f>
        <v>122</v>
      </c>
      <c r="C144" s="24" t="s">
        <v>1152</v>
      </c>
      <c r="D144" s="31">
        <f t="shared" si="17"/>
        <v>1093205.01</v>
      </c>
      <c r="E144" s="31">
        <v>0</v>
      </c>
      <c r="F144" s="31">
        <v>0</v>
      </c>
      <c r="G144" s="181">
        <v>0</v>
      </c>
      <c r="H144" s="31">
        <v>0</v>
      </c>
      <c r="I144" s="31">
        <v>1077049.27</v>
      </c>
      <c r="J144" s="31">
        <v>0</v>
      </c>
      <c r="K144" s="74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f>ROUND((E144+F144+G144+H144+I144+J144)*1.5%,2)</f>
        <v>16155.74</v>
      </c>
      <c r="AD144" s="31">
        <v>0</v>
      </c>
      <c r="AE144" s="31">
        <v>0</v>
      </c>
      <c r="AF144" s="219" t="s">
        <v>271</v>
      </c>
      <c r="AG144" s="219">
        <v>2020</v>
      </c>
      <c r="AH144" s="220">
        <v>2020</v>
      </c>
      <c r="BZ144" s="71"/>
      <c r="CD144" s="20" t="e">
        <f t="shared" si="13"/>
        <v>#N/A</v>
      </c>
      <c r="CE144" s="115" t="s">
        <v>189</v>
      </c>
      <c r="CF144" s="115">
        <v>1028.5999999999999</v>
      </c>
    </row>
    <row r="145" spans="1:84" ht="61.5" x14ac:dyDescent="0.85">
      <c r="A145" s="20">
        <v>1</v>
      </c>
      <c r="B145" s="66">
        <f>SUBTOTAL(103,$A$22:A145)</f>
        <v>123</v>
      </c>
      <c r="C145" s="24" t="s">
        <v>1153</v>
      </c>
      <c r="D145" s="31">
        <f t="shared" si="17"/>
        <v>2333192.16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74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741.84</v>
      </c>
      <c r="R145" s="207">
        <f>1798711.49+500000</f>
        <v>2298711.4900000002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f>ROUND(R145*1.5%,2)</f>
        <v>34480.67</v>
      </c>
      <c r="AD145" s="31">
        <v>0</v>
      </c>
      <c r="AE145" s="31">
        <v>0</v>
      </c>
      <c r="AF145" s="219" t="s">
        <v>271</v>
      </c>
      <c r="AG145" s="219">
        <v>2020</v>
      </c>
      <c r="AH145" s="220">
        <v>2020</v>
      </c>
      <c r="BZ145" s="71"/>
      <c r="CD145" s="20" t="e">
        <f t="shared" si="13"/>
        <v>#N/A</v>
      </c>
      <c r="CE145" s="115" t="s">
        <v>188</v>
      </c>
      <c r="CF145" s="115">
        <v>578.4</v>
      </c>
    </row>
    <row r="146" spans="1:84" ht="61.5" x14ac:dyDescent="0.85">
      <c r="A146" s="20">
        <v>1</v>
      </c>
      <c r="B146" s="66">
        <f>SUBTOTAL(103,$A$22:A146)</f>
        <v>124</v>
      </c>
      <c r="C146" s="24" t="s">
        <v>1154</v>
      </c>
      <c r="D146" s="31">
        <f t="shared" si="17"/>
        <v>1804069.72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74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215">
        <v>866.16</v>
      </c>
      <c r="R146" s="204">
        <v>1777408.59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f>ROUND(R146*1.5%,2)</f>
        <v>26661.13</v>
      </c>
      <c r="AD146" s="31">
        <v>0</v>
      </c>
      <c r="AE146" s="31">
        <v>0</v>
      </c>
      <c r="AF146" s="219" t="s">
        <v>271</v>
      </c>
      <c r="AG146" s="219">
        <v>2020</v>
      </c>
      <c r="AH146" s="220">
        <v>2020</v>
      </c>
      <c r="BZ146" s="71"/>
      <c r="CD146" s="20" t="e">
        <f t="shared" si="13"/>
        <v>#N/A</v>
      </c>
      <c r="CE146" s="115" t="s">
        <v>187</v>
      </c>
      <c r="CF146" s="115">
        <v>378</v>
      </c>
    </row>
    <row r="147" spans="1:84" ht="61.5" x14ac:dyDescent="0.85">
      <c r="A147" s="20">
        <v>1</v>
      </c>
      <c r="B147" s="66">
        <f>SUBTOTAL(103,$A$22:A147)</f>
        <v>125</v>
      </c>
      <c r="C147" s="24" t="s">
        <v>1155</v>
      </c>
      <c r="D147" s="31">
        <f t="shared" si="17"/>
        <v>122956.06</v>
      </c>
      <c r="E147" s="31">
        <v>0</v>
      </c>
      <c r="F147" s="31">
        <v>0</v>
      </c>
      <c r="G147" s="31">
        <v>0</v>
      </c>
      <c r="H147" s="31">
        <v>0</v>
      </c>
      <c r="I147" s="204">
        <v>121138.98</v>
      </c>
      <c r="J147" s="31">
        <v>0</v>
      </c>
      <c r="K147" s="74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f>ROUND((E147+F147+G147+H147+I147+J147)*1.5%,2)</f>
        <v>1817.08</v>
      </c>
      <c r="AD147" s="31">
        <v>0</v>
      </c>
      <c r="AE147" s="31">
        <v>0</v>
      </c>
      <c r="AF147" s="219" t="s">
        <v>271</v>
      </c>
      <c r="AG147" s="219">
        <v>2020</v>
      </c>
      <c r="AH147" s="220">
        <v>2020</v>
      </c>
      <c r="BZ147" s="71"/>
      <c r="CD147" s="20" t="e">
        <f t="shared" si="13"/>
        <v>#N/A</v>
      </c>
      <c r="CE147" s="115" t="s">
        <v>218</v>
      </c>
      <c r="CF147" s="115">
        <v>1057.07</v>
      </c>
    </row>
    <row r="148" spans="1:84" ht="61.5" x14ac:dyDescent="0.85">
      <c r="A148" s="20">
        <v>1</v>
      </c>
      <c r="B148" s="66">
        <f>SUBTOTAL(103,$A$22:A148)</f>
        <v>126</v>
      </c>
      <c r="C148" s="24" t="s">
        <v>1156</v>
      </c>
      <c r="D148" s="31">
        <f t="shared" si="17"/>
        <v>1865511.7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74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490</v>
      </c>
      <c r="R148" s="31">
        <f>1337942.56+500000</f>
        <v>1837942.56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f>ROUND(R148*1.5%,2)</f>
        <v>27569.14</v>
      </c>
      <c r="AD148" s="31">
        <v>0</v>
      </c>
      <c r="AE148" s="31">
        <v>0</v>
      </c>
      <c r="AF148" s="219" t="s">
        <v>271</v>
      </c>
      <c r="AG148" s="219">
        <v>2020</v>
      </c>
      <c r="AH148" s="220">
        <v>2020</v>
      </c>
      <c r="BZ148" s="71"/>
      <c r="CD148" s="20" t="e">
        <f t="shared" si="13"/>
        <v>#N/A</v>
      </c>
      <c r="CE148" s="115" t="s">
        <v>222</v>
      </c>
      <c r="CF148" s="115">
        <v>615.20000000000005</v>
      </c>
    </row>
    <row r="149" spans="1:84" ht="61.5" x14ac:dyDescent="0.85">
      <c r="A149" s="20">
        <v>1</v>
      </c>
      <c r="B149" s="66">
        <f>SUBTOTAL(103,$A$22:A149)</f>
        <v>127</v>
      </c>
      <c r="C149" s="24" t="s">
        <v>1157</v>
      </c>
      <c r="D149" s="31">
        <f t="shared" si="17"/>
        <v>294696.21999999997</v>
      </c>
      <c r="E149" s="204">
        <v>65413.4</v>
      </c>
      <c r="F149" s="31">
        <v>0</v>
      </c>
      <c r="G149" s="31">
        <v>0</v>
      </c>
      <c r="H149" s="204">
        <v>73602.460000000006</v>
      </c>
      <c r="I149" s="204">
        <v>151325.24</v>
      </c>
      <c r="J149" s="31">
        <v>0</v>
      </c>
      <c r="K149" s="74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f>ROUND((E149+F149+G149+H149+I149+J149)*1.5%,2)</f>
        <v>4355.12</v>
      </c>
      <c r="AD149" s="31">
        <v>0</v>
      </c>
      <c r="AE149" s="31">
        <v>0</v>
      </c>
      <c r="AF149" s="219" t="s">
        <v>271</v>
      </c>
      <c r="AG149" s="219">
        <v>2020</v>
      </c>
      <c r="AH149" s="220">
        <v>2020</v>
      </c>
      <c r="BZ149" s="71"/>
      <c r="CD149" s="20" t="e">
        <f t="shared" si="13"/>
        <v>#N/A</v>
      </c>
      <c r="CE149" s="115" t="s">
        <v>224</v>
      </c>
      <c r="CF149" s="115">
        <v>289.86</v>
      </c>
    </row>
    <row r="150" spans="1:84" ht="61.5" x14ac:dyDescent="0.85">
      <c r="A150" s="20">
        <v>1</v>
      </c>
      <c r="B150" s="66">
        <f>SUBTOTAL(103,$A$22:A150)</f>
        <v>128</v>
      </c>
      <c r="C150" s="24" t="s">
        <v>1158</v>
      </c>
      <c r="D150" s="31">
        <f t="shared" si="17"/>
        <v>1771786.28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74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215">
        <v>802.93</v>
      </c>
      <c r="R150" s="226">
        <v>1745602.25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f>ROUND(R150*1.5%,2)</f>
        <v>26184.03</v>
      </c>
      <c r="AD150" s="31">
        <v>0</v>
      </c>
      <c r="AE150" s="31">
        <v>0</v>
      </c>
      <c r="AF150" s="219" t="s">
        <v>271</v>
      </c>
      <c r="AG150" s="219">
        <v>2020</v>
      </c>
      <c r="AH150" s="220">
        <v>2020</v>
      </c>
      <c r="BZ150" s="71"/>
      <c r="CD150" s="20" t="e">
        <f t="shared" si="13"/>
        <v>#N/A</v>
      </c>
      <c r="CE150" s="115" t="s">
        <v>520</v>
      </c>
      <c r="CF150" s="115">
        <v>952</v>
      </c>
    </row>
    <row r="151" spans="1:84" ht="61.5" x14ac:dyDescent="0.85">
      <c r="A151" s="20">
        <v>1</v>
      </c>
      <c r="B151" s="66">
        <f>SUBTOTAL(103,$A$22:A151)</f>
        <v>129</v>
      </c>
      <c r="C151" s="24" t="s">
        <v>1159</v>
      </c>
      <c r="D151" s="31">
        <f t="shared" si="17"/>
        <v>1195321.73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74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205">
        <v>573.12</v>
      </c>
      <c r="R151" s="226">
        <v>1177656.8799999999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f>ROUND(R151*1.5%,2)</f>
        <v>17664.849999999999</v>
      </c>
      <c r="AD151" s="31">
        <v>0</v>
      </c>
      <c r="AE151" s="31">
        <v>0</v>
      </c>
      <c r="AF151" s="219" t="s">
        <v>271</v>
      </c>
      <c r="AG151" s="219">
        <v>2020</v>
      </c>
      <c r="AH151" s="220">
        <v>2020</v>
      </c>
      <c r="BZ151" s="71"/>
      <c r="CD151" s="20" t="e">
        <f t="shared" si="13"/>
        <v>#N/A</v>
      </c>
      <c r="CE151" s="115" t="s">
        <v>531</v>
      </c>
      <c r="CF151" s="115">
        <v>904</v>
      </c>
    </row>
    <row r="152" spans="1:84" ht="61.5" x14ac:dyDescent="0.85">
      <c r="A152" s="20">
        <v>1</v>
      </c>
      <c r="B152" s="66">
        <f>SUBTOTAL(103,$A$22:A152)</f>
        <v>130</v>
      </c>
      <c r="C152" s="24" t="s">
        <v>1161</v>
      </c>
      <c r="D152" s="31">
        <f t="shared" si="17"/>
        <v>5593558.4000000004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228">
        <v>4</v>
      </c>
      <c r="L152" s="204">
        <v>5593558.4000000004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219" t="s">
        <v>271</v>
      </c>
      <c r="AG152" s="219">
        <v>2020</v>
      </c>
      <c r="AH152" s="220" t="s">
        <v>271</v>
      </c>
      <c r="BZ152" s="71"/>
      <c r="CD152" s="20" t="e">
        <f t="shared" si="13"/>
        <v>#N/A</v>
      </c>
      <c r="CE152" s="115" t="s">
        <v>636</v>
      </c>
      <c r="CF152" s="115">
        <v>586.70000000000005</v>
      </c>
    </row>
    <row r="153" spans="1:84" ht="61.5" x14ac:dyDescent="0.85">
      <c r="A153" s="20">
        <v>1</v>
      </c>
      <c r="B153" s="66">
        <f>SUBTOTAL(103,$A$22:A153)</f>
        <v>131</v>
      </c>
      <c r="C153" s="24" t="s">
        <v>1162</v>
      </c>
      <c r="D153" s="31">
        <f t="shared" si="17"/>
        <v>1580499.5999999999</v>
      </c>
      <c r="E153" s="226">
        <v>167591.53</v>
      </c>
      <c r="F153" s="31">
        <v>0</v>
      </c>
      <c r="G153" s="31">
        <v>0</v>
      </c>
      <c r="H153" s="226">
        <v>140858.07999999999</v>
      </c>
      <c r="I153" s="31">
        <v>1248692.8500000001</v>
      </c>
      <c r="J153" s="31">
        <v>0</v>
      </c>
      <c r="K153" s="74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f>ROUND((E153+F153+G153+H153+I153+J153)*1.5%,2)</f>
        <v>23357.14</v>
      </c>
      <c r="AD153" s="31">
        <v>0</v>
      </c>
      <c r="AE153" s="31">
        <v>0</v>
      </c>
      <c r="AF153" s="219" t="s">
        <v>271</v>
      </c>
      <c r="AG153" s="219">
        <v>2020</v>
      </c>
      <c r="AH153" s="220">
        <v>2020</v>
      </c>
      <c r="BZ153" s="71"/>
      <c r="CD153" s="20" t="e">
        <f t="shared" si="13"/>
        <v>#N/A</v>
      </c>
      <c r="CE153" s="115" t="s">
        <v>637</v>
      </c>
      <c r="CF153" s="115">
        <v>384.56</v>
      </c>
    </row>
    <row r="154" spans="1:84" ht="61.5" x14ac:dyDescent="0.85">
      <c r="A154" s="20">
        <v>1</v>
      </c>
      <c r="B154" s="66">
        <f>SUBTOTAL(103,$A$22:A154)</f>
        <v>132</v>
      </c>
      <c r="C154" s="24" t="s">
        <v>1163</v>
      </c>
      <c r="D154" s="31">
        <f t="shared" si="17"/>
        <v>3155480.78</v>
      </c>
      <c r="E154" s="204">
        <v>159966.85999999999</v>
      </c>
      <c r="F154" s="204">
        <v>287233.21999999997</v>
      </c>
      <c r="G154" s="227">
        <f>1318014.22+200000</f>
        <v>1518014.22</v>
      </c>
      <c r="H154" s="204">
        <v>144939.76999999999</v>
      </c>
      <c r="I154" s="31">
        <v>998693.99</v>
      </c>
      <c r="J154" s="31">
        <v>0</v>
      </c>
      <c r="K154" s="74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f>ROUND((E154+F154+G154+H154+I154+J154)*1.5%,2)</f>
        <v>46632.72</v>
      </c>
      <c r="AD154" s="31">
        <v>0</v>
      </c>
      <c r="AE154" s="31">
        <v>0</v>
      </c>
      <c r="AF154" s="219" t="s">
        <v>271</v>
      </c>
      <c r="AG154" s="219">
        <v>2020</v>
      </c>
      <c r="AH154" s="220">
        <v>2020</v>
      </c>
      <c r="BZ154" s="71"/>
      <c r="CD154" s="20" t="e">
        <f t="shared" si="13"/>
        <v>#N/A</v>
      </c>
      <c r="CE154" s="115" t="s">
        <v>1299</v>
      </c>
      <c r="CF154" s="115">
        <v>500</v>
      </c>
    </row>
    <row r="155" spans="1:84" ht="61.5" x14ac:dyDescent="0.85">
      <c r="A155" s="20">
        <v>1</v>
      </c>
      <c r="B155" s="66">
        <f>SUBTOTAL(103,$A$22:A155)</f>
        <v>133</v>
      </c>
      <c r="C155" s="24" t="s">
        <v>1164</v>
      </c>
      <c r="D155" s="31">
        <f t="shared" si="17"/>
        <v>288295.91000000003</v>
      </c>
      <c r="E155" s="31">
        <v>0</v>
      </c>
      <c r="F155" s="31">
        <v>0</v>
      </c>
      <c r="G155" s="31">
        <v>0</v>
      </c>
      <c r="H155" s="226">
        <v>284035.38</v>
      </c>
      <c r="I155" s="31">
        <v>0</v>
      </c>
      <c r="J155" s="31">
        <v>0</v>
      </c>
      <c r="K155" s="74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f>ROUND((E155+F155+G155+H155+I155+J155)*1.5%,2)</f>
        <v>4260.53</v>
      </c>
      <c r="AD155" s="31">
        <v>0</v>
      </c>
      <c r="AE155" s="31">
        <v>0</v>
      </c>
      <c r="AF155" s="219" t="s">
        <v>271</v>
      </c>
      <c r="AG155" s="219">
        <v>2020</v>
      </c>
      <c r="AH155" s="220">
        <v>2020</v>
      </c>
      <c r="BZ155" s="71"/>
      <c r="CD155" s="20" t="e">
        <f t="shared" si="13"/>
        <v>#N/A</v>
      </c>
      <c r="CE155" s="115" t="s">
        <v>1125</v>
      </c>
      <c r="CF155" s="115">
        <v>946</v>
      </c>
    </row>
    <row r="156" spans="1:84" ht="61.5" x14ac:dyDescent="0.85">
      <c r="A156" s="20">
        <v>1</v>
      </c>
      <c r="B156" s="66">
        <f>SUBTOTAL(103,$A$22:A156)</f>
        <v>134</v>
      </c>
      <c r="C156" s="24" t="s">
        <v>1165</v>
      </c>
      <c r="D156" s="31">
        <f t="shared" si="17"/>
        <v>2438149.1599999997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74">
        <v>0</v>
      </c>
      <c r="L156" s="31">
        <v>0</v>
      </c>
      <c r="M156" s="215">
        <v>619</v>
      </c>
      <c r="N156" s="204">
        <v>2350957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f>ROUND(N156*1.5%,2)</f>
        <v>35264.36</v>
      </c>
      <c r="AD156" s="204">
        <v>51927.8</v>
      </c>
      <c r="AE156" s="31">
        <v>0</v>
      </c>
      <c r="AF156" s="219">
        <v>2020</v>
      </c>
      <c r="AG156" s="219">
        <v>2020</v>
      </c>
      <c r="AH156" s="220">
        <v>2020</v>
      </c>
      <c r="BZ156" s="71"/>
      <c r="CD156" s="20">
        <f t="shared" si="13"/>
        <v>633.34</v>
      </c>
      <c r="CE156" s="115" t="s">
        <v>1126</v>
      </c>
      <c r="CF156" s="115">
        <v>365.5</v>
      </c>
    </row>
    <row r="157" spans="1:84" ht="61.5" x14ac:dyDescent="0.85">
      <c r="A157" s="20">
        <v>1</v>
      </c>
      <c r="B157" s="66">
        <f>SUBTOTAL(103,$A$22:A157)</f>
        <v>135</v>
      </c>
      <c r="C157" s="24" t="s">
        <v>1301</v>
      </c>
      <c r="D157" s="31">
        <f t="shared" si="17"/>
        <v>5623327.0800000001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74">
        <v>0</v>
      </c>
      <c r="L157" s="31">
        <v>0</v>
      </c>
      <c r="M157" s="215">
        <v>1496.78</v>
      </c>
      <c r="N157" s="204">
        <v>5587289.0700000003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204">
        <v>36038.01</v>
      </c>
      <c r="AD157" s="31">
        <v>0</v>
      </c>
      <c r="AE157" s="31">
        <v>0</v>
      </c>
      <c r="AF157" s="219" t="s">
        <v>271</v>
      </c>
      <c r="AG157" s="219">
        <v>2020</v>
      </c>
      <c r="AH157" s="220">
        <v>2020</v>
      </c>
      <c r="BZ157" s="71"/>
      <c r="CD157" s="20">
        <f t="shared" si="13"/>
        <v>1674.7</v>
      </c>
      <c r="CE157" s="115" t="s">
        <v>1127</v>
      </c>
      <c r="CF157" s="115">
        <v>365.5</v>
      </c>
    </row>
    <row r="158" spans="1:84" ht="61.5" x14ac:dyDescent="0.85">
      <c r="A158" s="20">
        <v>1</v>
      </c>
      <c r="B158" s="66">
        <f>SUBTOTAL(103,$A$22:A158)</f>
        <v>136</v>
      </c>
      <c r="C158" s="24" t="s">
        <v>468</v>
      </c>
      <c r="D158" s="31">
        <f t="shared" si="17"/>
        <v>4291269.42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74">
        <v>0</v>
      </c>
      <c r="L158" s="31">
        <v>0</v>
      </c>
      <c r="M158" s="210">
        <v>625.1</v>
      </c>
      <c r="N158" s="31">
        <v>4176060.83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f>ROUND(N158*1.5%,2)</f>
        <v>62640.91</v>
      </c>
      <c r="AD158" s="204">
        <v>52567.68</v>
      </c>
      <c r="AE158" s="31">
        <v>0</v>
      </c>
      <c r="AF158" s="219">
        <v>2020</v>
      </c>
      <c r="AG158" s="219">
        <v>2020</v>
      </c>
      <c r="AH158" s="220">
        <v>2020</v>
      </c>
      <c r="BZ158" s="71"/>
      <c r="CD158" s="20" t="e">
        <f t="shared" si="13"/>
        <v>#N/A</v>
      </c>
      <c r="CE158" s="115" t="s">
        <v>448</v>
      </c>
      <c r="CF158" s="115">
        <v>598</v>
      </c>
    </row>
    <row r="159" spans="1:84" ht="61.5" x14ac:dyDescent="0.85">
      <c r="A159" s="20">
        <v>1</v>
      </c>
      <c r="B159" s="66">
        <f>SUBTOTAL(103,$A$22:A159)</f>
        <v>137</v>
      </c>
      <c r="C159" s="24" t="s">
        <v>1302</v>
      </c>
      <c r="D159" s="31">
        <f t="shared" si="17"/>
        <v>2983424.5999999996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74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207">
        <v>718.9</v>
      </c>
      <c r="R159" s="31">
        <v>2879106.6399999997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f>ROUND(R159*1.5%,2)</f>
        <v>43186.6</v>
      </c>
      <c r="AD159" s="204">
        <v>61131.360000000001</v>
      </c>
      <c r="AE159" s="31">
        <v>0</v>
      </c>
      <c r="AF159" s="219">
        <v>2020</v>
      </c>
      <c r="AG159" s="219">
        <v>2020</v>
      </c>
      <c r="AH159" s="220">
        <v>2020</v>
      </c>
      <c r="BZ159" s="71"/>
      <c r="CD159" s="20" t="e">
        <f t="shared" si="13"/>
        <v>#N/A</v>
      </c>
      <c r="CE159" s="115" t="s">
        <v>633</v>
      </c>
      <c r="CF159" s="115">
        <v>486.27</v>
      </c>
    </row>
    <row r="160" spans="1:84" ht="61.5" x14ac:dyDescent="0.85">
      <c r="A160" s="20">
        <v>1</v>
      </c>
      <c r="B160" s="66">
        <f>SUBTOTAL(103,$A$22:A160)</f>
        <v>138</v>
      </c>
      <c r="C160" s="24" t="s">
        <v>1578</v>
      </c>
      <c r="D160" s="31">
        <f t="shared" si="17"/>
        <v>3147456.93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74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208">
        <v>634.6</v>
      </c>
      <c r="R160" s="31">
        <f>2776416.62+200000</f>
        <v>2976416.62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f>ROUND(R160*1.5%,2)</f>
        <v>44646.25</v>
      </c>
      <c r="AD160" s="31">
        <f>120000+6394.06</f>
        <v>126394.06</v>
      </c>
      <c r="AE160" s="31">
        <v>0</v>
      </c>
      <c r="AF160" s="219">
        <v>2020</v>
      </c>
      <c r="AG160" s="219">
        <v>2020</v>
      </c>
      <c r="AH160" s="220">
        <v>2020</v>
      </c>
      <c r="BZ160" s="71"/>
      <c r="CD160" s="20" t="e">
        <f t="shared" si="13"/>
        <v>#N/A</v>
      </c>
      <c r="CE160" s="115" t="s">
        <v>116</v>
      </c>
      <c r="CF160" s="115">
        <v>1151</v>
      </c>
    </row>
    <row r="161" spans="1:84" ht="61.5" x14ac:dyDescent="0.85">
      <c r="B161" s="24" t="s">
        <v>770</v>
      </c>
      <c r="C161" s="114"/>
      <c r="D161" s="31">
        <f t="shared" ref="D161:AE161" si="19">SUM(D162:D202)</f>
        <v>116895934.09999999</v>
      </c>
      <c r="E161" s="31">
        <f t="shared" si="19"/>
        <v>537820.74</v>
      </c>
      <c r="F161" s="31">
        <f t="shared" si="19"/>
        <v>609470</v>
      </c>
      <c r="G161" s="31">
        <f t="shared" si="19"/>
        <v>12056554.870000001</v>
      </c>
      <c r="H161" s="31">
        <f t="shared" si="19"/>
        <v>253223.24</v>
      </c>
      <c r="I161" s="31">
        <f t="shared" si="19"/>
        <v>915826.1100000001</v>
      </c>
      <c r="J161" s="31">
        <f t="shared" si="19"/>
        <v>0</v>
      </c>
      <c r="K161" s="33">
        <f t="shared" si="19"/>
        <v>17</v>
      </c>
      <c r="L161" s="31">
        <f t="shared" si="19"/>
        <v>26917414.949999996</v>
      </c>
      <c r="M161" s="31">
        <f t="shared" si="19"/>
        <v>16518.43</v>
      </c>
      <c r="N161" s="31">
        <f t="shared" si="19"/>
        <v>69089645.329999998</v>
      </c>
      <c r="O161" s="31">
        <f t="shared" si="19"/>
        <v>725.5</v>
      </c>
      <c r="P161" s="31">
        <f t="shared" si="19"/>
        <v>2835629.57</v>
      </c>
      <c r="Q161" s="31">
        <f t="shared" si="19"/>
        <v>0</v>
      </c>
      <c r="R161" s="31">
        <f t="shared" si="19"/>
        <v>0</v>
      </c>
      <c r="S161" s="31">
        <f t="shared" si="19"/>
        <v>19.07</v>
      </c>
      <c r="T161" s="31">
        <f t="shared" si="19"/>
        <v>210458.31</v>
      </c>
      <c r="U161" s="31">
        <f t="shared" si="19"/>
        <v>0</v>
      </c>
      <c r="V161" s="31">
        <f t="shared" si="19"/>
        <v>0</v>
      </c>
      <c r="W161" s="31">
        <f t="shared" si="19"/>
        <v>0</v>
      </c>
      <c r="X161" s="31">
        <f t="shared" si="19"/>
        <v>0</v>
      </c>
      <c r="Y161" s="31">
        <f t="shared" si="19"/>
        <v>0</v>
      </c>
      <c r="Z161" s="31">
        <f t="shared" si="19"/>
        <v>0</v>
      </c>
      <c r="AA161" s="31">
        <f t="shared" si="19"/>
        <v>0</v>
      </c>
      <c r="AB161" s="31">
        <f t="shared" si="19"/>
        <v>0</v>
      </c>
      <c r="AC161" s="31">
        <f t="shared" si="19"/>
        <v>960562.27</v>
      </c>
      <c r="AD161" s="31">
        <f t="shared" si="19"/>
        <v>2509328.709999999</v>
      </c>
      <c r="AE161" s="31">
        <f t="shared" si="19"/>
        <v>0</v>
      </c>
      <c r="AF161" s="221" t="s">
        <v>764</v>
      </c>
      <c r="AG161" s="221" t="s">
        <v>764</v>
      </c>
      <c r="AH161" s="222" t="s">
        <v>764</v>
      </c>
      <c r="AT161" s="20" t="e">
        <f t="shared" ref="AT161:AT177" si="20">VLOOKUP(C161,AW:AX,2,FALSE)</f>
        <v>#N/A</v>
      </c>
      <c r="BZ161" s="31">
        <v>157621357.26999998</v>
      </c>
      <c r="CA161" s="31"/>
      <c r="CB161" s="31">
        <f>BZ161-D161</f>
        <v>40725423.169999987</v>
      </c>
      <c r="CD161" s="20" t="e">
        <f t="shared" si="13"/>
        <v>#N/A</v>
      </c>
      <c r="CE161" s="115" t="s">
        <v>169</v>
      </c>
      <c r="CF161" s="115">
        <v>336.14</v>
      </c>
    </row>
    <row r="162" spans="1:84" ht="61.5" x14ac:dyDescent="0.85">
      <c r="A162" s="20">
        <v>1</v>
      </c>
      <c r="B162" s="66">
        <f>SUBTOTAL(103,$A$22:A162)</f>
        <v>139</v>
      </c>
      <c r="C162" s="24" t="s">
        <v>392</v>
      </c>
      <c r="D162" s="31">
        <f t="shared" ref="D162:D199" si="21">E162+F162+G162+H162+I162+J162+L162+N162+P162+R162+T162+U162+V162+W162+X162+Y162+Z162+AA162+AB162+AC162+AD162+AE162</f>
        <v>2649277.08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3">
        <v>0</v>
      </c>
      <c r="L162" s="31">
        <v>0</v>
      </c>
      <c r="M162" s="215">
        <v>1108.98</v>
      </c>
      <c r="N162" s="204">
        <v>2492694.84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156582.24</v>
      </c>
      <c r="AE162" s="31">
        <v>0</v>
      </c>
      <c r="AF162" s="219">
        <v>2020</v>
      </c>
      <c r="AG162" s="219">
        <v>2020</v>
      </c>
      <c r="AH162" s="220" t="s">
        <v>271</v>
      </c>
      <c r="AT162" s="20" t="e">
        <f t="shared" si="20"/>
        <v>#N/A</v>
      </c>
      <c r="BZ162" s="71"/>
      <c r="CD162" s="20">
        <f t="shared" si="13"/>
        <v>1108.98</v>
      </c>
      <c r="CE162" s="115" t="s">
        <v>1254</v>
      </c>
      <c r="CF162" s="115">
        <v>335</v>
      </c>
    </row>
    <row r="163" spans="1:84" ht="61.5" x14ac:dyDescent="0.85">
      <c r="A163" s="20">
        <v>1</v>
      </c>
      <c r="B163" s="66">
        <f>SUBTOTAL(103,$A$22:A163)</f>
        <v>140</v>
      </c>
      <c r="C163" s="24" t="s">
        <v>393</v>
      </c>
      <c r="D163" s="31">
        <f t="shared" si="21"/>
        <v>2624505.91</v>
      </c>
      <c r="E163" s="204">
        <v>358075</v>
      </c>
      <c r="F163" s="204">
        <v>609470</v>
      </c>
      <c r="G163" s="204">
        <v>1447301</v>
      </c>
      <c r="H163" s="31">
        <v>0</v>
      </c>
      <c r="I163" s="31">
        <v>0</v>
      </c>
      <c r="J163" s="31">
        <v>0</v>
      </c>
      <c r="K163" s="33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f>ROUND((E163+F163+G163+H163+I163+J163)*1.5%,2)</f>
        <v>36222.69</v>
      </c>
      <c r="AD163" s="31">
        <v>173437.22</v>
      </c>
      <c r="AE163" s="31">
        <v>0</v>
      </c>
      <c r="AF163" s="219">
        <v>2020</v>
      </c>
      <c r="AG163" s="219">
        <v>2020</v>
      </c>
      <c r="AH163" s="220">
        <v>2020</v>
      </c>
      <c r="AT163" s="20" t="e">
        <f t="shared" si="20"/>
        <v>#N/A</v>
      </c>
      <c r="BZ163" s="71"/>
      <c r="CD163" s="20" t="e">
        <f t="shared" si="13"/>
        <v>#N/A</v>
      </c>
      <c r="CE163" s="115" t="s">
        <v>1260</v>
      </c>
      <c r="CF163" s="115">
        <v>678.5</v>
      </c>
    </row>
    <row r="164" spans="1:84" ht="61.5" x14ac:dyDescent="0.85">
      <c r="A164" s="20">
        <v>1</v>
      </c>
      <c r="B164" s="66">
        <f>SUBTOTAL(103,$A$22:A164)</f>
        <v>141</v>
      </c>
      <c r="C164" s="24" t="s">
        <v>394</v>
      </c>
      <c r="D164" s="31">
        <f t="shared" si="21"/>
        <v>3188621.1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3">
        <v>0</v>
      </c>
      <c r="L164" s="31">
        <v>0</v>
      </c>
      <c r="M164" s="215">
        <v>600</v>
      </c>
      <c r="N164" s="204">
        <v>3110660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77961.100000000006</v>
      </c>
      <c r="AE164" s="31">
        <v>0</v>
      </c>
      <c r="AF164" s="219">
        <v>2020</v>
      </c>
      <c r="AG164" s="219">
        <v>2020</v>
      </c>
      <c r="AH164" s="220" t="s">
        <v>271</v>
      </c>
      <c r="AT164" s="20" t="e">
        <f t="shared" si="20"/>
        <v>#N/A</v>
      </c>
      <c r="BZ164" s="71"/>
      <c r="CD164" s="20">
        <f t="shared" si="13"/>
        <v>600</v>
      </c>
      <c r="CE164" s="115" t="s">
        <v>1133</v>
      </c>
      <c r="CF164" s="115">
        <v>453.4</v>
      </c>
    </row>
    <row r="165" spans="1:84" ht="61.5" x14ac:dyDescent="0.85">
      <c r="A165" s="20">
        <v>1</v>
      </c>
      <c r="B165" s="66">
        <f>SUBTOTAL(103,$A$22:A165)</f>
        <v>142</v>
      </c>
      <c r="C165" s="24" t="s">
        <v>395</v>
      </c>
      <c r="D165" s="31">
        <f t="shared" si="21"/>
        <v>5265781.6800000006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3">
        <v>0</v>
      </c>
      <c r="L165" s="31">
        <v>0</v>
      </c>
      <c r="M165" s="215">
        <v>1093</v>
      </c>
      <c r="N165" s="226">
        <v>5109413.2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209">
        <v>24141.98</v>
      </c>
      <c r="AD165" s="31">
        <v>132226.5</v>
      </c>
      <c r="AE165" s="31">
        <v>0</v>
      </c>
      <c r="AF165" s="219">
        <v>2020</v>
      </c>
      <c r="AG165" s="219">
        <v>2020</v>
      </c>
      <c r="AH165" s="220">
        <v>2020</v>
      </c>
      <c r="AT165" s="20" t="e">
        <f t="shared" si="20"/>
        <v>#N/A</v>
      </c>
      <c r="BZ165" s="71"/>
      <c r="CD165" s="20" t="e">
        <f t="shared" si="13"/>
        <v>#N/A</v>
      </c>
      <c r="CE165" s="115" t="s">
        <v>1268</v>
      </c>
      <c r="CF165" s="115">
        <v>511.8</v>
      </c>
    </row>
    <row r="166" spans="1:84" ht="61.5" x14ac:dyDescent="0.85">
      <c r="A166" s="20">
        <v>1</v>
      </c>
      <c r="B166" s="66">
        <f>SUBTOTAL(103,$A$22:A166)</f>
        <v>143</v>
      </c>
      <c r="C166" s="24" t="s">
        <v>396</v>
      </c>
      <c r="D166" s="31">
        <f t="shared" si="21"/>
        <v>4707897.5999999996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3">
        <v>0</v>
      </c>
      <c r="L166" s="31">
        <v>0</v>
      </c>
      <c r="M166" s="31">
        <v>976</v>
      </c>
      <c r="N166" s="206">
        <v>4506717.16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f>ROUND(N166*1.5%,2)</f>
        <v>67600.759999999995</v>
      </c>
      <c r="AD166" s="31">
        <v>133579.68</v>
      </c>
      <c r="AE166" s="31">
        <v>0</v>
      </c>
      <c r="AF166" s="219">
        <v>2020</v>
      </c>
      <c r="AG166" s="219">
        <v>2020</v>
      </c>
      <c r="AH166" s="220">
        <v>2020</v>
      </c>
      <c r="AT166" s="20" t="e">
        <f t="shared" si="20"/>
        <v>#N/A</v>
      </c>
      <c r="BZ166" s="71"/>
      <c r="CD166" s="20" t="e">
        <f t="shared" si="13"/>
        <v>#N/A</v>
      </c>
      <c r="CE166" s="115" t="s">
        <v>1143</v>
      </c>
      <c r="CF166" s="115">
        <v>556.6</v>
      </c>
    </row>
    <row r="167" spans="1:84" ht="61.5" x14ac:dyDescent="0.85">
      <c r="A167" s="20">
        <v>1</v>
      </c>
      <c r="B167" s="66">
        <f>SUBTOTAL(103,$A$22:A167)</f>
        <v>144</v>
      </c>
      <c r="C167" s="24" t="s">
        <v>397</v>
      </c>
      <c r="D167" s="31">
        <f t="shared" si="21"/>
        <v>4873547.67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228">
        <v>3</v>
      </c>
      <c r="L167" s="204">
        <v>4873547.67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219" t="s">
        <v>271</v>
      </c>
      <c r="AG167" s="219">
        <v>2020</v>
      </c>
      <c r="AH167" s="220" t="s">
        <v>271</v>
      </c>
      <c r="AT167" s="20">
        <f t="shared" si="20"/>
        <v>1</v>
      </c>
      <c r="BZ167" s="71"/>
      <c r="CD167" s="20" t="e">
        <f t="shared" si="13"/>
        <v>#N/A</v>
      </c>
      <c r="CE167" s="115" t="s">
        <v>1566</v>
      </c>
      <c r="CF167" s="115">
        <v>466.12</v>
      </c>
    </row>
    <row r="168" spans="1:84" ht="61.5" x14ac:dyDescent="0.85">
      <c r="A168" s="20">
        <v>1</v>
      </c>
      <c r="B168" s="66">
        <f>SUBTOTAL(103,$A$22:A168)</f>
        <v>145</v>
      </c>
      <c r="C168" s="24" t="s">
        <v>398</v>
      </c>
      <c r="D168" s="31">
        <f t="shared" si="21"/>
        <v>2215482.85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3">
        <v>0</v>
      </c>
      <c r="L168" s="31">
        <v>0</v>
      </c>
      <c r="M168" s="215">
        <v>443.8</v>
      </c>
      <c r="N168" s="204">
        <v>2215482.85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219" t="s">
        <v>271</v>
      </c>
      <c r="AG168" s="219">
        <v>2020</v>
      </c>
      <c r="AH168" s="220" t="s">
        <v>271</v>
      </c>
      <c r="AT168" s="20" t="e">
        <f t="shared" si="20"/>
        <v>#N/A</v>
      </c>
      <c r="BZ168" s="71"/>
      <c r="CD168" s="20">
        <f t="shared" si="13"/>
        <v>443.8</v>
      </c>
      <c r="CE168" s="115" t="s">
        <v>1562</v>
      </c>
      <c r="CF168" s="115">
        <v>859</v>
      </c>
    </row>
    <row r="169" spans="1:84" ht="61.5" x14ac:dyDescent="0.85">
      <c r="A169" s="20">
        <v>1</v>
      </c>
      <c r="B169" s="66">
        <f>SUBTOTAL(103,$A$22:A169)</f>
        <v>146</v>
      </c>
      <c r="C169" s="24" t="s">
        <v>399</v>
      </c>
      <c r="D169" s="31">
        <f t="shared" si="21"/>
        <v>4885396.4400000004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228">
        <v>3</v>
      </c>
      <c r="L169" s="204">
        <v>4885396.4400000004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219" t="s">
        <v>271</v>
      </c>
      <c r="AG169" s="219">
        <v>2020</v>
      </c>
      <c r="AH169" s="220" t="s">
        <v>271</v>
      </c>
      <c r="AT169" s="20" t="e">
        <f t="shared" si="20"/>
        <v>#N/A</v>
      </c>
      <c r="BZ169" s="71"/>
      <c r="CD169" s="20" t="e">
        <f t="shared" si="13"/>
        <v>#N/A</v>
      </c>
      <c r="CE169" s="115" t="s">
        <v>1561</v>
      </c>
      <c r="CF169" s="115">
        <v>1028.5</v>
      </c>
    </row>
    <row r="170" spans="1:84" ht="61.5" x14ac:dyDescent="0.85">
      <c r="A170" s="20">
        <v>1</v>
      </c>
      <c r="B170" s="66">
        <f>SUBTOTAL(103,$A$22:A170)</f>
        <v>147</v>
      </c>
      <c r="C170" s="24" t="s">
        <v>400</v>
      </c>
      <c r="D170" s="31">
        <f t="shared" si="21"/>
        <v>7963246.8599999994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3">
        <v>0</v>
      </c>
      <c r="L170" s="31">
        <v>0</v>
      </c>
      <c r="M170" s="268">
        <v>1503.05</v>
      </c>
      <c r="N170" s="269">
        <v>7687845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f>ROUND(N170*1.5%,2)</f>
        <v>115317.68</v>
      </c>
      <c r="AD170" s="31">
        <v>160084.18</v>
      </c>
      <c r="AE170" s="31">
        <v>0</v>
      </c>
      <c r="AF170" s="219">
        <v>2020</v>
      </c>
      <c r="AG170" s="219">
        <v>2020</v>
      </c>
      <c r="AH170" s="220">
        <v>2020</v>
      </c>
      <c r="AT170" s="20" t="e">
        <f t="shared" si="20"/>
        <v>#N/A</v>
      </c>
      <c r="BZ170" s="71"/>
      <c r="CD170" s="20" t="e">
        <f t="shared" si="13"/>
        <v>#N/A</v>
      </c>
      <c r="CE170" s="115" t="s">
        <v>392</v>
      </c>
      <c r="CF170" s="115">
        <v>1108.98</v>
      </c>
    </row>
    <row r="171" spans="1:84" ht="61.5" x14ac:dyDescent="0.85">
      <c r="A171" s="20">
        <v>1</v>
      </c>
      <c r="B171" s="66">
        <f>SUBTOTAL(103,$A$22:A171)</f>
        <v>148</v>
      </c>
      <c r="C171" s="24" t="s">
        <v>401</v>
      </c>
      <c r="D171" s="31">
        <f t="shared" si="21"/>
        <v>2936954.38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3">
        <v>0</v>
      </c>
      <c r="L171" s="31">
        <v>0</v>
      </c>
      <c r="M171" s="268">
        <v>935.22</v>
      </c>
      <c r="N171" s="270">
        <v>2738778.69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f>ROUND(N171*1.5%,2)</f>
        <v>41081.68</v>
      </c>
      <c r="AD171" s="31">
        <v>157094.01</v>
      </c>
      <c r="AE171" s="31">
        <v>0</v>
      </c>
      <c r="AF171" s="219">
        <v>2020</v>
      </c>
      <c r="AG171" s="219">
        <v>2020</v>
      </c>
      <c r="AH171" s="220">
        <v>2020</v>
      </c>
      <c r="AT171" s="20" t="e">
        <f t="shared" si="20"/>
        <v>#N/A</v>
      </c>
      <c r="BZ171" s="71"/>
      <c r="CD171" s="20" t="e">
        <f t="shared" si="13"/>
        <v>#N/A</v>
      </c>
      <c r="CE171" s="115" t="s">
        <v>394</v>
      </c>
      <c r="CF171" s="115">
        <v>600</v>
      </c>
    </row>
    <row r="172" spans="1:84" ht="61.5" x14ac:dyDescent="0.85">
      <c r="A172" s="20">
        <v>1</v>
      </c>
      <c r="B172" s="66">
        <f>SUBTOTAL(103,$A$22:A172)</f>
        <v>149</v>
      </c>
      <c r="C172" s="24" t="s">
        <v>402</v>
      </c>
      <c r="D172" s="31">
        <f t="shared" si="21"/>
        <v>2189551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3">
        <v>0</v>
      </c>
      <c r="L172" s="31">
        <v>0</v>
      </c>
      <c r="M172" s="268">
        <v>473</v>
      </c>
      <c r="N172" s="269">
        <v>2189551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219" t="s">
        <v>271</v>
      </c>
      <c r="AG172" s="219">
        <v>2020</v>
      </c>
      <c r="AH172" s="220" t="s">
        <v>271</v>
      </c>
      <c r="AT172" s="20" t="e">
        <f t="shared" si="20"/>
        <v>#N/A</v>
      </c>
      <c r="BZ172" s="71"/>
      <c r="CD172" s="20">
        <f t="shared" si="13"/>
        <v>473</v>
      </c>
      <c r="CE172" s="115" t="s">
        <v>398</v>
      </c>
      <c r="CF172" s="115">
        <v>443.8</v>
      </c>
    </row>
    <row r="173" spans="1:84" ht="61.5" x14ac:dyDescent="0.85">
      <c r="A173" s="20">
        <v>1</v>
      </c>
      <c r="B173" s="66">
        <f>SUBTOTAL(103,$A$22:A173)</f>
        <v>150</v>
      </c>
      <c r="C173" s="24" t="s">
        <v>403</v>
      </c>
      <c r="D173" s="31">
        <f t="shared" si="21"/>
        <v>2855710.47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3">
        <v>0</v>
      </c>
      <c r="L173" s="31">
        <v>0</v>
      </c>
      <c r="M173" s="268">
        <v>550</v>
      </c>
      <c r="N173" s="269">
        <v>2777462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78248.47</v>
      </c>
      <c r="AE173" s="31">
        <v>0</v>
      </c>
      <c r="AF173" s="219">
        <v>2020</v>
      </c>
      <c r="AG173" s="219">
        <v>2020</v>
      </c>
      <c r="AH173" s="220" t="s">
        <v>271</v>
      </c>
      <c r="AT173" s="20" t="e">
        <f t="shared" si="20"/>
        <v>#N/A</v>
      </c>
      <c r="BZ173" s="71"/>
      <c r="CD173" s="20">
        <f t="shared" si="13"/>
        <v>550</v>
      </c>
      <c r="CE173" s="115" t="s">
        <v>402</v>
      </c>
      <c r="CF173" s="115">
        <v>473</v>
      </c>
    </row>
    <row r="174" spans="1:84" ht="61.5" x14ac:dyDescent="0.85">
      <c r="A174" s="20">
        <v>1</v>
      </c>
      <c r="B174" s="66">
        <f>SUBTOTAL(103,$A$22:A174)</f>
        <v>151</v>
      </c>
      <c r="C174" s="24" t="s">
        <v>404</v>
      </c>
      <c r="D174" s="31">
        <f t="shared" si="21"/>
        <v>3951540.32</v>
      </c>
      <c r="E174" s="31">
        <v>0</v>
      </c>
      <c r="F174" s="31">
        <v>0</v>
      </c>
      <c r="G174" s="31">
        <v>3809166.55</v>
      </c>
      <c r="H174" s="31">
        <v>0</v>
      </c>
      <c r="I174" s="31">
        <v>0</v>
      </c>
      <c r="J174" s="31">
        <v>0</v>
      </c>
      <c r="K174" s="33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f>ROUND((E174+F174+G174+H174+I174+J174)*1.5%,2)</f>
        <v>57137.5</v>
      </c>
      <c r="AD174" s="31">
        <v>85236.27</v>
      </c>
      <c r="AE174" s="31">
        <v>0</v>
      </c>
      <c r="AF174" s="219">
        <v>2020</v>
      </c>
      <c r="AG174" s="219">
        <v>2020</v>
      </c>
      <c r="AH174" s="220">
        <v>2020</v>
      </c>
      <c r="AT174" s="20" t="e">
        <f t="shared" si="20"/>
        <v>#N/A</v>
      </c>
      <c r="BZ174" s="71"/>
      <c r="CD174" s="20" t="e">
        <f t="shared" si="13"/>
        <v>#N/A</v>
      </c>
      <c r="CE174" s="115" t="s">
        <v>403</v>
      </c>
      <c r="CF174" s="115">
        <v>550</v>
      </c>
    </row>
    <row r="175" spans="1:84" ht="61.5" x14ac:dyDescent="0.85">
      <c r="A175" s="20">
        <v>1</v>
      </c>
      <c r="B175" s="66">
        <f>SUBTOTAL(103,$A$22:A175)</f>
        <v>152</v>
      </c>
      <c r="C175" s="24" t="s">
        <v>199</v>
      </c>
      <c r="D175" s="31">
        <f t="shared" si="21"/>
        <v>2766905.7600000002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3">
        <v>0</v>
      </c>
      <c r="L175" s="31">
        <v>0</v>
      </c>
      <c r="M175" s="215">
        <v>1190.4000000000001</v>
      </c>
      <c r="N175" s="204">
        <v>2598303.89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273">
        <v>12276.99</v>
      </c>
      <c r="AD175" s="31">
        <v>156324.88</v>
      </c>
      <c r="AE175" s="31">
        <v>0</v>
      </c>
      <c r="AF175" s="219">
        <v>2020</v>
      </c>
      <c r="AG175" s="219">
        <v>2020</v>
      </c>
      <c r="AH175" s="220">
        <v>2020</v>
      </c>
      <c r="AT175" s="20" t="e">
        <f t="shared" si="20"/>
        <v>#N/A</v>
      </c>
      <c r="BZ175" s="71"/>
      <c r="CD175" s="20" t="e">
        <f t="shared" si="13"/>
        <v>#N/A</v>
      </c>
      <c r="CE175" s="115" t="s">
        <v>405</v>
      </c>
      <c r="CF175" s="115">
        <v>342</v>
      </c>
    </row>
    <row r="176" spans="1:84" ht="61.5" x14ac:dyDescent="0.85">
      <c r="A176" s="20">
        <v>1</v>
      </c>
      <c r="B176" s="66">
        <f>SUBTOTAL(103,$A$22:A176)</f>
        <v>153</v>
      </c>
      <c r="C176" s="24" t="s">
        <v>405</v>
      </c>
      <c r="D176" s="31">
        <f t="shared" si="21"/>
        <v>1828369.47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3">
        <v>0</v>
      </c>
      <c r="L176" s="31">
        <v>0</v>
      </c>
      <c r="M176" s="215">
        <v>342</v>
      </c>
      <c r="N176" s="204">
        <v>1828369.47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219" t="s">
        <v>271</v>
      </c>
      <c r="AG176" s="219">
        <v>2020</v>
      </c>
      <c r="AH176" s="220" t="s">
        <v>271</v>
      </c>
      <c r="AT176" s="20" t="e">
        <f t="shared" si="20"/>
        <v>#N/A</v>
      </c>
      <c r="BZ176" s="71"/>
      <c r="CD176" s="20">
        <f t="shared" si="13"/>
        <v>342</v>
      </c>
      <c r="CE176" s="115" t="s">
        <v>1167</v>
      </c>
      <c r="CF176" s="115">
        <v>331</v>
      </c>
    </row>
    <row r="177" spans="1:84" ht="61.5" x14ac:dyDescent="0.85">
      <c r="A177" s="20">
        <v>1</v>
      </c>
      <c r="B177" s="66">
        <f>SUBTOTAL(103,$A$22:A177)</f>
        <v>154</v>
      </c>
      <c r="C177" s="24" t="s">
        <v>406</v>
      </c>
      <c r="D177" s="31">
        <f t="shared" si="21"/>
        <v>9454848.4199999999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3">
        <v>0</v>
      </c>
      <c r="L177" s="31">
        <v>0</v>
      </c>
      <c r="M177" s="31">
        <v>2022</v>
      </c>
      <c r="N177" s="31">
        <v>9159157.9000000004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f>ROUND(N177*1.5%,2)</f>
        <v>137387.37</v>
      </c>
      <c r="AD177" s="31">
        <v>158303.15</v>
      </c>
      <c r="AE177" s="31">
        <v>0</v>
      </c>
      <c r="AF177" s="219">
        <v>2020</v>
      </c>
      <c r="AG177" s="219">
        <v>2020</v>
      </c>
      <c r="AH177" s="220">
        <v>2020</v>
      </c>
      <c r="AT177" s="20" t="e">
        <f t="shared" si="20"/>
        <v>#N/A</v>
      </c>
      <c r="BZ177" s="71"/>
      <c r="CD177" s="20" t="e">
        <f t="shared" si="13"/>
        <v>#N/A</v>
      </c>
      <c r="CE177" s="115" t="s">
        <v>1571</v>
      </c>
      <c r="CF177" s="115">
        <v>792</v>
      </c>
    </row>
    <row r="178" spans="1:84" ht="61.5" x14ac:dyDescent="0.85">
      <c r="A178" s="20">
        <v>1</v>
      </c>
      <c r="B178" s="66">
        <f>SUBTOTAL(103,$A$22:A178)</f>
        <v>155</v>
      </c>
      <c r="C178" s="24" t="s">
        <v>1166</v>
      </c>
      <c r="D178" s="31">
        <f t="shared" si="21"/>
        <v>2217294.33</v>
      </c>
      <c r="E178" s="31">
        <v>179745.74</v>
      </c>
      <c r="F178" s="31">
        <v>0</v>
      </c>
      <c r="G178" s="31">
        <v>1488599.05</v>
      </c>
      <c r="H178" s="31">
        <v>253223.24</v>
      </c>
      <c r="I178" s="31">
        <v>262958.40000000002</v>
      </c>
      <c r="J178" s="31">
        <v>0</v>
      </c>
      <c r="K178" s="33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f>ROUND((E178+F178+G178+H178+I178+J178)*1.5%,2)</f>
        <v>32767.9</v>
      </c>
      <c r="AD178" s="31">
        <v>0</v>
      </c>
      <c r="AE178" s="31">
        <v>0</v>
      </c>
      <c r="AF178" s="219" t="s">
        <v>271</v>
      </c>
      <c r="AG178" s="219">
        <v>2020</v>
      </c>
      <c r="AH178" s="220">
        <v>2020</v>
      </c>
      <c r="BZ178" s="71"/>
      <c r="CD178" s="20" t="e">
        <f t="shared" si="13"/>
        <v>#N/A</v>
      </c>
      <c r="CE178" s="115" t="s">
        <v>1569</v>
      </c>
      <c r="CF178" s="115">
        <v>592.07000000000005</v>
      </c>
    </row>
    <row r="179" spans="1:84" ht="61.5" x14ac:dyDescent="0.85">
      <c r="A179" s="20">
        <v>1</v>
      </c>
      <c r="B179" s="66">
        <f>SUBTOTAL(103,$A$22:A179)</f>
        <v>156</v>
      </c>
      <c r="C179" s="24" t="s">
        <v>1167</v>
      </c>
      <c r="D179" s="31">
        <f t="shared" si="21"/>
        <v>1557950.91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3">
        <v>0</v>
      </c>
      <c r="L179" s="31">
        <v>0</v>
      </c>
      <c r="M179" s="215">
        <v>331</v>
      </c>
      <c r="N179" s="267">
        <v>1549352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8598.91</v>
      </c>
      <c r="AD179" s="31">
        <v>0</v>
      </c>
      <c r="AE179" s="31">
        <v>0</v>
      </c>
      <c r="AF179" s="219" t="s">
        <v>271</v>
      </c>
      <c r="AG179" s="219">
        <v>2020</v>
      </c>
      <c r="AH179" s="220">
        <v>2020</v>
      </c>
      <c r="BZ179" s="71"/>
      <c r="CD179" s="20">
        <f t="shared" si="13"/>
        <v>331</v>
      </c>
      <c r="CE179" s="115" t="s">
        <v>0</v>
      </c>
      <c r="CF179" s="115">
        <v>618.1</v>
      </c>
    </row>
    <row r="180" spans="1:84" ht="61.5" x14ac:dyDescent="0.85">
      <c r="A180" s="20">
        <v>1</v>
      </c>
      <c r="B180" s="66">
        <f>SUBTOTAL(103,$A$22:A180)</f>
        <v>157</v>
      </c>
      <c r="C180" s="24" t="s">
        <v>1169</v>
      </c>
      <c r="D180" s="31">
        <f t="shared" si="21"/>
        <v>2712861.94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228">
        <v>2</v>
      </c>
      <c r="L180" s="204">
        <v>2712861.94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219" t="s">
        <v>271</v>
      </c>
      <c r="AG180" s="219">
        <v>2020</v>
      </c>
      <c r="AH180" s="220" t="s">
        <v>271</v>
      </c>
      <c r="BZ180" s="71"/>
      <c r="CD180" s="20" t="e">
        <f t="shared" si="13"/>
        <v>#N/A</v>
      </c>
      <c r="CE180" s="115" t="s">
        <v>1252</v>
      </c>
      <c r="CF180" s="115">
        <v>807.4</v>
      </c>
    </row>
    <row r="181" spans="1:84" ht="61.5" x14ac:dyDescent="0.85">
      <c r="A181" s="20">
        <v>1</v>
      </c>
      <c r="B181" s="66">
        <f>SUBTOTAL(103,$A$22:A181)</f>
        <v>158</v>
      </c>
      <c r="C181" s="24" t="s">
        <v>1170</v>
      </c>
      <c r="D181" s="31">
        <f t="shared" si="21"/>
        <v>211626.35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3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19.07</v>
      </c>
      <c r="T181" s="226">
        <v>210458.31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209">
        <v>1168.04</v>
      </c>
      <c r="AD181" s="31">
        <v>0</v>
      </c>
      <c r="AE181" s="31">
        <v>0</v>
      </c>
      <c r="AF181" s="219" t="s">
        <v>271</v>
      </c>
      <c r="AG181" s="219">
        <v>2020</v>
      </c>
      <c r="AH181" s="220">
        <v>2020</v>
      </c>
      <c r="BZ181" s="71"/>
      <c r="CD181" s="20" t="e">
        <f t="shared" si="13"/>
        <v>#N/A</v>
      </c>
      <c r="CE181" s="115" t="s">
        <v>1573</v>
      </c>
      <c r="CF181" s="115">
        <v>837.3</v>
      </c>
    </row>
    <row r="182" spans="1:84" ht="61.5" x14ac:dyDescent="0.85">
      <c r="A182" s="20">
        <v>1</v>
      </c>
      <c r="B182" s="66">
        <f>SUBTOTAL(103,$A$22:A182)</f>
        <v>159</v>
      </c>
      <c r="C182" s="24" t="s">
        <v>1171</v>
      </c>
      <c r="D182" s="31">
        <f t="shared" si="21"/>
        <v>2878164.01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3">
        <v>0</v>
      </c>
      <c r="L182" s="31">
        <v>0</v>
      </c>
      <c r="M182" s="31">
        <v>0</v>
      </c>
      <c r="N182" s="31">
        <v>0</v>
      </c>
      <c r="O182" s="31">
        <v>725.5</v>
      </c>
      <c r="P182" s="31">
        <v>2835629.57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f>ROUND(P182*1.5%,2)</f>
        <v>42534.44</v>
      </c>
      <c r="AD182" s="31">
        <v>0</v>
      </c>
      <c r="AE182" s="31">
        <v>0</v>
      </c>
      <c r="AF182" s="219" t="s">
        <v>271</v>
      </c>
      <c r="AG182" s="219">
        <v>2020</v>
      </c>
      <c r="AH182" s="220">
        <v>2020</v>
      </c>
      <c r="BZ182" s="71"/>
      <c r="CD182" s="20" t="e">
        <f t="shared" si="13"/>
        <v>#N/A</v>
      </c>
      <c r="CE182" s="115" t="s">
        <v>144</v>
      </c>
      <c r="CF182" s="115">
        <v>317.8</v>
      </c>
    </row>
    <row r="183" spans="1:84" ht="61.5" x14ac:dyDescent="0.85">
      <c r="A183" s="20">
        <v>1</v>
      </c>
      <c r="B183" s="66">
        <f>SUBTOTAL(103,$A$22:A183)</f>
        <v>160</v>
      </c>
      <c r="C183" s="24" t="s">
        <v>1172</v>
      </c>
      <c r="D183" s="31">
        <f t="shared" si="21"/>
        <v>2712861.94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228">
        <v>2</v>
      </c>
      <c r="L183" s="204">
        <v>2712861.94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219" t="s">
        <v>271</v>
      </c>
      <c r="AG183" s="219">
        <v>2020</v>
      </c>
      <c r="AH183" s="220" t="s">
        <v>271</v>
      </c>
      <c r="BZ183" s="71"/>
      <c r="CD183" s="20" t="e">
        <f t="shared" ref="CD183:CD246" si="22">VLOOKUP(C183,CE:CF,2,FALSE)</f>
        <v>#N/A</v>
      </c>
      <c r="CE183" s="115" t="s">
        <v>1275</v>
      </c>
      <c r="CF183" s="115">
        <v>835.43</v>
      </c>
    </row>
    <row r="184" spans="1:84" ht="61.5" x14ac:dyDescent="0.85">
      <c r="A184" s="20">
        <v>1</v>
      </c>
      <c r="B184" s="66">
        <f>SUBTOTAL(103,$A$22:A184)</f>
        <v>161</v>
      </c>
      <c r="C184" s="24" t="s">
        <v>1173</v>
      </c>
      <c r="D184" s="31">
        <f t="shared" si="21"/>
        <v>2771146.97</v>
      </c>
      <c r="E184" s="31">
        <v>0</v>
      </c>
      <c r="F184" s="31">
        <v>0</v>
      </c>
      <c r="G184" s="181">
        <v>2730194.06</v>
      </c>
      <c r="H184" s="31">
        <v>0</v>
      </c>
      <c r="I184" s="31">
        <v>0</v>
      </c>
      <c r="J184" s="31">
        <v>0</v>
      </c>
      <c r="K184" s="33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f>ROUND((E184+F184+G184+H184+I184+J184)*1.5%,2)</f>
        <v>40952.910000000003</v>
      </c>
      <c r="AD184" s="31">
        <v>0</v>
      </c>
      <c r="AE184" s="31">
        <v>0</v>
      </c>
      <c r="AF184" s="219" t="s">
        <v>271</v>
      </c>
      <c r="AG184" s="219">
        <v>2020</v>
      </c>
      <c r="AH184" s="220">
        <v>2020</v>
      </c>
      <c r="BZ184" s="71"/>
      <c r="CD184" s="20" t="e">
        <f t="shared" si="22"/>
        <v>#N/A</v>
      </c>
      <c r="CE184" s="115" t="s">
        <v>91</v>
      </c>
      <c r="CF184" s="115">
        <v>613.20000000000005</v>
      </c>
    </row>
    <row r="185" spans="1:84" ht="61.5" x14ac:dyDescent="0.85">
      <c r="A185" s="20">
        <v>1</v>
      </c>
      <c r="B185" s="66">
        <f>SUBTOTAL(103,$A$22:A185)</f>
        <v>162</v>
      </c>
      <c r="C185" s="24" t="s">
        <v>1174</v>
      </c>
      <c r="D185" s="31">
        <f t="shared" si="21"/>
        <v>2438759.5300000003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3">
        <v>0</v>
      </c>
      <c r="L185" s="31">
        <v>0</v>
      </c>
      <c r="M185" s="31">
        <v>477</v>
      </c>
      <c r="N185" s="31">
        <v>2335762.17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f>ROUND(N185*1.5%,2)</f>
        <v>35036.43</v>
      </c>
      <c r="AD185" s="31">
        <v>67960.929999999993</v>
      </c>
      <c r="AE185" s="31">
        <v>0</v>
      </c>
      <c r="AF185" s="219">
        <v>2020</v>
      </c>
      <c r="AG185" s="219">
        <v>2020</v>
      </c>
      <c r="AH185" s="220">
        <v>2020</v>
      </c>
      <c r="BZ185" s="71"/>
      <c r="CD185" s="20" t="e">
        <f t="shared" si="22"/>
        <v>#N/A</v>
      </c>
      <c r="CE185" s="115" t="s">
        <v>456</v>
      </c>
      <c r="CF185" s="115">
        <v>567.62</v>
      </c>
    </row>
    <row r="186" spans="1:84" ht="61.5" x14ac:dyDescent="0.85">
      <c r="A186" s="20">
        <v>1</v>
      </c>
      <c r="B186" s="66">
        <f>SUBTOTAL(103,$A$22:A186)</f>
        <v>163</v>
      </c>
      <c r="C186" s="24" t="s">
        <v>1175</v>
      </c>
      <c r="D186" s="31">
        <f t="shared" si="21"/>
        <v>464475.87</v>
      </c>
      <c r="E186" s="31">
        <v>0</v>
      </c>
      <c r="F186" s="31">
        <v>0</v>
      </c>
      <c r="G186" s="31">
        <v>0</v>
      </c>
      <c r="H186" s="31">
        <v>0</v>
      </c>
      <c r="I186" s="31">
        <v>457611.69</v>
      </c>
      <c r="J186" s="31">
        <v>0</v>
      </c>
      <c r="K186" s="33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f>ROUND((E186+F186+G186+H186+I186+J186)*1.5%,2)</f>
        <v>6864.18</v>
      </c>
      <c r="AD186" s="31">
        <v>0</v>
      </c>
      <c r="AE186" s="31">
        <v>0</v>
      </c>
      <c r="AF186" s="219" t="s">
        <v>271</v>
      </c>
      <c r="AG186" s="219">
        <v>2020</v>
      </c>
      <c r="AH186" s="220">
        <v>2020</v>
      </c>
      <c r="BZ186" s="71"/>
      <c r="CD186" s="20" t="e">
        <f t="shared" si="22"/>
        <v>#N/A</v>
      </c>
      <c r="CE186" s="115" t="s">
        <v>458</v>
      </c>
      <c r="CF186" s="115">
        <v>556.79999999999995</v>
      </c>
    </row>
    <row r="187" spans="1:84" ht="61.5" x14ac:dyDescent="0.85">
      <c r="A187" s="20">
        <v>1</v>
      </c>
      <c r="B187" s="66">
        <f>SUBTOTAL(103,$A$22:A187)</f>
        <v>164</v>
      </c>
      <c r="C187" s="24" t="s">
        <v>1176</v>
      </c>
      <c r="D187" s="31">
        <f t="shared" si="21"/>
        <v>198184.86</v>
      </c>
      <c r="E187" s="31">
        <v>0</v>
      </c>
      <c r="F187" s="31">
        <v>0</v>
      </c>
      <c r="G187" s="31">
        <v>0</v>
      </c>
      <c r="H187" s="31">
        <v>0</v>
      </c>
      <c r="I187" s="31">
        <v>195256.02</v>
      </c>
      <c r="J187" s="31">
        <v>0</v>
      </c>
      <c r="K187" s="33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f>ROUND((E187+F187+G187+H187+I187+J187)*1.5%,2)</f>
        <v>2928.84</v>
      </c>
      <c r="AD187" s="31">
        <v>0</v>
      </c>
      <c r="AE187" s="31">
        <v>0</v>
      </c>
      <c r="AF187" s="219" t="s">
        <v>271</v>
      </c>
      <c r="AG187" s="219">
        <v>2020</v>
      </c>
      <c r="AH187" s="220">
        <v>2020</v>
      </c>
      <c r="BZ187" s="71"/>
      <c r="CD187" s="20" t="e">
        <f t="shared" si="22"/>
        <v>#N/A</v>
      </c>
      <c r="CE187" s="115" t="s">
        <v>686</v>
      </c>
      <c r="CF187" s="115">
        <v>243.96</v>
      </c>
    </row>
    <row r="188" spans="1:84" ht="61.5" x14ac:dyDescent="0.85">
      <c r="A188" s="20">
        <v>1</v>
      </c>
      <c r="B188" s="66">
        <f>SUBTOTAL(103,$A$22:A188)</f>
        <v>165</v>
      </c>
      <c r="C188" s="24" t="s">
        <v>1177</v>
      </c>
      <c r="D188" s="31">
        <f t="shared" si="21"/>
        <v>1640571.49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271">
        <v>1</v>
      </c>
      <c r="L188" s="267">
        <v>1640571.49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219" t="s">
        <v>271</v>
      </c>
      <c r="AG188" s="219">
        <v>2020</v>
      </c>
      <c r="AH188" s="220" t="s">
        <v>271</v>
      </c>
      <c r="BZ188" s="71"/>
      <c r="CD188" s="20" t="e">
        <f t="shared" si="22"/>
        <v>#N/A</v>
      </c>
      <c r="CE188" s="115" t="s">
        <v>1300</v>
      </c>
      <c r="CF188" s="115">
        <v>958</v>
      </c>
    </row>
    <row r="189" spans="1:84" ht="61.5" x14ac:dyDescent="0.85">
      <c r="A189" s="20">
        <v>1</v>
      </c>
      <c r="B189" s="66">
        <f>SUBTOTAL(103,$A$22:A189)</f>
        <v>166</v>
      </c>
      <c r="C189" s="24" t="s">
        <v>1178</v>
      </c>
      <c r="D189" s="31">
        <f t="shared" si="21"/>
        <v>1784450.96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271">
        <v>1</v>
      </c>
      <c r="L189" s="267">
        <v>1784450.96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219" t="s">
        <v>271</v>
      </c>
      <c r="AG189" s="219">
        <v>2020</v>
      </c>
      <c r="AH189" s="220" t="s">
        <v>271</v>
      </c>
      <c r="BZ189" s="71"/>
      <c r="CD189" s="20" t="e">
        <f t="shared" si="22"/>
        <v>#N/A</v>
      </c>
      <c r="CE189" s="115" t="s">
        <v>186</v>
      </c>
      <c r="CF189" s="115">
        <v>255.2</v>
      </c>
    </row>
    <row r="190" spans="1:84" ht="61.5" x14ac:dyDescent="0.85">
      <c r="A190" s="20">
        <v>1</v>
      </c>
      <c r="B190" s="66">
        <f>SUBTOTAL(103,$A$22:A190)</f>
        <v>167</v>
      </c>
      <c r="C190" s="24" t="s">
        <v>1179</v>
      </c>
      <c r="D190" s="31">
        <f t="shared" si="21"/>
        <v>6364982.3099999996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228">
        <v>4</v>
      </c>
      <c r="L190" s="204">
        <v>6364982.3099999996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219" t="s">
        <v>271</v>
      </c>
      <c r="AG190" s="219">
        <v>2020</v>
      </c>
      <c r="AH190" s="220" t="s">
        <v>271</v>
      </c>
      <c r="BZ190" s="71"/>
      <c r="CD190" s="20" t="e">
        <f t="shared" si="22"/>
        <v>#N/A</v>
      </c>
      <c r="CE190" s="115" t="s">
        <v>135</v>
      </c>
      <c r="CF190" s="115">
        <v>1229.9000000000001</v>
      </c>
    </row>
    <row r="191" spans="1:84" ht="61.5" x14ac:dyDescent="0.85">
      <c r="A191" s="20">
        <v>1</v>
      </c>
      <c r="B191" s="66">
        <f>SUBTOTAL(103,$A$22:A191)</f>
        <v>168</v>
      </c>
      <c r="C191" s="24" t="s">
        <v>1295</v>
      </c>
      <c r="D191" s="31">
        <f t="shared" si="21"/>
        <v>2620013.62</v>
      </c>
      <c r="E191" s="31">
        <v>0</v>
      </c>
      <c r="F191" s="31">
        <v>0</v>
      </c>
      <c r="G191" s="31">
        <v>2581294.21</v>
      </c>
      <c r="H191" s="31">
        <v>0</v>
      </c>
      <c r="I191" s="31">
        <v>0</v>
      </c>
      <c r="J191" s="31">
        <v>0</v>
      </c>
      <c r="K191" s="33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f>ROUND((E191+F191+G191+H191+I191+J191)*1.5%,2)</f>
        <v>38719.410000000003</v>
      </c>
      <c r="AD191" s="31">
        <v>0</v>
      </c>
      <c r="AE191" s="31">
        <v>0</v>
      </c>
      <c r="AF191" s="219" t="s">
        <v>271</v>
      </c>
      <c r="AG191" s="219">
        <v>2020</v>
      </c>
      <c r="AH191" s="220">
        <v>2020</v>
      </c>
      <c r="BZ191" s="71"/>
      <c r="CD191" s="20" t="e">
        <f t="shared" si="22"/>
        <v>#N/A</v>
      </c>
    </row>
    <row r="192" spans="1:84" ht="61.5" x14ac:dyDescent="0.85">
      <c r="A192" s="20">
        <v>1</v>
      </c>
      <c r="B192" s="66">
        <f>SUBTOTAL(103,$A$22:A192)</f>
        <v>169</v>
      </c>
      <c r="C192" s="24" t="s">
        <v>1308</v>
      </c>
      <c r="D192" s="31">
        <f t="shared" si="21"/>
        <v>131828.92000000001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3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f>ROUND(R192*1.5%,2)</f>
        <v>0</v>
      </c>
      <c r="AD192" s="272">
        <v>131828.92000000001</v>
      </c>
      <c r="AE192" s="31">
        <v>0</v>
      </c>
      <c r="AF192" s="219">
        <v>2020</v>
      </c>
      <c r="AG192" s="219" t="s">
        <v>271</v>
      </c>
      <c r="AH192" s="220" t="s">
        <v>271</v>
      </c>
      <c r="AI192" s="34">
        <v>2020</v>
      </c>
      <c r="AJ192" s="34">
        <v>2020</v>
      </c>
      <c r="AK192" s="34">
        <v>2020</v>
      </c>
      <c r="AL192" s="34">
        <v>2020</v>
      </c>
      <c r="AM192" s="34">
        <v>2020</v>
      </c>
      <c r="AN192" s="34">
        <v>2020</v>
      </c>
      <c r="AO192" s="34">
        <v>2020</v>
      </c>
      <c r="AP192" s="34">
        <v>2020</v>
      </c>
      <c r="AQ192" s="34">
        <v>2020</v>
      </c>
      <c r="AR192" s="34">
        <v>2020</v>
      </c>
      <c r="AS192" s="34">
        <v>2020</v>
      </c>
      <c r="AT192" s="34">
        <v>2020</v>
      </c>
      <c r="AU192" s="34">
        <v>2020</v>
      </c>
      <c r="AV192" s="34">
        <v>2020</v>
      </c>
      <c r="AW192" s="34">
        <v>2020</v>
      </c>
      <c r="AX192" s="34">
        <v>2020</v>
      </c>
      <c r="AY192" s="34">
        <v>2020</v>
      </c>
      <c r="AZ192" s="34">
        <v>2020</v>
      </c>
      <c r="BA192" s="34">
        <v>2020</v>
      </c>
      <c r="BB192" s="34">
        <v>2020</v>
      </c>
      <c r="BC192" s="34">
        <v>2020</v>
      </c>
      <c r="BD192" s="34">
        <v>2020</v>
      </c>
      <c r="BE192" s="34">
        <v>2020</v>
      </c>
      <c r="BF192" s="34">
        <v>2020</v>
      </c>
      <c r="BG192" s="34">
        <v>2020</v>
      </c>
      <c r="BH192" s="34">
        <v>2020</v>
      </c>
      <c r="BI192" s="34">
        <v>2020</v>
      </c>
      <c r="BJ192" s="34">
        <v>2020</v>
      </c>
      <c r="BK192" s="34">
        <v>2020</v>
      </c>
      <c r="BL192" s="34">
        <v>2020</v>
      </c>
      <c r="BM192" s="34">
        <v>2020</v>
      </c>
      <c r="BN192" s="34">
        <v>2020</v>
      </c>
      <c r="BO192" s="34">
        <v>2020</v>
      </c>
      <c r="BP192" s="34">
        <v>2020</v>
      </c>
      <c r="BQ192" s="34">
        <v>2020</v>
      </c>
      <c r="BR192" s="34">
        <v>2020</v>
      </c>
      <c r="BS192" s="34">
        <v>2020</v>
      </c>
      <c r="BT192" s="34">
        <v>2020</v>
      </c>
      <c r="BU192" s="34">
        <v>2020</v>
      </c>
      <c r="BV192" s="34">
        <v>2020</v>
      </c>
      <c r="BW192" s="34">
        <v>2020</v>
      </c>
      <c r="BZ192" s="71"/>
      <c r="CD192" s="20" t="e">
        <f t="shared" si="22"/>
        <v>#N/A</v>
      </c>
    </row>
    <row r="193" spans="1:82" ht="61.5" x14ac:dyDescent="0.85">
      <c r="A193" s="20">
        <v>1</v>
      </c>
      <c r="B193" s="66">
        <f>SUBTOTAL(103,$A$22:A193)</f>
        <v>170</v>
      </c>
      <c r="C193" s="24" t="s">
        <v>1309</v>
      </c>
      <c r="D193" s="31">
        <f t="shared" si="21"/>
        <v>3218030.63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3">
        <v>0</v>
      </c>
      <c r="L193" s="31">
        <v>0</v>
      </c>
      <c r="M193" s="31">
        <v>590</v>
      </c>
      <c r="N193" s="31">
        <v>3111330.05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f t="shared" ref="AC193:AC199" si="23">ROUND(N193*1.5%,2)</f>
        <v>46669.95</v>
      </c>
      <c r="AD193" s="31">
        <v>60030.63</v>
      </c>
      <c r="AE193" s="31">
        <v>0</v>
      </c>
      <c r="AF193" s="219">
        <v>2020</v>
      </c>
      <c r="AG193" s="219">
        <v>2020</v>
      </c>
      <c r="AH193" s="220">
        <v>2020</v>
      </c>
      <c r="BZ193" s="71"/>
      <c r="CD193" s="20" t="e">
        <f t="shared" si="22"/>
        <v>#N/A</v>
      </c>
    </row>
    <row r="194" spans="1:82" ht="61.5" x14ac:dyDescent="0.85">
      <c r="A194" s="20">
        <v>1</v>
      </c>
      <c r="B194" s="66">
        <f>SUBTOTAL(103,$A$22:A194)</f>
        <v>171</v>
      </c>
      <c r="C194" s="24" t="s">
        <v>1310</v>
      </c>
      <c r="D194" s="31">
        <f t="shared" si="21"/>
        <v>3619449.67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3">
        <v>0</v>
      </c>
      <c r="L194" s="31">
        <v>0</v>
      </c>
      <c r="M194" s="31">
        <v>665</v>
      </c>
      <c r="N194" s="31">
        <v>3485221.67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f t="shared" si="23"/>
        <v>52278.33</v>
      </c>
      <c r="AD194" s="31">
        <v>81949.67</v>
      </c>
      <c r="AE194" s="31">
        <v>0</v>
      </c>
      <c r="AF194" s="219">
        <v>2020</v>
      </c>
      <c r="AG194" s="219">
        <v>2020</v>
      </c>
      <c r="AH194" s="220">
        <v>2020</v>
      </c>
      <c r="BZ194" s="71"/>
      <c r="CD194" s="20" t="e">
        <f t="shared" si="22"/>
        <v>#N/A</v>
      </c>
    </row>
    <row r="195" spans="1:82" ht="61.5" x14ac:dyDescent="0.85">
      <c r="A195" s="20">
        <v>1</v>
      </c>
      <c r="B195" s="66">
        <f>SUBTOTAL(103,$A$22:A195)</f>
        <v>172</v>
      </c>
      <c r="C195" s="24" t="s">
        <v>1311</v>
      </c>
      <c r="D195" s="31">
        <f t="shared" si="21"/>
        <v>1298325.17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3">
        <v>0</v>
      </c>
      <c r="L195" s="31">
        <v>0</v>
      </c>
      <c r="M195" s="31">
        <v>246</v>
      </c>
      <c r="N195" s="31">
        <v>1234482.76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f t="shared" si="23"/>
        <v>18517.240000000002</v>
      </c>
      <c r="AD195" s="31">
        <v>45325.17</v>
      </c>
      <c r="AE195" s="31">
        <v>0</v>
      </c>
      <c r="AF195" s="219">
        <v>2020</v>
      </c>
      <c r="AG195" s="219">
        <v>2020</v>
      </c>
      <c r="AH195" s="220">
        <v>2020</v>
      </c>
      <c r="BZ195" s="71"/>
      <c r="CD195" s="20" t="e">
        <f t="shared" si="22"/>
        <v>#N/A</v>
      </c>
    </row>
    <row r="196" spans="1:82" ht="61.5" x14ac:dyDescent="0.85">
      <c r="A196" s="20">
        <v>1</v>
      </c>
      <c r="B196" s="66">
        <f>SUBTOTAL(103,$A$22:A196)</f>
        <v>173</v>
      </c>
      <c r="C196" s="24" t="s">
        <v>1312</v>
      </c>
      <c r="D196" s="31">
        <f t="shared" si="21"/>
        <v>1338948.23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3">
        <v>0</v>
      </c>
      <c r="L196" s="31">
        <v>0</v>
      </c>
      <c r="M196" s="31">
        <v>253</v>
      </c>
      <c r="N196" s="31">
        <v>1272413.79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f t="shared" si="23"/>
        <v>19086.21</v>
      </c>
      <c r="AD196" s="31">
        <v>47448.23</v>
      </c>
      <c r="AE196" s="31">
        <v>0</v>
      </c>
      <c r="AF196" s="219">
        <v>2020</v>
      </c>
      <c r="AG196" s="219">
        <v>2020</v>
      </c>
      <c r="AH196" s="220">
        <v>2020</v>
      </c>
      <c r="BZ196" s="71"/>
      <c r="CD196" s="20" t="e">
        <f t="shared" si="22"/>
        <v>#N/A</v>
      </c>
    </row>
    <row r="197" spans="1:82" ht="61.5" x14ac:dyDescent="0.85">
      <c r="A197" s="20">
        <v>1</v>
      </c>
      <c r="B197" s="66">
        <f>SUBTOTAL(103,$A$22:A197)</f>
        <v>174</v>
      </c>
      <c r="C197" s="24" t="s">
        <v>1571</v>
      </c>
      <c r="D197" s="31">
        <f t="shared" si="21"/>
        <v>2343822.52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3">
        <v>0</v>
      </c>
      <c r="L197" s="31">
        <v>0</v>
      </c>
      <c r="M197" s="215">
        <v>792</v>
      </c>
      <c r="N197" s="204">
        <v>2330886.1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12936.42</v>
      </c>
      <c r="AD197" s="31">
        <v>0</v>
      </c>
      <c r="AE197" s="31">
        <v>0</v>
      </c>
      <c r="AF197" s="219" t="s">
        <v>271</v>
      </c>
      <c r="AG197" s="219">
        <v>2020</v>
      </c>
      <c r="AH197" s="220">
        <v>2020</v>
      </c>
      <c r="BZ197" s="71"/>
      <c r="CD197" s="20">
        <f t="shared" si="22"/>
        <v>792</v>
      </c>
    </row>
    <row r="198" spans="1:82" ht="61.5" x14ac:dyDescent="0.85">
      <c r="A198" s="20">
        <v>1</v>
      </c>
      <c r="B198" s="66">
        <f>SUBTOTAL(103,$A$22:A198)</f>
        <v>175</v>
      </c>
      <c r="C198" s="24" t="s">
        <v>1583</v>
      </c>
      <c r="D198" s="31">
        <f t="shared" si="21"/>
        <v>2582227.59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3">
        <v>0</v>
      </c>
      <c r="L198" s="31">
        <v>0</v>
      </c>
      <c r="M198" s="31">
        <v>504</v>
      </c>
      <c r="N198" s="31">
        <v>2474667.19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f t="shared" si="23"/>
        <v>37120.01</v>
      </c>
      <c r="AD198" s="31">
        <v>70440.39</v>
      </c>
      <c r="AE198" s="31">
        <v>0</v>
      </c>
      <c r="AF198" s="219">
        <v>2020</v>
      </c>
      <c r="AG198" s="219">
        <v>2020</v>
      </c>
      <c r="AH198" s="220">
        <v>2020</v>
      </c>
      <c r="BZ198" s="71"/>
      <c r="CD198" s="20" t="e">
        <f t="shared" si="22"/>
        <v>#N/A</v>
      </c>
    </row>
    <row r="199" spans="1:82" ht="61.5" x14ac:dyDescent="0.85">
      <c r="A199" s="20">
        <v>1</v>
      </c>
      <c r="B199" s="66">
        <f>SUBTOTAL(103,$A$22:A199)</f>
        <v>176</v>
      </c>
      <c r="C199" s="24" t="s">
        <v>1584</v>
      </c>
      <c r="D199" s="31">
        <f t="shared" si="21"/>
        <v>3239524.45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3">
        <v>0</v>
      </c>
      <c r="L199" s="31">
        <v>0</v>
      </c>
      <c r="M199" s="31">
        <v>630</v>
      </c>
      <c r="N199" s="31">
        <v>3114086.93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f t="shared" si="23"/>
        <v>46711.3</v>
      </c>
      <c r="AD199" s="31">
        <v>78726.22</v>
      </c>
      <c r="AE199" s="31">
        <v>0</v>
      </c>
      <c r="AF199" s="219">
        <v>2020</v>
      </c>
      <c r="AG199" s="219">
        <v>2020</v>
      </c>
      <c r="AH199" s="220">
        <v>2020</v>
      </c>
      <c r="BZ199" s="71"/>
      <c r="CD199" s="20" t="e">
        <f t="shared" si="22"/>
        <v>#N/A</v>
      </c>
    </row>
    <row r="200" spans="1:82" ht="61.5" x14ac:dyDescent="0.85">
      <c r="A200" s="20">
        <v>1</v>
      </c>
      <c r="B200" s="66">
        <f>SUBTOTAL(103,$A$22:A200)</f>
        <v>177</v>
      </c>
      <c r="C200" s="24" t="s">
        <v>1614</v>
      </c>
      <c r="D200" s="31">
        <f t="shared" ref="D200" si="24">E200+F200+G200+H200+I200+J200+L200+N200+P200+R200+T200+U200+V200+W200+X200+Y200+Z200+AA200+AB200+AC200+AD200+AE200</f>
        <v>2057420.58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3">
        <v>0</v>
      </c>
      <c r="L200" s="31">
        <v>0</v>
      </c>
      <c r="M200" s="215">
        <v>792.98</v>
      </c>
      <c r="N200" s="204">
        <v>1767006.67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f>ROUND((N200+T200)*1.5%,2)</f>
        <v>26505.1</v>
      </c>
      <c r="AD200" s="273">
        <v>263908.81</v>
      </c>
      <c r="AE200" s="31">
        <v>0</v>
      </c>
      <c r="AF200" s="219">
        <v>2020</v>
      </c>
      <c r="AG200" s="219">
        <v>2020</v>
      </c>
      <c r="AH200" s="220">
        <v>2020</v>
      </c>
      <c r="BZ200" s="71"/>
      <c r="CD200" s="20" t="e">
        <f t="shared" si="22"/>
        <v>#N/A</v>
      </c>
    </row>
    <row r="201" spans="1:82" ht="61.5" x14ac:dyDescent="0.85">
      <c r="A201" s="20">
        <v>1</v>
      </c>
      <c r="B201" s="66">
        <f>SUBTOTAL(103,$A$22:A201)</f>
        <v>178</v>
      </c>
      <c r="C201" s="212" t="s">
        <v>408</v>
      </c>
      <c r="D201" s="31">
        <f>E201+F201+G201+H201+I201+J201+L201+N201+P201+R201+T201+U201+V201+W201+X201+Y201+Z201+AA201+AB201+AC201+AD201+AE201</f>
        <v>2015374.2400000002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3">
        <v>1</v>
      </c>
      <c r="L201" s="31">
        <f>2116554.68+27367.96-201180.44</f>
        <v>1942742.2000000002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214">
        <v>72632.039999999994</v>
      </c>
      <c r="AE201" s="31">
        <v>0</v>
      </c>
      <c r="AF201" s="219">
        <v>2020</v>
      </c>
      <c r="AG201" s="219">
        <v>2020</v>
      </c>
      <c r="AH201" s="220" t="s">
        <v>271</v>
      </c>
      <c r="AT201" s="20">
        <f>VLOOKUP(C201,AW:AX,2,FALSE)</f>
        <v>1</v>
      </c>
      <c r="BZ201" s="71"/>
      <c r="CD201" s="20" t="e">
        <f t="shared" si="22"/>
        <v>#N/A</v>
      </c>
    </row>
    <row r="202" spans="1:82" ht="61.5" x14ac:dyDescent="0.85">
      <c r="A202" s="20">
        <v>1</v>
      </c>
      <c r="B202" s="66">
        <f>SUBTOTAL(103,$A$22:A202)</f>
        <v>179</v>
      </c>
      <c r="C202" s="24" t="s">
        <v>444</v>
      </c>
      <c r="D202" s="31">
        <f>E202+F202+G202+H202+I202+J202+L202+N202+P202+R202+T202+U202+V202+W202+X202+Y202+Z202+AA202+AB202+AC202+AD202+AE202</f>
        <v>120000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3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f>ROUND(N202*1.5%,2)</f>
        <v>0</v>
      </c>
      <c r="AD202" s="31">
        <v>120000</v>
      </c>
      <c r="AE202" s="31">
        <v>0</v>
      </c>
      <c r="AF202" s="219">
        <v>2020</v>
      </c>
      <c r="AG202" s="220" t="s">
        <v>271</v>
      </c>
      <c r="AH202" s="220" t="s">
        <v>271</v>
      </c>
      <c r="BZ202" s="71"/>
      <c r="CD202" s="20" t="e">
        <f t="shared" si="22"/>
        <v>#N/A</v>
      </c>
    </row>
    <row r="203" spans="1:82" ht="61.5" x14ac:dyDescent="0.85">
      <c r="B203" s="24" t="s">
        <v>773</v>
      </c>
      <c r="C203" s="114"/>
      <c r="D203" s="31">
        <f t="shared" ref="D203:AE203" si="25">SUM(D204:D242)</f>
        <v>177119433.23000002</v>
      </c>
      <c r="E203" s="31">
        <f t="shared" si="25"/>
        <v>749597.22</v>
      </c>
      <c r="F203" s="31">
        <f t="shared" si="25"/>
        <v>0</v>
      </c>
      <c r="G203" s="31">
        <f t="shared" si="25"/>
        <v>5581957.1000000006</v>
      </c>
      <c r="H203" s="31">
        <f t="shared" si="25"/>
        <v>1358423.28</v>
      </c>
      <c r="I203" s="31">
        <f t="shared" si="25"/>
        <v>4222814.2</v>
      </c>
      <c r="J203" s="31">
        <f t="shared" si="25"/>
        <v>0</v>
      </c>
      <c r="K203" s="33">
        <f t="shared" si="25"/>
        <v>63</v>
      </c>
      <c r="L203" s="31">
        <f t="shared" si="25"/>
        <v>113293198.65000002</v>
      </c>
      <c r="M203" s="31">
        <f t="shared" si="25"/>
        <v>7803.1799999999994</v>
      </c>
      <c r="N203" s="31">
        <f t="shared" si="25"/>
        <v>31486405.830000002</v>
      </c>
      <c r="O203" s="31">
        <f t="shared" si="25"/>
        <v>0</v>
      </c>
      <c r="P203" s="31">
        <f t="shared" si="25"/>
        <v>0</v>
      </c>
      <c r="Q203" s="31">
        <f t="shared" si="25"/>
        <v>3509.7099999999996</v>
      </c>
      <c r="R203" s="31">
        <f t="shared" si="25"/>
        <v>17471229.289999999</v>
      </c>
      <c r="S203" s="31">
        <f t="shared" si="25"/>
        <v>0</v>
      </c>
      <c r="T203" s="31">
        <f t="shared" si="25"/>
        <v>0</v>
      </c>
      <c r="U203" s="31">
        <f t="shared" si="25"/>
        <v>0</v>
      </c>
      <c r="V203" s="31">
        <f t="shared" si="25"/>
        <v>210000</v>
      </c>
      <c r="W203" s="31">
        <f t="shared" si="25"/>
        <v>0</v>
      </c>
      <c r="X203" s="31">
        <f t="shared" si="25"/>
        <v>0</v>
      </c>
      <c r="Y203" s="31">
        <f t="shared" si="25"/>
        <v>0</v>
      </c>
      <c r="Z203" s="31">
        <f t="shared" si="25"/>
        <v>0</v>
      </c>
      <c r="AA203" s="31">
        <f t="shared" si="25"/>
        <v>0</v>
      </c>
      <c r="AB203" s="31">
        <f t="shared" si="25"/>
        <v>0</v>
      </c>
      <c r="AC203" s="31">
        <f t="shared" si="25"/>
        <v>834743.88</v>
      </c>
      <c r="AD203" s="31">
        <f t="shared" si="25"/>
        <v>1671063.78</v>
      </c>
      <c r="AE203" s="31">
        <f t="shared" si="25"/>
        <v>240000</v>
      </c>
      <c r="AF203" s="221" t="s">
        <v>764</v>
      </c>
      <c r="AG203" s="221" t="s">
        <v>764</v>
      </c>
      <c r="AH203" s="222" t="s">
        <v>764</v>
      </c>
      <c r="AT203" s="20" t="e">
        <f t="shared" ref="AT203:AT215" si="26">VLOOKUP(C203,AW:AX,2,FALSE)</f>
        <v>#N/A</v>
      </c>
      <c r="BZ203" s="71">
        <v>182923711.81999996</v>
      </c>
      <c r="CB203" s="71">
        <f>BZ203-D203</f>
        <v>5804278.589999944</v>
      </c>
      <c r="CD203" s="20" t="e">
        <f t="shared" si="22"/>
        <v>#N/A</v>
      </c>
    </row>
    <row r="204" spans="1:82" ht="61.5" x14ac:dyDescent="0.85">
      <c r="A204" s="20">
        <v>1</v>
      </c>
      <c r="B204" s="66">
        <f>SUBTOTAL(103,$A$22:A204)</f>
        <v>180</v>
      </c>
      <c r="C204" s="24" t="s">
        <v>774</v>
      </c>
      <c r="D204" s="31">
        <f t="shared" ref="D204:D234" si="27">E204+F204+G204+H204+I204+J204+L204+N204+P204+R204+T204+U204+V204+W204+X204+Y204+Z204+AA204+AB204+AC204+AD204+AE204</f>
        <v>8096493.6899999995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3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1402</v>
      </c>
      <c r="R204" s="31">
        <v>7829901.7899999991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f>ROUND(R204*1.5%,2)</f>
        <v>117448.53</v>
      </c>
      <c r="AD204" s="31">
        <v>149143.37</v>
      </c>
      <c r="AE204" s="31">
        <v>0</v>
      </c>
      <c r="AF204" s="219">
        <v>2020</v>
      </c>
      <c r="AG204" s="219">
        <v>2020</v>
      </c>
      <c r="AH204" s="220">
        <v>2020</v>
      </c>
      <c r="AT204" s="20" t="e">
        <f t="shared" si="26"/>
        <v>#N/A</v>
      </c>
      <c r="BZ204" s="71"/>
      <c r="CD204" s="20" t="e">
        <f t="shared" si="22"/>
        <v>#N/A</v>
      </c>
    </row>
    <row r="205" spans="1:82" ht="61.5" x14ac:dyDescent="0.85">
      <c r="A205" s="20">
        <v>1</v>
      </c>
      <c r="B205" s="66">
        <f>SUBTOTAL(103,$A$22:A205)</f>
        <v>181</v>
      </c>
      <c r="C205" s="24" t="s">
        <v>775</v>
      </c>
      <c r="D205" s="31">
        <f t="shared" si="27"/>
        <v>2194413.6799999997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3">
        <v>0</v>
      </c>
      <c r="L205" s="31">
        <v>0</v>
      </c>
      <c r="M205" s="272">
        <v>540.37</v>
      </c>
      <c r="N205" s="328">
        <v>2078453.13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273">
        <v>26812.05</v>
      </c>
      <c r="AD205" s="31">
        <v>89148.5</v>
      </c>
      <c r="AE205" s="31">
        <v>0</v>
      </c>
      <c r="AF205" s="219">
        <v>2020</v>
      </c>
      <c r="AG205" s="219">
        <v>2020</v>
      </c>
      <c r="AH205" s="220">
        <v>2020</v>
      </c>
      <c r="AT205" s="20" t="e">
        <f t="shared" si="26"/>
        <v>#N/A</v>
      </c>
      <c r="BZ205" s="71"/>
      <c r="CD205" s="20" t="e">
        <f t="shared" si="22"/>
        <v>#N/A</v>
      </c>
    </row>
    <row r="206" spans="1:82" ht="61.5" x14ac:dyDescent="0.85">
      <c r="A206" s="20">
        <v>1</v>
      </c>
      <c r="B206" s="66">
        <f>SUBTOTAL(103,$A$22:A206)</f>
        <v>182</v>
      </c>
      <c r="C206" s="24" t="s">
        <v>776</v>
      </c>
      <c r="D206" s="31">
        <f t="shared" si="27"/>
        <v>1220001.9200000002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3">
        <v>0</v>
      </c>
      <c r="L206" s="31">
        <v>0</v>
      </c>
      <c r="M206" s="31">
        <v>265</v>
      </c>
      <c r="N206" s="31">
        <v>1140865.8600000001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f>ROUND(N206*1.5%,2)</f>
        <v>17112.990000000002</v>
      </c>
      <c r="AD206" s="31">
        <v>62023.07</v>
      </c>
      <c r="AE206" s="31">
        <v>0</v>
      </c>
      <c r="AF206" s="219">
        <v>2020</v>
      </c>
      <c r="AG206" s="219">
        <v>2020</v>
      </c>
      <c r="AH206" s="220">
        <v>2020</v>
      </c>
      <c r="AT206" s="20" t="e">
        <f t="shared" si="26"/>
        <v>#N/A</v>
      </c>
      <c r="BZ206" s="71"/>
      <c r="CD206" s="20" t="e">
        <f t="shared" si="22"/>
        <v>#N/A</v>
      </c>
    </row>
    <row r="207" spans="1:82" ht="61.5" x14ac:dyDescent="0.85">
      <c r="A207" s="20">
        <v>1</v>
      </c>
      <c r="B207" s="66">
        <f>SUBTOTAL(103,$A$22:A207)</f>
        <v>183</v>
      </c>
      <c r="C207" s="24" t="s">
        <v>777</v>
      </c>
      <c r="D207" s="31">
        <f t="shared" si="27"/>
        <v>4940032.6899999995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29">
        <v>3</v>
      </c>
      <c r="L207" s="327">
        <f>1646677.57+1646677.56+1646677.56</f>
        <v>4940032.6899999995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219" t="s">
        <v>271</v>
      </c>
      <c r="AG207" s="219">
        <v>2020</v>
      </c>
      <c r="AH207" s="220" t="s">
        <v>271</v>
      </c>
      <c r="AT207" s="20" t="e">
        <f t="shared" si="26"/>
        <v>#N/A</v>
      </c>
      <c r="BZ207" s="71"/>
      <c r="CD207" s="20" t="e">
        <f t="shared" si="22"/>
        <v>#N/A</v>
      </c>
    </row>
    <row r="208" spans="1:82" ht="61.5" x14ac:dyDescent="0.85">
      <c r="A208" s="20">
        <v>1</v>
      </c>
      <c r="B208" s="66">
        <f>SUBTOTAL(103,$A$22:A208)</f>
        <v>184</v>
      </c>
      <c r="C208" s="24" t="s">
        <v>778</v>
      </c>
      <c r="D208" s="31">
        <f t="shared" si="27"/>
        <v>8305636.5700000003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3">
        <v>4</v>
      </c>
      <c r="L208" s="31">
        <v>8305636.5700000003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219" t="s">
        <v>271</v>
      </c>
      <c r="AG208" s="219">
        <v>2020</v>
      </c>
      <c r="AH208" s="220" t="s">
        <v>271</v>
      </c>
      <c r="AT208" s="20" t="e">
        <f t="shared" si="26"/>
        <v>#N/A</v>
      </c>
      <c r="BZ208" s="71"/>
      <c r="CD208" s="20" t="e">
        <f t="shared" si="22"/>
        <v>#N/A</v>
      </c>
    </row>
    <row r="209" spans="1:82" ht="61.5" x14ac:dyDescent="0.85">
      <c r="A209" s="20">
        <v>1</v>
      </c>
      <c r="B209" s="66">
        <f>SUBTOTAL(103,$A$22:A209)</f>
        <v>185</v>
      </c>
      <c r="C209" s="24" t="s">
        <v>779</v>
      </c>
      <c r="D209" s="31">
        <f t="shared" si="27"/>
        <v>10305814.43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3">
        <v>5</v>
      </c>
      <c r="L209" s="31">
        <v>10305814.43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219" t="s">
        <v>271</v>
      </c>
      <c r="AG209" s="219">
        <v>2020</v>
      </c>
      <c r="AH209" s="220" t="s">
        <v>271</v>
      </c>
      <c r="AT209" s="20" t="e">
        <f t="shared" si="26"/>
        <v>#N/A</v>
      </c>
      <c r="BZ209" s="71"/>
      <c r="CD209" s="20" t="e">
        <f t="shared" si="22"/>
        <v>#N/A</v>
      </c>
    </row>
    <row r="210" spans="1:82" ht="61.5" x14ac:dyDescent="0.85">
      <c r="A210" s="20">
        <v>1</v>
      </c>
      <c r="B210" s="66">
        <f>SUBTOTAL(103,$A$22:A210)</f>
        <v>186</v>
      </c>
      <c r="C210" s="24" t="s">
        <v>780</v>
      </c>
      <c r="D210" s="31">
        <f t="shared" si="27"/>
        <v>9954095.7100000009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3">
        <v>5</v>
      </c>
      <c r="L210" s="31">
        <v>9954095.7100000009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219" t="s">
        <v>271</v>
      </c>
      <c r="AG210" s="219">
        <v>2020</v>
      </c>
      <c r="AH210" s="220" t="s">
        <v>271</v>
      </c>
      <c r="AT210" s="20" t="e">
        <f t="shared" si="26"/>
        <v>#N/A</v>
      </c>
      <c r="BZ210" s="71"/>
      <c r="CD210" s="20" t="e">
        <f t="shared" si="22"/>
        <v>#N/A</v>
      </c>
    </row>
    <row r="211" spans="1:82" ht="61.5" x14ac:dyDescent="0.85">
      <c r="A211" s="20">
        <v>1</v>
      </c>
      <c r="B211" s="66">
        <f>SUBTOTAL(103,$A$22:A211)</f>
        <v>187</v>
      </c>
      <c r="C211" s="24" t="s">
        <v>781</v>
      </c>
      <c r="D211" s="31">
        <f t="shared" si="27"/>
        <v>9310459.7000000011</v>
      </c>
      <c r="E211" s="31">
        <v>749597.22</v>
      </c>
      <c r="F211" s="31">
        <v>0</v>
      </c>
      <c r="G211" s="31">
        <f>6632817.44-1050860.34</f>
        <v>5581957.1000000006</v>
      </c>
      <c r="H211" s="31">
        <v>900908.28</v>
      </c>
      <c r="I211" s="31">
        <v>1694890.44</v>
      </c>
      <c r="J211" s="31">
        <v>0</v>
      </c>
      <c r="K211" s="33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f>ROUND((E211+F211+G211+H211+I211+J211)*1.5%,2)</f>
        <v>133910.29999999999</v>
      </c>
      <c r="AD211" s="31">
        <v>249196.36</v>
      </c>
      <c r="AE211" s="31">
        <v>0</v>
      </c>
      <c r="AF211" s="219">
        <v>2020</v>
      </c>
      <c r="AG211" s="219">
        <v>2020</v>
      </c>
      <c r="AH211" s="220">
        <v>2020</v>
      </c>
      <c r="AT211" s="20" t="e">
        <f t="shared" si="26"/>
        <v>#N/A</v>
      </c>
      <c r="BZ211" s="71"/>
      <c r="CD211" s="20" t="e">
        <f t="shared" si="22"/>
        <v>#N/A</v>
      </c>
    </row>
    <row r="212" spans="1:82" ht="61.5" x14ac:dyDescent="0.85">
      <c r="A212" s="20">
        <v>1</v>
      </c>
      <c r="B212" s="66">
        <f>SUBTOTAL(103,$A$22:A212)</f>
        <v>188</v>
      </c>
      <c r="C212" s="24" t="s">
        <v>782</v>
      </c>
      <c r="D212" s="31">
        <f t="shared" si="27"/>
        <v>1703879.76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3">
        <v>0</v>
      </c>
      <c r="L212" s="31">
        <v>0</v>
      </c>
      <c r="M212" s="31">
        <v>675</v>
      </c>
      <c r="N212" s="273">
        <v>1622576.28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81303.48</v>
      </c>
      <c r="AE212" s="31">
        <v>0</v>
      </c>
      <c r="AF212" s="219">
        <v>2020</v>
      </c>
      <c r="AG212" s="219">
        <v>2020</v>
      </c>
      <c r="AH212" s="220" t="s">
        <v>271</v>
      </c>
      <c r="AT212" s="20" t="e">
        <f t="shared" si="26"/>
        <v>#N/A</v>
      </c>
      <c r="BZ212" s="71"/>
      <c r="CD212" s="20" t="e">
        <f t="shared" si="22"/>
        <v>#N/A</v>
      </c>
    </row>
    <row r="213" spans="1:82" ht="61.5" x14ac:dyDescent="0.85">
      <c r="A213" s="20">
        <v>1</v>
      </c>
      <c r="B213" s="66">
        <f>SUBTOTAL(103,$A$22:A213)</f>
        <v>189</v>
      </c>
      <c r="C213" s="24" t="s">
        <v>783</v>
      </c>
      <c r="D213" s="31">
        <f t="shared" si="27"/>
        <v>114842.89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3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f>ROUND(N213*1.5%,2)</f>
        <v>0</v>
      </c>
      <c r="AD213" s="31">
        <v>114842.89</v>
      </c>
      <c r="AE213" s="31">
        <v>0</v>
      </c>
      <c r="AF213" s="219">
        <v>2020</v>
      </c>
      <c r="AG213" s="219" t="s">
        <v>271</v>
      </c>
      <c r="AH213" s="219" t="s">
        <v>271</v>
      </c>
      <c r="AT213" s="20" t="e">
        <f t="shared" si="26"/>
        <v>#N/A</v>
      </c>
      <c r="BZ213" s="71"/>
      <c r="CD213" s="20">
        <f t="shared" si="22"/>
        <v>1319.27</v>
      </c>
    </row>
    <row r="214" spans="1:82" ht="61.5" x14ac:dyDescent="0.85">
      <c r="A214" s="20">
        <v>1</v>
      </c>
      <c r="B214" s="66">
        <f>SUBTOTAL(103,$A$22:A214)</f>
        <v>190</v>
      </c>
      <c r="C214" s="24" t="s">
        <v>784</v>
      </c>
      <c r="D214" s="31">
        <f t="shared" si="27"/>
        <v>5123354.76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3">
        <v>0</v>
      </c>
      <c r="L214" s="31">
        <v>0</v>
      </c>
      <c r="M214" s="31">
        <v>1080</v>
      </c>
      <c r="N214" s="31">
        <v>4913159.8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f>ROUND(N214*1.5%,2)</f>
        <v>73697.399999999994</v>
      </c>
      <c r="AD214" s="31">
        <v>136497.56</v>
      </c>
      <c r="AE214" s="31">
        <v>0</v>
      </c>
      <c r="AF214" s="219">
        <v>2020</v>
      </c>
      <c r="AG214" s="219">
        <v>2020</v>
      </c>
      <c r="AH214" s="220">
        <v>2020</v>
      </c>
      <c r="AT214" s="20" t="e">
        <f t="shared" si="26"/>
        <v>#N/A</v>
      </c>
      <c r="BZ214" s="71"/>
      <c r="CD214" s="20" t="e">
        <f t="shared" si="22"/>
        <v>#N/A</v>
      </c>
    </row>
    <row r="215" spans="1:82" ht="61.5" x14ac:dyDescent="0.85">
      <c r="A215" s="20">
        <v>1</v>
      </c>
      <c r="B215" s="66">
        <f>SUBTOTAL(103,$A$22:A215)</f>
        <v>191</v>
      </c>
      <c r="C215" s="24" t="s">
        <v>785</v>
      </c>
      <c r="D215" s="31">
        <f t="shared" si="27"/>
        <v>8021093.6299999999</v>
      </c>
      <c r="E215" s="31">
        <v>0</v>
      </c>
      <c r="F215" s="31">
        <v>0</v>
      </c>
      <c r="G215" s="31">
        <v>0</v>
      </c>
      <c r="H215" s="31">
        <v>0</v>
      </c>
      <c r="I215" s="31">
        <v>1464542.39</v>
      </c>
      <c r="J215" s="31">
        <v>0</v>
      </c>
      <c r="K215" s="33">
        <v>0</v>
      </c>
      <c r="L215" s="31">
        <v>0</v>
      </c>
      <c r="M215" s="31">
        <v>1375.9</v>
      </c>
      <c r="N215" s="31">
        <f>6051559.71+150000</f>
        <v>6201559.71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f>ROUND((N215+I215)*1.5%,2)</f>
        <v>114991.53</v>
      </c>
      <c r="AD215" s="31">
        <v>0</v>
      </c>
      <c r="AE215" s="31">
        <v>240000</v>
      </c>
      <c r="AF215" s="219" t="s">
        <v>271</v>
      </c>
      <c r="AG215" s="219">
        <v>2020</v>
      </c>
      <c r="AH215" s="220">
        <v>2020</v>
      </c>
      <c r="AT215" s="20" t="e">
        <f t="shared" si="26"/>
        <v>#N/A</v>
      </c>
      <c r="BZ215" s="71"/>
      <c r="CD215" s="20">
        <f t="shared" si="22"/>
        <v>1375.9</v>
      </c>
    </row>
    <row r="216" spans="1:82" ht="61.5" x14ac:dyDescent="0.85">
      <c r="A216" s="20">
        <v>1</v>
      </c>
      <c r="B216" s="66">
        <f>SUBTOTAL(103,$A$22:A216)</f>
        <v>192</v>
      </c>
      <c r="C216" s="24" t="s">
        <v>1180</v>
      </c>
      <c r="D216" s="31">
        <f t="shared" si="27"/>
        <v>3517276.18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3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280">
        <v>815.66</v>
      </c>
      <c r="R216" s="281">
        <v>3517276.18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219" t="s">
        <v>271</v>
      </c>
      <c r="AG216" s="219">
        <v>2020</v>
      </c>
      <c r="AH216" s="220" t="s">
        <v>271</v>
      </c>
      <c r="BZ216" s="71"/>
      <c r="CD216" s="20" t="e">
        <f t="shared" si="22"/>
        <v>#N/A</v>
      </c>
    </row>
    <row r="217" spans="1:82" ht="61.5" x14ac:dyDescent="0.85">
      <c r="A217" s="20">
        <v>1</v>
      </c>
      <c r="B217" s="66">
        <f>SUBTOTAL(103,$A$22:A217)</f>
        <v>193</v>
      </c>
      <c r="C217" s="24" t="s">
        <v>1181</v>
      </c>
      <c r="D217" s="31">
        <f t="shared" si="27"/>
        <v>584803.79</v>
      </c>
      <c r="E217" s="31">
        <v>0</v>
      </c>
      <c r="F217" s="31">
        <v>0</v>
      </c>
      <c r="G217" s="31">
        <v>0</v>
      </c>
      <c r="H217" s="31">
        <v>0</v>
      </c>
      <c r="I217" s="328">
        <v>576161.37</v>
      </c>
      <c r="J217" s="31">
        <v>0</v>
      </c>
      <c r="K217" s="33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f>ROUND((E217+F217+G217+H217+I217+J217)*1.5%,2)</f>
        <v>8642.42</v>
      </c>
      <c r="AD217" s="31">
        <v>0</v>
      </c>
      <c r="AE217" s="31">
        <v>0</v>
      </c>
      <c r="AF217" s="219" t="s">
        <v>271</v>
      </c>
      <c r="AG217" s="219">
        <v>2020</v>
      </c>
      <c r="AH217" s="220">
        <v>2020</v>
      </c>
      <c r="BZ217" s="71"/>
      <c r="CD217" s="20" t="e">
        <f t="shared" si="22"/>
        <v>#N/A</v>
      </c>
    </row>
    <row r="218" spans="1:82" ht="61.5" x14ac:dyDescent="0.85">
      <c r="A218" s="20">
        <v>1</v>
      </c>
      <c r="B218" s="66">
        <f>SUBTOTAL(103,$A$22:A218)</f>
        <v>194</v>
      </c>
      <c r="C218" s="24" t="s">
        <v>1182</v>
      </c>
      <c r="D218" s="31">
        <f t="shared" si="27"/>
        <v>5597667.4300000006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3">
        <v>0</v>
      </c>
      <c r="L218" s="31">
        <v>0</v>
      </c>
      <c r="M218" s="31">
        <v>1206.22</v>
      </c>
      <c r="N218" s="31">
        <v>5514943.2800000003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f>ROUND(N218*1.5%,2)</f>
        <v>82724.149999999994</v>
      </c>
      <c r="AD218" s="31">
        <v>0</v>
      </c>
      <c r="AE218" s="31">
        <v>0</v>
      </c>
      <c r="AF218" s="219" t="s">
        <v>271</v>
      </c>
      <c r="AG218" s="219">
        <v>2020</v>
      </c>
      <c r="AH218" s="220">
        <v>2020</v>
      </c>
      <c r="BZ218" s="71"/>
      <c r="CD218" s="20">
        <f t="shared" si="22"/>
        <v>1206.22</v>
      </c>
    </row>
    <row r="219" spans="1:82" ht="61.5" x14ac:dyDescent="0.85">
      <c r="A219" s="20">
        <v>1</v>
      </c>
      <c r="B219" s="66">
        <f>SUBTOTAL(103,$A$22:A219)</f>
        <v>195</v>
      </c>
      <c r="C219" s="24" t="s">
        <v>1183</v>
      </c>
      <c r="D219" s="31">
        <f t="shared" si="27"/>
        <v>958906.03</v>
      </c>
      <c r="E219" s="31">
        <v>0</v>
      </c>
      <c r="F219" s="31">
        <v>0</v>
      </c>
      <c r="G219" s="31">
        <v>0</v>
      </c>
      <c r="H219" s="31">
        <v>457515</v>
      </c>
      <c r="I219" s="31">
        <v>487220</v>
      </c>
      <c r="J219" s="31">
        <v>0</v>
      </c>
      <c r="K219" s="33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f>ROUND((E219+F219+G219+H219+I219+J219)*1.5%,2)</f>
        <v>14171.03</v>
      </c>
      <c r="AD219" s="31">
        <v>0</v>
      </c>
      <c r="AE219" s="31">
        <v>0</v>
      </c>
      <c r="AF219" s="219" t="s">
        <v>271</v>
      </c>
      <c r="AG219" s="219">
        <v>2020</v>
      </c>
      <c r="AH219" s="220">
        <v>2020</v>
      </c>
      <c r="BZ219" s="71"/>
      <c r="CD219" s="20" t="e">
        <f t="shared" si="22"/>
        <v>#N/A</v>
      </c>
    </row>
    <row r="220" spans="1:82" ht="61.5" x14ac:dyDescent="0.85">
      <c r="A220" s="20">
        <v>1</v>
      </c>
      <c r="B220" s="66">
        <f>SUBTOTAL(103,$A$22:A220)</f>
        <v>196</v>
      </c>
      <c r="C220" s="24" t="s">
        <v>1185</v>
      </c>
      <c r="D220" s="31">
        <f t="shared" si="27"/>
        <v>3942505.78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3">
        <v>0</v>
      </c>
      <c r="L220" s="31">
        <v>0</v>
      </c>
      <c r="M220" s="272">
        <v>1111.9000000000001</v>
      </c>
      <c r="N220" s="272">
        <v>3884242.15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f>ROUND(N220*1.5%,2)</f>
        <v>58263.63</v>
      </c>
      <c r="AD220" s="31">
        <v>0</v>
      </c>
      <c r="AE220" s="31">
        <v>0</v>
      </c>
      <c r="AF220" s="219" t="s">
        <v>271</v>
      </c>
      <c r="AG220" s="219">
        <v>2020</v>
      </c>
      <c r="AH220" s="220">
        <v>2020</v>
      </c>
      <c r="BZ220" s="71"/>
      <c r="CD220" s="20">
        <f t="shared" si="22"/>
        <v>1137.3</v>
      </c>
    </row>
    <row r="221" spans="1:82" ht="61.5" x14ac:dyDescent="0.85">
      <c r="A221" s="20">
        <v>1</v>
      </c>
      <c r="B221" s="66">
        <f>SUBTOTAL(103,$A$22:A221)</f>
        <v>197</v>
      </c>
      <c r="C221" s="24" t="s">
        <v>1186</v>
      </c>
      <c r="D221" s="31">
        <f t="shared" si="27"/>
        <v>1625426.78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3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272">
        <v>379.48</v>
      </c>
      <c r="R221" s="31">
        <v>1601405.69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f>ROUND(R221*1.5%,2)</f>
        <v>24021.09</v>
      </c>
      <c r="AD221" s="31">
        <v>0</v>
      </c>
      <c r="AE221" s="31">
        <v>0</v>
      </c>
      <c r="AF221" s="219" t="s">
        <v>271</v>
      </c>
      <c r="AG221" s="219">
        <v>2020</v>
      </c>
      <c r="AH221" s="220">
        <v>2020</v>
      </c>
      <c r="BZ221" s="71"/>
      <c r="CD221" s="20" t="e">
        <f t="shared" si="22"/>
        <v>#N/A</v>
      </c>
    </row>
    <row r="222" spans="1:82" ht="61.5" x14ac:dyDescent="0.85">
      <c r="A222" s="20">
        <v>1</v>
      </c>
      <c r="B222" s="66">
        <f>SUBTOTAL(103,$A$22:A222)</f>
        <v>198</v>
      </c>
      <c r="C222" s="24" t="s">
        <v>1187</v>
      </c>
      <c r="D222" s="31">
        <f t="shared" si="27"/>
        <v>4355063.8499999996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3">
        <v>3</v>
      </c>
      <c r="L222" s="31">
        <v>4355063.8499999996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219" t="s">
        <v>271</v>
      </c>
      <c r="AG222" s="219">
        <v>2020</v>
      </c>
      <c r="AH222" s="220" t="s">
        <v>271</v>
      </c>
      <c r="BZ222" s="71"/>
      <c r="CD222" s="20" t="e">
        <f t="shared" si="22"/>
        <v>#N/A</v>
      </c>
    </row>
    <row r="223" spans="1:82" ht="61.5" x14ac:dyDescent="0.85">
      <c r="A223" s="20">
        <v>1</v>
      </c>
      <c r="B223" s="66">
        <f>SUBTOTAL(103,$A$22:A223)</f>
        <v>199</v>
      </c>
      <c r="C223" s="24" t="s">
        <v>1188</v>
      </c>
      <c r="D223" s="31">
        <f t="shared" si="27"/>
        <v>2299678.3200000003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3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272">
        <v>503.64</v>
      </c>
      <c r="R223" s="31">
        <v>2265692.9300000002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f>ROUND(R223*1.5%,2)</f>
        <v>33985.39</v>
      </c>
      <c r="AD223" s="31">
        <v>0</v>
      </c>
      <c r="AE223" s="31">
        <v>0</v>
      </c>
      <c r="AF223" s="219" t="s">
        <v>271</v>
      </c>
      <c r="AG223" s="219">
        <v>2020</v>
      </c>
      <c r="AH223" s="220">
        <v>2020</v>
      </c>
      <c r="BZ223" s="71"/>
      <c r="CD223" s="20" t="e">
        <f t="shared" si="22"/>
        <v>#N/A</v>
      </c>
    </row>
    <row r="224" spans="1:82" ht="61.5" x14ac:dyDescent="0.85">
      <c r="A224" s="20">
        <v>1</v>
      </c>
      <c r="B224" s="66">
        <f>SUBTOTAL(103,$A$22:A224)</f>
        <v>200</v>
      </c>
      <c r="C224" s="24" t="s">
        <v>1189</v>
      </c>
      <c r="D224" s="31">
        <f t="shared" si="27"/>
        <v>2329359.0300000003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3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278">
        <v>408.93</v>
      </c>
      <c r="R224" s="31">
        <f>1921347.08+335605.62</f>
        <v>2256952.7000000002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f>ROUND(R224*1.5%,2)</f>
        <v>33854.29</v>
      </c>
      <c r="AD224" s="31">
        <v>38552.04</v>
      </c>
      <c r="AE224" s="31">
        <v>0</v>
      </c>
      <c r="AF224" s="219">
        <v>2020</v>
      </c>
      <c r="AG224" s="219">
        <v>2020</v>
      </c>
      <c r="AH224" s="220">
        <v>2020</v>
      </c>
      <c r="BZ224" s="71"/>
      <c r="CD224" s="20" t="e">
        <f t="shared" si="22"/>
        <v>#N/A</v>
      </c>
    </row>
    <row r="225" spans="1:82" ht="61.5" x14ac:dyDescent="0.85">
      <c r="A225" s="20">
        <v>1</v>
      </c>
      <c r="B225" s="66">
        <f>SUBTOTAL(103,$A$22:A225)</f>
        <v>201</v>
      </c>
      <c r="C225" s="24" t="s">
        <v>1190</v>
      </c>
      <c r="D225" s="31">
        <f t="shared" si="27"/>
        <v>6356844.0800000001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30">
        <v>4</v>
      </c>
      <c r="L225" s="273">
        <v>6356844.0800000001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219" t="s">
        <v>271</v>
      </c>
      <c r="AG225" s="219">
        <v>2020</v>
      </c>
      <c r="AH225" s="220" t="s">
        <v>271</v>
      </c>
      <c r="BZ225" s="71"/>
      <c r="CD225" s="20" t="e">
        <f t="shared" si="22"/>
        <v>#N/A</v>
      </c>
    </row>
    <row r="226" spans="1:82" ht="61.5" x14ac:dyDescent="0.85">
      <c r="A226" s="20">
        <v>1</v>
      </c>
      <c r="B226" s="66">
        <f>SUBTOTAL(103,$A$22:A226)</f>
        <v>202</v>
      </c>
      <c r="C226" s="24" t="s">
        <v>1294</v>
      </c>
      <c r="D226" s="31">
        <f t="shared" si="27"/>
        <v>6395339.7400000002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3">
        <v>0</v>
      </c>
      <c r="L226" s="31">
        <v>0</v>
      </c>
      <c r="M226" s="31">
        <v>1548.79</v>
      </c>
      <c r="N226" s="31">
        <f>6669512.32+1022599.21-1561505.91</f>
        <v>6130605.6200000001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f>ROUND(N226*1.5%,2)</f>
        <v>91959.08</v>
      </c>
      <c r="AD226" s="272">
        <v>172775.04000000001</v>
      </c>
      <c r="AE226" s="31">
        <v>0</v>
      </c>
      <c r="AF226" s="219">
        <v>2020</v>
      </c>
      <c r="AG226" s="219">
        <v>2020</v>
      </c>
      <c r="AH226" s="220">
        <v>2020</v>
      </c>
      <c r="BZ226" s="71"/>
      <c r="CD226" s="20" t="e">
        <f t="shared" si="22"/>
        <v>#N/A</v>
      </c>
    </row>
    <row r="227" spans="1:82" ht="61.5" x14ac:dyDescent="0.85">
      <c r="A227" s="20">
        <v>1</v>
      </c>
      <c r="B227" s="66">
        <f>SUBTOTAL(103,$A$22:A227)</f>
        <v>203</v>
      </c>
      <c r="C227" s="24" t="s">
        <v>1386</v>
      </c>
      <c r="D227" s="31">
        <f t="shared" si="27"/>
        <v>13083489.59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30">
        <v>9</v>
      </c>
      <c r="L227" s="273">
        <v>13083489.59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219" t="s">
        <v>271</v>
      </c>
      <c r="AG227" s="219">
        <v>2020</v>
      </c>
      <c r="AH227" s="220" t="s">
        <v>271</v>
      </c>
      <c r="BZ227" s="71"/>
      <c r="CD227" s="20" t="e">
        <f t="shared" si="22"/>
        <v>#N/A</v>
      </c>
    </row>
    <row r="228" spans="1:82" ht="61.5" x14ac:dyDescent="0.85">
      <c r="A228" s="20">
        <v>1</v>
      </c>
      <c r="B228" s="66">
        <f>SUBTOTAL(103,$A$22:A228)</f>
        <v>204</v>
      </c>
      <c r="C228" s="24" t="s">
        <v>1402</v>
      </c>
      <c r="D228" s="31">
        <f t="shared" si="27"/>
        <v>5478127.7400000002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30">
        <v>3</v>
      </c>
      <c r="L228" s="273">
        <v>5478127.7400000002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219" t="s">
        <v>271</v>
      </c>
      <c r="AG228" s="219">
        <v>2020</v>
      </c>
      <c r="AH228" s="220" t="s">
        <v>271</v>
      </c>
      <c r="BZ228" s="71"/>
      <c r="CD228" s="20" t="e">
        <f t="shared" si="22"/>
        <v>#N/A</v>
      </c>
    </row>
    <row r="229" spans="1:82" ht="61.5" x14ac:dyDescent="0.85">
      <c r="A229" s="20">
        <v>1</v>
      </c>
      <c r="B229" s="66">
        <f>SUBTOTAL(103,$A$22:A229)</f>
        <v>205</v>
      </c>
      <c r="C229" s="24" t="s">
        <v>1403</v>
      </c>
      <c r="D229" s="31">
        <f t="shared" si="27"/>
        <v>7310851.2000000002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30">
        <v>4</v>
      </c>
      <c r="L229" s="273">
        <v>7310851.2000000002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219" t="s">
        <v>271</v>
      </c>
      <c r="AG229" s="219">
        <v>2020</v>
      </c>
      <c r="AH229" s="220" t="s">
        <v>271</v>
      </c>
      <c r="BZ229" s="71"/>
      <c r="CD229" s="20" t="e">
        <f t="shared" si="22"/>
        <v>#N/A</v>
      </c>
    </row>
    <row r="230" spans="1:82" ht="61.5" x14ac:dyDescent="0.85">
      <c r="A230" s="20">
        <v>1</v>
      </c>
      <c r="B230" s="66">
        <f>SUBTOTAL(103,$A$22:A230)</f>
        <v>206</v>
      </c>
      <c r="C230" s="24" t="s">
        <v>1404</v>
      </c>
      <c r="D230" s="31">
        <f t="shared" si="27"/>
        <v>5327196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30">
        <v>3</v>
      </c>
      <c r="L230" s="273">
        <v>5327196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219" t="s">
        <v>271</v>
      </c>
      <c r="AG230" s="219">
        <v>2020</v>
      </c>
      <c r="AH230" s="220" t="s">
        <v>271</v>
      </c>
      <c r="BZ230" s="71"/>
      <c r="CD230" s="20" t="e">
        <f t="shared" si="22"/>
        <v>#N/A</v>
      </c>
    </row>
    <row r="231" spans="1:82" ht="61.5" x14ac:dyDescent="0.85">
      <c r="A231" s="20">
        <v>1</v>
      </c>
      <c r="B231" s="66">
        <f>SUBTOTAL(103,$A$22:A231)</f>
        <v>207</v>
      </c>
      <c r="C231" s="24" t="s">
        <v>1405</v>
      </c>
      <c r="D231" s="31">
        <f t="shared" si="27"/>
        <v>7367915.9199999999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30">
        <v>4</v>
      </c>
      <c r="L231" s="273">
        <v>7367915.9199999999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219" t="s">
        <v>271</v>
      </c>
      <c r="AG231" s="219">
        <v>2020</v>
      </c>
      <c r="AH231" s="220" t="s">
        <v>271</v>
      </c>
      <c r="BZ231" s="71"/>
      <c r="CD231" s="20" t="e">
        <f t="shared" si="22"/>
        <v>#N/A</v>
      </c>
    </row>
    <row r="232" spans="1:82" ht="61.5" x14ac:dyDescent="0.85">
      <c r="A232" s="20">
        <v>1</v>
      </c>
      <c r="B232" s="66">
        <f>SUBTOTAL(103,$A$22:A232)</f>
        <v>208</v>
      </c>
      <c r="C232" s="24" t="s">
        <v>1406</v>
      </c>
      <c r="D232" s="31">
        <f t="shared" si="27"/>
        <v>5462413.6200000001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30">
        <v>3</v>
      </c>
      <c r="L232" s="273">
        <v>5462413.6200000001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219" t="s">
        <v>271</v>
      </c>
      <c r="AG232" s="219">
        <v>2020</v>
      </c>
      <c r="AH232" s="220" t="s">
        <v>271</v>
      </c>
      <c r="BZ232" s="71"/>
      <c r="CD232" s="20" t="e">
        <f t="shared" si="22"/>
        <v>#N/A</v>
      </c>
    </row>
    <row r="233" spans="1:82" ht="61.5" x14ac:dyDescent="0.85">
      <c r="A233" s="20">
        <v>1</v>
      </c>
      <c r="B233" s="66">
        <f>SUBTOTAL(103,$A$22:A233)</f>
        <v>209</v>
      </c>
      <c r="C233" s="24" t="s">
        <v>1557</v>
      </c>
      <c r="D233" s="31">
        <f t="shared" si="27"/>
        <v>1452147.29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30">
        <v>1</v>
      </c>
      <c r="L233" s="273">
        <v>1452147.29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219" t="s">
        <v>271</v>
      </c>
      <c r="AG233" s="219">
        <v>2020</v>
      </c>
      <c r="AH233" s="220" t="s">
        <v>271</v>
      </c>
      <c r="BZ233" s="71"/>
      <c r="CD233" s="20" t="e">
        <f t="shared" si="22"/>
        <v>#N/A</v>
      </c>
    </row>
    <row r="234" spans="1:82" ht="61.5" x14ac:dyDescent="0.85">
      <c r="A234" s="20">
        <v>1</v>
      </c>
      <c r="B234" s="66">
        <f>SUBTOTAL(103,$A$22:A234)</f>
        <v>210</v>
      </c>
      <c r="C234" s="24" t="s">
        <v>1558</v>
      </c>
      <c r="D234" s="31">
        <f t="shared" si="27"/>
        <v>2915220.6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30">
        <v>2</v>
      </c>
      <c r="L234" s="273">
        <v>2915220.6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219" t="s">
        <v>271</v>
      </c>
      <c r="AG234" s="219">
        <v>2020</v>
      </c>
      <c r="AH234" s="220" t="s">
        <v>271</v>
      </c>
      <c r="BZ234" s="71"/>
      <c r="CD234" s="20" t="e">
        <f t="shared" si="22"/>
        <v>#N/A</v>
      </c>
    </row>
    <row r="235" spans="1:82" ht="61.5" x14ac:dyDescent="0.85">
      <c r="A235" s="20">
        <v>1</v>
      </c>
      <c r="B235" s="66">
        <f>SUBTOTAL(103,$A$22:A235)</f>
        <v>211</v>
      </c>
      <c r="C235" s="24" t="s">
        <v>1559</v>
      </c>
      <c r="D235" s="31">
        <f>E235+F235+G235+H235+I235+J235+L235+N235+P235+R235+T235+U235+V235+W235+X235+Y235+Z235+AA235+AB235+AC235+AD235+AE235</f>
        <v>4354761.09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30">
        <v>3</v>
      </c>
      <c r="L235" s="273">
        <v>4354761.09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219" t="s">
        <v>271</v>
      </c>
      <c r="AG235" s="219">
        <v>2020</v>
      </c>
      <c r="AH235" s="220" t="s">
        <v>271</v>
      </c>
      <c r="BZ235" s="71"/>
      <c r="CD235" s="20" t="e">
        <f t="shared" si="22"/>
        <v>#N/A</v>
      </c>
    </row>
    <row r="236" spans="1:82" ht="61.5" x14ac:dyDescent="0.85">
      <c r="A236" s="20">
        <v>1</v>
      </c>
      <c r="B236" s="66">
        <f>SUBTOTAL(103,$A$22:A236)</f>
        <v>212</v>
      </c>
      <c r="C236" s="24" t="s">
        <v>1695</v>
      </c>
      <c r="D236" s="31">
        <f t="shared" ref="D236" si="28">E236+F236+G236+H236+I236+J236+L236+N236+P236+R236+T236+U236+V236+W236+X236+Y236+Z236+AA236+AB236+AC236+AD236+AE236</f>
        <v>213150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3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210000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f>ROUND(V236*1.5%,2)</f>
        <v>3150</v>
      </c>
      <c r="AD236" s="31">
        <v>0</v>
      </c>
      <c r="AE236" s="31">
        <v>0</v>
      </c>
      <c r="AF236" s="219" t="s">
        <v>271</v>
      </c>
      <c r="AG236" s="219">
        <v>2020</v>
      </c>
      <c r="AH236" s="220">
        <v>2020</v>
      </c>
      <c r="BZ236" s="71"/>
      <c r="CD236" s="20" t="e">
        <f t="shared" si="22"/>
        <v>#N/A</v>
      </c>
    </row>
    <row r="237" spans="1:82" ht="61.5" x14ac:dyDescent="0.85">
      <c r="A237" s="20">
        <v>1</v>
      </c>
      <c r="B237" s="66">
        <f>SUBTOTAL(103,$A$22:A237)</f>
        <v>213</v>
      </c>
      <c r="C237" s="331" t="s">
        <v>787</v>
      </c>
      <c r="D237" s="31">
        <f>E237+F237+G237+H237+I237+J237+L237+N237+P237+R237+T237+U237+V237+W237+X237+Y237+Z237+AA237+AB237+AC237+AD237+AE237</f>
        <v>6862081.1600000001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32">
        <v>3</v>
      </c>
      <c r="L237" s="210">
        <f>6508517.22+392684.9-122303.03</f>
        <v>6778899.0899999999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214">
        <v>83182.070000000007</v>
      </c>
      <c r="AE237" s="31">
        <v>0</v>
      </c>
      <c r="AF237" s="219">
        <v>2020</v>
      </c>
      <c r="AG237" s="219">
        <v>2020</v>
      </c>
      <c r="AH237" s="220" t="s">
        <v>271</v>
      </c>
      <c r="AT237" s="20" t="e">
        <f>VLOOKUP(C237,AW:AX,2,FALSE)</f>
        <v>#N/A</v>
      </c>
      <c r="BZ237" s="71"/>
      <c r="CD237" s="20" t="e">
        <f t="shared" si="22"/>
        <v>#N/A</v>
      </c>
    </row>
    <row r="238" spans="1:82" ht="61.5" x14ac:dyDescent="0.85">
      <c r="A238" s="20">
        <v>1</v>
      </c>
      <c r="B238" s="66">
        <f>SUBTOTAL(103,$A$22:A238)</f>
        <v>214</v>
      </c>
      <c r="C238" s="331" t="s">
        <v>790</v>
      </c>
      <c r="D238" s="31">
        <f>E238+F238+G238+H238+I238+J238+L238+N238+P238+R238+T238+U238+V238+W238+X238+Y238+Z238+AA238+AB238+AC238+AD238+AE238</f>
        <v>4848740.71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32">
        <v>2</v>
      </c>
      <c r="L238" s="210">
        <v>4772344.59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214">
        <v>76396.12</v>
      </c>
      <c r="AE238" s="31">
        <v>0</v>
      </c>
      <c r="AF238" s="219">
        <v>2020</v>
      </c>
      <c r="AG238" s="219">
        <v>2020</v>
      </c>
      <c r="AH238" s="220" t="s">
        <v>271</v>
      </c>
      <c r="AT238" s="20" t="e">
        <f>VLOOKUP(C238,AW:AX,2,FALSE)</f>
        <v>#N/A</v>
      </c>
      <c r="BZ238" s="71"/>
      <c r="CD238" s="20" t="e">
        <f t="shared" si="22"/>
        <v>#N/A</v>
      </c>
    </row>
    <row r="239" spans="1:82" ht="61.5" x14ac:dyDescent="0.85">
      <c r="A239" s="20">
        <v>1</v>
      </c>
      <c r="B239" s="66">
        <f>SUBTOTAL(103,$A$22:A239)</f>
        <v>215</v>
      </c>
      <c r="C239" s="331" t="s">
        <v>792</v>
      </c>
      <c r="D239" s="31">
        <f>E239+F239+G239+H239+I239+J239+L239+N239+P239+R239+T239+U239+V239+W239+X239+Y239+Z239+AA239+AB239+AC239+AD239+AE239</f>
        <v>4848888.49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32">
        <v>2</v>
      </c>
      <c r="L239" s="210">
        <v>4772344.59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214">
        <v>76543.899999999994</v>
      </c>
      <c r="AE239" s="31">
        <v>0</v>
      </c>
      <c r="AF239" s="219">
        <v>2020</v>
      </c>
      <c r="AG239" s="219">
        <v>2020</v>
      </c>
      <c r="AH239" s="220" t="s">
        <v>271</v>
      </c>
      <c r="AT239" s="20" t="e">
        <f>VLOOKUP(C239,AW:AX,2,FALSE)</f>
        <v>#N/A</v>
      </c>
      <c r="BZ239" s="71"/>
      <c r="CD239" s="20" t="e">
        <f t="shared" si="22"/>
        <v>#N/A</v>
      </c>
    </row>
    <row r="240" spans="1:82" ht="61.5" x14ac:dyDescent="0.85">
      <c r="A240" s="20">
        <v>1</v>
      </c>
      <c r="B240" s="66">
        <f>SUBTOTAL(103,$A$22:A240)</f>
        <v>216</v>
      </c>
      <c r="C240" s="212" t="s">
        <v>788</v>
      </c>
      <c r="D240" s="31">
        <f t="shared" ref="D240:D241" si="29">E240+F240+G240+H240+I240+J240+L240+N240+P240+R240+T240+U240+V240+W240+X240+Y240+Z240+AA240+AB240+AC240+AD240+AE240</f>
        <v>123350.33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3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41">
        <v>123350.33</v>
      </c>
      <c r="AE240" s="31">
        <v>0</v>
      </c>
      <c r="AF240" s="219">
        <v>2020</v>
      </c>
      <c r="AG240" s="219" t="s">
        <v>271</v>
      </c>
      <c r="AH240" s="220" t="s">
        <v>271</v>
      </c>
      <c r="AT240" s="20" t="e">
        <f>VLOOKUP(C240,AW:AX,2,FALSE)</f>
        <v>#N/A</v>
      </c>
      <c r="BZ240" s="71"/>
      <c r="CD240" s="20" t="e">
        <f t="shared" si="22"/>
        <v>#N/A</v>
      </c>
    </row>
    <row r="241" spans="1:82" ht="61.5" x14ac:dyDescent="0.85">
      <c r="A241" s="20">
        <v>1</v>
      </c>
      <c r="B241" s="66">
        <f>SUBTOTAL(103,$A$22:A241)</f>
        <v>217</v>
      </c>
      <c r="C241" s="212" t="s">
        <v>793</v>
      </c>
      <c r="D241" s="31">
        <f t="shared" si="29"/>
        <v>111937.75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3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42">
        <v>111937.75</v>
      </c>
      <c r="AE241" s="31">
        <v>0</v>
      </c>
      <c r="AF241" s="219">
        <v>2020</v>
      </c>
      <c r="AG241" s="219" t="s">
        <v>271</v>
      </c>
      <c r="AH241" s="220" t="s">
        <v>271</v>
      </c>
      <c r="AT241" s="20" t="e">
        <f>VLOOKUP(C241,AW:AX,2,FALSE)</f>
        <v>#N/A</v>
      </c>
      <c r="BZ241" s="71"/>
      <c r="CD241" s="20" t="e">
        <f t="shared" si="22"/>
        <v>#N/A</v>
      </c>
    </row>
    <row r="242" spans="1:82" ht="61.5" x14ac:dyDescent="0.85">
      <c r="A242" s="20">
        <v>1</v>
      </c>
      <c r="B242" s="66">
        <f>SUBTOTAL(103,$A$22:A242)</f>
        <v>218</v>
      </c>
      <c r="C242" s="212" t="s">
        <v>1699</v>
      </c>
      <c r="D242" s="31">
        <f>E242+F242+G242+H242+I242+J242+L242+N242+P242+R242+T242+U242+V242+W242+X242+Y242+Z242+AA242+AB242+AC242+AD242+AE242</f>
        <v>106171.3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3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41">
        <v>106171.3</v>
      </c>
      <c r="AE242" s="31">
        <v>0</v>
      </c>
      <c r="AF242" s="219">
        <v>2020</v>
      </c>
      <c r="AG242" s="219" t="s">
        <v>271</v>
      </c>
      <c r="AH242" s="220" t="s">
        <v>271</v>
      </c>
      <c r="BZ242" s="71"/>
      <c r="CD242" s="20" t="e">
        <f t="shared" si="22"/>
        <v>#N/A</v>
      </c>
    </row>
    <row r="243" spans="1:82" ht="61.5" x14ac:dyDescent="0.85">
      <c r="B243" s="24" t="s">
        <v>771</v>
      </c>
      <c r="C243" s="114"/>
      <c r="D243" s="31">
        <f>SUM(D244:D249)</f>
        <v>26597638.940000001</v>
      </c>
      <c r="E243" s="31">
        <f t="shared" ref="E243:AD243" si="30">SUM(E244:E249)</f>
        <v>0</v>
      </c>
      <c r="F243" s="31">
        <f t="shared" si="30"/>
        <v>0</v>
      </c>
      <c r="G243" s="31">
        <f t="shared" si="30"/>
        <v>0</v>
      </c>
      <c r="H243" s="31">
        <f t="shared" si="30"/>
        <v>0</v>
      </c>
      <c r="I243" s="31">
        <f t="shared" si="30"/>
        <v>4507188.75</v>
      </c>
      <c r="J243" s="31">
        <f t="shared" si="30"/>
        <v>0</v>
      </c>
      <c r="K243" s="33">
        <f t="shared" si="30"/>
        <v>6</v>
      </c>
      <c r="L243" s="31">
        <f t="shared" si="30"/>
        <v>12703637.84</v>
      </c>
      <c r="M243" s="31">
        <f t="shared" si="30"/>
        <v>386.2</v>
      </c>
      <c r="N243" s="31">
        <f t="shared" si="30"/>
        <v>2075284.04</v>
      </c>
      <c r="O243" s="31">
        <f t="shared" si="30"/>
        <v>0</v>
      </c>
      <c r="P243" s="31">
        <f t="shared" si="30"/>
        <v>0</v>
      </c>
      <c r="Q243" s="31">
        <f t="shared" si="30"/>
        <v>2995.9</v>
      </c>
      <c r="R243" s="31">
        <f t="shared" si="30"/>
        <v>6762936.7800000003</v>
      </c>
      <c r="S243" s="31">
        <f t="shared" si="30"/>
        <v>0</v>
      </c>
      <c r="T243" s="31">
        <f t="shared" si="30"/>
        <v>0</v>
      </c>
      <c r="U243" s="31">
        <f t="shared" si="30"/>
        <v>0</v>
      </c>
      <c r="V243" s="31">
        <f t="shared" si="30"/>
        <v>0</v>
      </c>
      <c r="W243" s="31">
        <f t="shared" si="30"/>
        <v>0</v>
      </c>
      <c r="X243" s="31">
        <f t="shared" si="30"/>
        <v>0</v>
      </c>
      <c r="Y243" s="31">
        <f t="shared" si="30"/>
        <v>0</v>
      </c>
      <c r="Z243" s="31">
        <f t="shared" si="30"/>
        <v>0</v>
      </c>
      <c r="AA243" s="31">
        <f t="shared" si="30"/>
        <v>0</v>
      </c>
      <c r="AB243" s="31">
        <f t="shared" si="30"/>
        <v>0</v>
      </c>
      <c r="AC243" s="31">
        <f t="shared" si="30"/>
        <v>200181.14</v>
      </c>
      <c r="AD243" s="31">
        <f t="shared" si="30"/>
        <v>348410.39</v>
      </c>
      <c r="AE243" s="31">
        <f>SUM(AE244:AE249)</f>
        <v>0</v>
      </c>
      <c r="AF243" s="221" t="s">
        <v>764</v>
      </c>
      <c r="AG243" s="221" t="s">
        <v>764</v>
      </c>
      <c r="AH243" s="222" t="s">
        <v>764</v>
      </c>
      <c r="AT243" s="20" t="e">
        <f>VLOOKUP(C243,AW:AX,2,FALSE)</f>
        <v>#N/A</v>
      </c>
      <c r="BZ243" s="71">
        <v>51784138.459999993</v>
      </c>
      <c r="CB243" s="71">
        <f>BZ243-D243</f>
        <v>25186499.519999992</v>
      </c>
      <c r="CD243" s="20" t="e">
        <f t="shared" si="22"/>
        <v>#N/A</v>
      </c>
    </row>
    <row r="244" spans="1:82" ht="61.5" x14ac:dyDescent="0.85">
      <c r="A244" s="20">
        <v>1</v>
      </c>
      <c r="B244" s="66">
        <f>SUBTOTAL(103,$A$22:A244)</f>
        <v>219</v>
      </c>
      <c r="C244" s="24" t="s">
        <v>385</v>
      </c>
      <c r="D244" s="31">
        <f t="shared" ref="D244:D249" si="31">E244+F244+G244+H244+I244+J244+L244+N244+P244+R244+T244+U244+V244+W244+X244+Y244+Z244+AA244+AB244+AC244+AD244+AE244</f>
        <v>2106413.2999999998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3">
        <v>0</v>
      </c>
      <c r="L244" s="31">
        <v>0</v>
      </c>
      <c r="M244" s="31">
        <v>386.2</v>
      </c>
      <c r="N244" s="31">
        <f>1912188.44+163095.6</f>
        <v>2075284.04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f>ROUND(N244*1.5%,2)</f>
        <v>31129.26</v>
      </c>
      <c r="AD244" s="31">
        <v>0</v>
      </c>
      <c r="AE244" s="31">
        <v>0</v>
      </c>
      <c r="AF244" s="219" t="s">
        <v>271</v>
      </c>
      <c r="AG244" s="219">
        <v>2020</v>
      </c>
      <c r="AH244" s="220">
        <v>2020</v>
      </c>
      <c r="AT244" s="20" t="e">
        <f>VLOOKUP(C244,AW:AX,2,FALSE)</f>
        <v>#N/A</v>
      </c>
      <c r="BZ244" s="71"/>
      <c r="CB244" s="71"/>
      <c r="CD244" s="20">
        <f t="shared" si="22"/>
        <v>386.2</v>
      </c>
    </row>
    <row r="245" spans="1:82" ht="61.5" x14ac:dyDescent="0.85">
      <c r="A245" s="20">
        <v>1</v>
      </c>
      <c r="B245" s="66">
        <f>SUBTOTAL(103,$A$22:A245)</f>
        <v>220</v>
      </c>
      <c r="C245" s="24" t="s">
        <v>386</v>
      </c>
      <c r="D245" s="31">
        <f t="shared" si="31"/>
        <v>7038670.4199999999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3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272">
        <v>2995.9</v>
      </c>
      <c r="R245" s="31">
        <f>5832512.32+ROUND(900850.92*100/101.5,2)+21454.32+21432.29</f>
        <v>6762936.7800000003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f>ROUND(R245*1.5%,2)</f>
        <v>101444.05</v>
      </c>
      <c r="AD245" s="272">
        <v>174289.59</v>
      </c>
      <c r="AE245" s="31">
        <v>0</v>
      </c>
      <c r="AF245" s="219">
        <v>2020</v>
      </c>
      <c r="AG245" s="219">
        <v>2020</v>
      </c>
      <c r="AH245" s="220">
        <v>2020</v>
      </c>
      <c r="AT245" s="20" t="e">
        <f>VLOOKUP(C245,AW:AX,2,FALSE)</f>
        <v>#N/A</v>
      </c>
      <c r="BZ245" s="71"/>
      <c r="CD245" s="20" t="e">
        <f t="shared" si="22"/>
        <v>#N/A</v>
      </c>
    </row>
    <row r="246" spans="1:82" ht="61.5" x14ac:dyDescent="0.85">
      <c r="A246" s="20">
        <v>1</v>
      </c>
      <c r="B246" s="66">
        <f>SUBTOTAL(103,$A$22:A246)</f>
        <v>221</v>
      </c>
      <c r="C246" s="24" t="s">
        <v>387</v>
      </c>
      <c r="D246" s="31">
        <f t="shared" si="31"/>
        <v>174120.8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3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f>ROUND(R246*1.5%,2)</f>
        <v>0</v>
      </c>
      <c r="AD246" s="328">
        <v>174120.8</v>
      </c>
      <c r="AE246" s="31">
        <v>0</v>
      </c>
      <c r="AF246" s="219">
        <v>2020</v>
      </c>
      <c r="AG246" s="220" t="s">
        <v>271</v>
      </c>
      <c r="AH246" s="220" t="s">
        <v>271</v>
      </c>
      <c r="AT246" s="20" t="e">
        <f>VLOOKUP(C246,AW:AX,2,FALSE)</f>
        <v>#N/A</v>
      </c>
      <c r="BZ246" s="71"/>
      <c r="CD246" s="20" t="e">
        <f t="shared" si="22"/>
        <v>#N/A</v>
      </c>
    </row>
    <row r="247" spans="1:82" ht="61.5" x14ac:dyDescent="0.85">
      <c r="A247" s="20">
        <v>1</v>
      </c>
      <c r="B247" s="66">
        <f>SUBTOTAL(103,$A$22:A247)</f>
        <v>222</v>
      </c>
      <c r="C247" s="24" t="s">
        <v>1191</v>
      </c>
      <c r="D247" s="31">
        <f t="shared" si="31"/>
        <v>4574796.58</v>
      </c>
      <c r="E247" s="31">
        <v>0</v>
      </c>
      <c r="F247" s="31">
        <v>0</v>
      </c>
      <c r="G247" s="31">
        <v>0</v>
      </c>
      <c r="H247" s="31">
        <v>0</v>
      </c>
      <c r="I247" s="31">
        <v>4507188.75</v>
      </c>
      <c r="J247" s="31">
        <v>0</v>
      </c>
      <c r="K247" s="33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f>ROUND((E247+F247+G247+H247+I247+J247)*1.5%,2)</f>
        <v>67607.83</v>
      </c>
      <c r="AD247" s="31">
        <v>0</v>
      </c>
      <c r="AE247" s="31">
        <v>0</v>
      </c>
      <c r="AF247" s="219" t="s">
        <v>271</v>
      </c>
      <c r="AG247" s="219">
        <v>2020</v>
      </c>
      <c r="AH247" s="220">
        <v>2020</v>
      </c>
      <c r="BZ247" s="71"/>
      <c r="CD247" s="20" t="e">
        <f t="shared" ref="CD247:CD310" si="32">VLOOKUP(C247,CE:CF,2,FALSE)</f>
        <v>#N/A</v>
      </c>
    </row>
    <row r="248" spans="1:82" ht="61.5" x14ac:dyDescent="0.85">
      <c r="A248" s="20">
        <v>1</v>
      </c>
      <c r="B248" s="66">
        <f>SUBTOTAL(103,$A$22:A248)</f>
        <v>223</v>
      </c>
      <c r="C248" s="24" t="s">
        <v>1192</v>
      </c>
      <c r="D248" s="31">
        <f t="shared" si="31"/>
        <v>4570000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3">
        <v>2</v>
      </c>
      <c r="L248" s="31">
        <v>4570000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219" t="s">
        <v>271</v>
      </c>
      <c r="AG248" s="219">
        <v>2020</v>
      </c>
      <c r="AH248" s="220" t="s">
        <v>271</v>
      </c>
      <c r="BZ248" s="71"/>
      <c r="CD248" s="20" t="e">
        <f t="shared" si="32"/>
        <v>#N/A</v>
      </c>
    </row>
    <row r="249" spans="1:82" ht="61.5" x14ac:dyDescent="0.85">
      <c r="A249" s="20">
        <v>1</v>
      </c>
      <c r="B249" s="66">
        <f>SUBTOTAL(103,$A$22:A249)</f>
        <v>224</v>
      </c>
      <c r="C249" s="24" t="s">
        <v>1576</v>
      </c>
      <c r="D249" s="31">
        <f t="shared" si="31"/>
        <v>8133637.8399999999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40">
        <v>4</v>
      </c>
      <c r="L249" s="39">
        <f>6300657.04+1832980.8</f>
        <v>8133637.8399999999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219" t="s">
        <v>271</v>
      </c>
      <c r="AG249" s="219">
        <v>2020</v>
      </c>
      <c r="AH249" s="220" t="s">
        <v>271</v>
      </c>
      <c r="BZ249" s="71"/>
      <c r="CD249" s="20" t="e">
        <f t="shared" si="32"/>
        <v>#N/A</v>
      </c>
    </row>
    <row r="250" spans="1:82" ht="61.5" x14ac:dyDescent="0.85">
      <c r="B250" s="24" t="s">
        <v>828</v>
      </c>
      <c r="C250" s="114"/>
      <c r="D250" s="31">
        <f t="shared" ref="D250:AE250" si="33">SUM(D251:D276)</f>
        <v>88215847.820000023</v>
      </c>
      <c r="E250" s="31">
        <f t="shared" si="33"/>
        <v>682532.23</v>
      </c>
      <c r="F250" s="31">
        <f t="shared" si="33"/>
        <v>1291083.82</v>
      </c>
      <c r="G250" s="31">
        <f t="shared" si="33"/>
        <v>667639.41</v>
      </c>
      <c r="H250" s="31">
        <f t="shared" si="33"/>
        <v>442417.17</v>
      </c>
      <c r="I250" s="31">
        <f t="shared" si="33"/>
        <v>0</v>
      </c>
      <c r="J250" s="31">
        <f t="shared" si="33"/>
        <v>0</v>
      </c>
      <c r="K250" s="33">
        <f t="shared" si="33"/>
        <v>5</v>
      </c>
      <c r="L250" s="31">
        <f t="shared" si="33"/>
        <v>9545253.8399999999</v>
      </c>
      <c r="M250" s="31">
        <f t="shared" si="33"/>
        <v>15886.27</v>
      </c>
      <c r="N250" s="31">
        <f t="shared" si="33"/>
        <v>65302053.430000007</v>
      </c>
      <c r="O250" s="31">
        <f t="shared" si="33"/>
        <v>0</v>
      </c>
      <c r="P250" s="31">
        <f t="shared" si="33"/>
        <v>0</v>
      </c>
      <c r="Q250" s="31">
        <f t="shared" si="33"/>
        <v>639.89</v>
      </c>
      <c r="R250" s="31">
        <f t="shared" si="33"/>
        <v>1788756.15</v>
      </c>
      <c r="S250" s="31">
        <f t="shared" si="33"/>
        <v>0</v>
      </c>
      <c r="T250" s="31">
        <f t="shared" si="33"/>
        <v>0</v>
      </c>
      <c r="U250" s="31">
        <f t="shared" si="33"/>
        <v>6169062.7699999996</v>
      </c>
      <c r="V250" s="31">
        <f t="shared" si="33"/>
        <v>0</v>
      </c>
      <c r="W250" s="31">
        <f t="shared" si="33"/>
        <v>0</v>
      </c>
      <c r="X250" s="31">
        <f t="shared" si="33"/>
        <v>0</v>
      </c>
      <c r="Y250" s="31">
        <f t="shared" si="33"/>
        <v>0</v>
      </c>
      <c r="Z250" s="31">
        <f t="shared" si="33"/>
        <v>0</v>
      </c>
      <c r="AA250" s="31">
        <f t="shared" si="33"/>
        <v>0</v>
      </c>
      <c r="AB250" s="31">
        <f t="shared" si="33"/>
        <v>0</v>
      </c>
      <c r="AC250" s="31">
        <f t="shared" si="33"/>
        <v>1145153.17</v>
      </c>
      <c r="AD250" s="31">
        <f t="shared" si="33"/>
        <v>1181895.83</v>
      </c>
      <c r="AE250" s="31">
        <f t="shared" si="33"/>
        <v>0</v>
      </c>
      <c r="AF250" s="221" t="s">
        <v>764</v>
      </c>
      <c r="AG250" s="221" t="s">
        <v>764</v>
      </c>
      <c r="AH250" s="222" t="s">
        <v>764</v>
      </c>
      <c r="AT250" s="20" t="e">
        <f t="shared" ref="AT250:AT260" si="34">VLOOKUP(C250,AW:AX,2,FALSE)</f>
        <v>#N/A</v>
      </c>
      <c r="BZ250" s="31">
        <v>113740245.04000002</v>
      </c>
      <c r="CA250" s="31"/>
      <c r="CB250" s="31">
        <f>BZ250-D250</f>
        <v>25524397.219999999</v>
      </c>
      <c r="CD250" s="20" t="e">
        <f t="shared" si="32"/>
        <v>#N/A</v>
      </c>
    </row>
    <row r="251" spans="1:82" ht="61.5" x14ac:dyDescent="0.85">
      <c r="A251" s="20">
        <v>1</v>
      </c>
      <c r="B251" s="66">
        <f>SUBTOTAL(103,$A$22:A251)</f>
        <v>225</v>
      </c>
      <c r="C251" s="24" t="s">
        <v>623</v>
      </c>
      <c r="D251" s="31">
        <f t="shared" ref="D251:D276" si="35">E251+F251+G251+H251+I251+J251+L251+N251+P251+R251+T251+U251+V251+W251+X251+Y251+Z251+AA251+AB251+AC251+AD251+AE251</f>
        <v>4514092.07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3">
        <v>2</v>
      </c>
      <c r="L251" s="31">
        <v>4514092.07</v>
      </c>
      <c r="M251" s="31">
        <v>0</v>
      </c>
      <c r="N251" s="31">
        <v>0</v>
      </c>
      <c r="O251" s="36">
        <v>0</v>
      </c>
      <c r="P251" s="36">
        <v>0</v>
      </c>
      <c r="Q251" s="36">
        <v>0</v>
      </c>
      <c r="R251" s="36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219" t="s">
        <v>271</v>
      </c>
      <c r="AG251" s="219">
        <v>2020</v>
      </c>
      <c r="AH251" s="220" t="s">
        <v>271</v>
      </c>
      <c r="AT251" s="20" t="e">
        <f t="shared" si="34"/>
        <v>#N/A</v>
      </c>
      <c r="BZ251" s="71"/>
      <c r="CD251" s="20" t="e">
        <f t="shared" si="32"/>
        <v>#N/A</v>
      </c>
    </row>
    <row r="252" spans="1:82" ht="61.5" x14ac:dyDescent="0.85">
      <c r="A252" s="20">
        <v>1</v>
      </c>
      <c r="B252" s="66">
        <f>SUBTOTAL(103,$A$22:A252)</f>
        <v>226</v>
      </c>
      <c r="C252" s="24" t="s">
        <v>627</v>
      </c>
      <c r="D252" s="31">
        <f t="shared" si="35"/>
        <v>6392534.7800000003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3">
        <v>0</v>
      </c>
      <c r="L252" s="31">
        <v>0</v>
      </c>
      <c r="M252" s="31">
        <v>0</v>
      </c>
      <c r="N252" s="31">
        <v>0</v>
      </c>
      <c r="O252" s="36">
        <v>0</v>
      </c>
      <c r="P252" s="36">
        <v>0</v>
      </c>
      <c r="Q252" s="36">
        <v>0</v>
      </c>
      <c r="R252" s="36">
        <v>0</v>
      </c>
      <c r="S252" s="31">
        <v>0</v>
      </c>
      <c r="T252" s="31">
        <v>0</v>
      </c>
      <c r="U252" s="31">
        <f>5969062.77+200000</f>
        <v>6169062.7699999996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f>ROUND(U252*1.5%,2)</f>
        <v>92535.94</v>
      </c>
      <c r="AD252" s="273">
        <v>130936.07</v>
      </c>
      <c r="AE252" s="31">
        <v>0</v>
      </c>
      <c r="AF252" s="219">
        <v>2020</v>
      </c>
      <c r="AG252" s="219">
        <v>2020</v>
      </c>
      <c r="AH252" s="220">
        <v>2020</v>
      </c>
      <c r="AT252" s="20" t="e">
        <f t="shared" si="34"/>
        <v>#N/A</v>
      </c>
      <c r="BZ252" s="71"/>
      <c r="CD252" s="20" t="e">
        <f t="shared" si="32"/>
        <v>#N/A</v>
      </c>
    </row>
    <row r="253" spans="1:82" ht="61.5" x14ac:dyDescent="0.85">
      <c r="A253" s="20">
        <v>1</v>
      </c>
      <c r="B253" s="66">
        <f>SUBTOTAL(103,$A$22:A253)</f>
        <v>227</v>
      </c>
      <c r="C253" s="24" t="s">
        <v>628</v>
      </c>
      <c r="D253" s="31">
        <f t="shared" si="35"/>
        <v>372359.35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3">
        <v>0</v>
      </c>
      <c r="L253" s="31">
        <v>0</v>
      </c>
      <c r="M253" s="31">
        <v>0</v>
      </c>
      <c r="N253" s="31">
        <v>0</v>
      </c>
      <c r="O253" s="36">
        <v>0</v>
      </c>
      <c r="P253" s="36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f>ROUND((R253+T253)*1.5%,2)</f>
        <v>0</v>
      </c>
      <c r="AD253" s="31">
        <v>372359.35</v>
      </c>
      <c r="AE253" s="31">
        <v>0</v>
      </c>
      <c r="AF253" s="219">
        <v>2020</v>
      </c>
      <c r="AG253" s="220" t="s">
        <v>271</v>
      </c>
      <c r="AH253" s="220" t="s">
        <v>271</v>
      </c>
      <c r="AT253" s="20" t="e">
        <f t="shared" si="34"/>
        <v>#N/A</v>
      </c>
      <c r="BZ253" s="71"/>
      <c r="CD253" s="20" t="e">
        <f t="shared" si="32"/>
        <v>#N/A</v>
      </c>
    </row>
    <row r="254" spans="1:82" ht="61.5" x14ac:dyDescent="0.85">
      <c r="A254" s="20">
        <v>1</v>
      </c>
      <c r="B254" s="66">
        <f>SUBTOTAL(103,$A$22:A254)</f>
        <v>228</v>
      </c>
      <c r="C254" s="24" t="s">
        <v>631</v>
      </c>
      <c r="D254" s="31">
        <f t="shared" si="35"/>
        <v>3407945.42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3">
        <v>2</v>
      </c>
      <c r="L254" s="31">
        <v>3407945.42</v>
      </c>
      <c r="M254" s="31">
        <v>0</v>
      </c>
      <c r="N254" s="31">
        <v>0</v>
      </c>
      <c r="O254" s="36">
        <v>0</v>
      </c>
      <c r="P254" s="36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219" t="s">
        <v>271</v>
      </c>
      <c r="AG254" s="219">
        <v>2020</v>
      </c>
      <c r="AH254" s="220" t="s">
        <v>271</v>
      </c>
      <c r="AT254" s="20">
        <f t="shared" si="34"/>
        <v>1</v>
      </c>
      <c r="BZ254" s="71"/>
      <c r="CD254" s="20" t="e">
        <f t="shared" si="32"/>
        <v>#N/A</v>
      </c>
    </row>
    <row r="255" spans="1:82" ht="61.5" x14ac:dyDescent="0.85">
      <c r="A255" s="20">
        <v>1</v>
      </c>
      <c r="B255" s="66">
        <f>SUBTOTAL(103,$A$22:A255)</f>
        <v>229</v>
      </c>
      <c r="C255" s="24" t="s">
        <v>633</v>
      </c>
      <c r="D255" s="31">
        <f t="shared" si="35"/>
        <v>2597044.75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3">
        <v>0</v>
      </c>
      <c r="L255" s="31">
        <v>0</v>
      </c>
      <c r="M255" s="327">
        <v>500</v>
      </c>
      <c r="N255" s="31">
        <f>2443406.9+65152.14</f>
        <v>2508559.04</v>
      </c>
      <c r="O255" s="36">
        <v>0</v>
      </c>
      <c r="P255" s="36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f>ROUND(N255*1.5%,2)</f>
        <v>37628.39</v>
      </c>
      <c r="AD255" s="273">
        <v>50857.32</v>
      </c>
      <c r="AE255" s="31">
        <v>0</v>
      </c>
      <c r="AF255" s="219">
        <v>2020</v>
      </c>
      <c r="AG255" s="219">
        <v>2020</v>
      </c>
      <c r="AH255" s="220">
        <v>2020</v>
      </c>
      <c r="AT255" s="20" t="e">
        <f t="shared" si="34"/>
        <v>#N/A</v>
      </c>
      <c r="BZ255" s="71"/>
      <c r="CD255" s="20">
        <f t="shared" si="32"/>
        <v>486.27</v>
      </c>
    </row>
    <row r="256" spans="1:82" ht="61.5" x14ac:dyDescent="0.85">
      <c r="A256" s="20">
        <v>1</v>
      </c>
      <c r="B256" s="66">
        <f>SUBTOTAL(103,$A$22:A256)</f>
        <v>230</v>
      </c>
      <c r="C256" s="24" t="s">
        <v>636</v>
      </c>
      <c r="D256" s="31">
        <f t="shared" si="35"/>
        <v>2424926.64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3">
        <v>0</v>
      </c>
      <c r="L256" s="31">
        <v>0</v>
      </c>
      <c r="M256" s="272">
        <v>541.6</v>
      </c>
      <c r="N256" s="273">
        <v>2283128.7999999998</v>
      </c>
      <c r="O256" s="36">
        <v>0</v>
      </c>
      <c r="P256" s="36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f>ROUND(N256*1.5%,2)</f>
        <v>34246.93</v>
      </c>
      <c r="AD256" s="272">
        <v>107550.91</v>
      </c>
      <c r="AE256" s="31">
        <v>0</v>
      </c>
      <c r="AF256" s="219">
        <v>2020</v>
      </c>
      <c r="AG256" s="219">
        <v>2020</v>
      </c>
      <c r="AH256" s="220">
        <v>2020</v>
      </c>
      <c r="AT256" s="20" t="e">
        <f t="shared" si="34"/>
        <v>#N/A</v>
      </c>
      <c r="BZ256" s="71"/>
      <c r="CD256" s="20">
        <f t="shared" si="32"/>
        <v>586.70000000000005</v>
      </c>
    </row>
    <row r="257" spans="1:82" ht="61.5" x14ac:dyDescent="0.85">
      <c r="A257" s="20">
        <v>1</v>
      </c>
      <c r="B257" s="66">
        <f>SUBTOTAL(103,$A$22:A257)</f>
        <v>231</v>
      </c>
      <c r="C257" s="24" t="s">
        <v>637</v>
      </c>
      <c r="D257" s="31">
        <f t="shared" si="35"/>
        <v>1334609.25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3">
        <v>0</v>
      </c>
      <c r="L257" s="31">
        <v>0</v>
      </c>
      <c r="M257" s="272">
        <v>391.2</v>
      </c>
      <c r="N257" s="273">
        <v>1270891.82</v>
      </c>
      <c r="O257" s="36">
        <v>0</v>
      </c>
      <c r="P257" s="36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f>ROUND(N257*1.5%,2)</f>
        <v>19063.38</v>
      </c>
      <c r="AD257" s="273">
        <v>44654.05</v>
      </c>
      <c r="AE257" s="31">
        <v>0</v>
      </c>
      <c r="AF257" s="219">
        <v>2020</v>
      </c>
      <c r="AG257" s="219">
        <v>2020</v>
      </c>
      <c r="AH257" s="220">
        <v>2020</v>
      </c>
      <c r="AT257" s="20" t="e">
        <f t="shared" si="34"/>
        <v>#N/A</v>
      </c>
      <c r="BZ257" s="71"/>
      <c r="CD257" s="20">
        <f t="shared" si="32"/>
        <v>384.56</v>
      </c>
    </row>
    <row r="258" spans="1:82" ht="61.5" x14ac:dyDescent="0.85">
      <c r="A258" s="20">
        <v>1</v>
      </c>
      <c r="B258" s="66">
        <f>SUBTOTAL(103,$A$22:A258)</f>
        <v>232</v>
      </c>
      <c r="C258" s="24" t="s">
        <v>638</v>
      </c>
      <c r="D258" s="31">
        <f t="shared" si="35"/>
        <v>1623216.35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3">
        <v>1</v>
      </c>
      <c r="L258" s="31">
        <v>1623216.35</v>
      </c>
      <c r="M258" s="31">
        <v>0</v>
      </c>
      <c r="N258" s="31">
        <v>0</v>
      </c>
      <c r="O258" s="36">
        <v>0</v>
      </c>
      <c r="P258" s="36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219" t="s">
        <v>271</v>
      </c>
      <c r="AG258" s="219">
        <v>2020</v>
      </c>
      <c r="AH258" s="220" t="s">
        <v>271</v>
      </c>
      <c r="AT258" s="20" t="e">
        <f t="shared" si="34"/>
        <v>#N/A</v>
      </c>
      <c r="BZ258" s="71"/>
      <c r="CD258" s="20" t="e">
        <f t="shared" si="32"/>
        <v>#N/A</v>
      </c>
    </row>
    <row r="259" spans="1:82" ht="61.5" x14ac:dyDescent="0.85">
      <c r="A259" s="20">
        <v>1</v>
      </c>
      <c r="B259" s="66">
        <f>SUBTOTAL(103,$A$22:A259)</f>
        <v>233</v>
      </c>
      <c r="C259" s="24" t="s">
        <v>640</v>
      </c>
      <c r="D259" s="31">
        <f t="shared" si="35"/>
        <v>1208400.48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3">
        <v>0</v>
      </c>
      <c r="L259" s="31">
        <v>0</v>
      </c>
      <c r="M259" s="31">
        <v>240</v>
      </c>
      <c r="N259" s="31">
        <f>1116295.57+31398.62</f>
        <v>1147694.1900000002</v>
      </c>
      <c r="O259" s="36">
        <v>0</v>
      </c>
      <c r="P259" s="36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f t="shared" ref="AC259:AC264" si="36">ROUND(N259*1.5%,2)</f>
        <v>17215.41</v>
      </c>
      <c r="AD259" s="328">
        <v>43490.879999999997</v>
      </c>
      <c r="AE259" s="31">
        <v>0</v>
      </c>
      <c r="AF259" s="219">
        <v>2020</v>
      </c>
      <c r="AG259" s="219">
        <v>2020</v>
      </c>
      <c r="AH259" s="220">
        <v>2020</v>
      </c>
      <c r="AT259" s="20" t="e">
        <f t="shared" si="34"/>
        <v>#N/A</v>
      </c>
      <c r="BZ259" s="71"/>
      <c r="CD259" s="20" t="e">
        <f t="shared" si="32"/>
        <v>#N/A</v>
      </c>
    </row>
    <row r="260" spans="1:82" ht="61.5" x14ac:dyDescent="0.85">
      <c r="A260" s="20">
        <v>1</v>
      </c>
      <c r="B260" s="66">
        <f>SUBTOTAL(103,$A$22:A260)</f>
        <v>234</v>
      </c>
      <c r="C260" s="24" t="s">
        <v>644</v>
      </c>
      <c r="D260" s="31">
        <f t="shared" si="35"/>
        <v>2151206.1800000002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3">
        <v>0</v>
      </c>
      <c r="L260" s="31">
        <v>0</v>
      </c>
      <c r="M260" s="31">
        <v>563.1</v>
      </c>
      <c r="N260" s="31">
        <f>1819414.96+300000</f>
        <v>2119414.96</v>
      </c>
      <c r="O260" s="36">
        <v>0</v>
      </c>
      <c r="P260" s="36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f t="shared" si="36"/>
        <v>31791.22</v>
      </c>
      <c r="AD260" s="31">
        <v>0</v>
      </c>
      <c r="AE260" s="31">
        <v>0</v>
      </c>
      <c r="AF260" s="219" t="s">
        <v>271</v>
      </c>
      <c r="AG260" s="219">
        <v>2020</v>
      </c>
      <c r="AH260" s="220">
        <v>2020</v>
      </c>
      <c r="AT260" s="20" t="e">
        <f t="shared" si="34"/>
        <v>#N/A</v>
      </c>
      <c r="BZ260" s="71"/>
      <c r="CD260" s="20">
        <f t="shared" si="32"/>
        <v>563.1</v>
      </c>
    </row>
    <row r="261" spans="1:82" ht="61.5" x14ac:dyDescent="0.85">
      <c r="A261" s="20">
        <v>1</v>
      </c>
      <c r="B261" s="66">
        <f>SUBTOTAL(103,$A$22:A261)</f>
        <v>235</v>
      </c>
      <c r="C261" s="24" t="s">
        <v>1107</v>
      </c>
      <c r="D261" s="31">
        <f t="shared" si="35"/>
        <v>6477322.9000000004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3">
        <v>0</v>
      </c>
      <c r="L261" s="31">
        <v>0</v>
      </c>
      <c r="M261" s="31">
        <v>1071.9000000000001</v>
      </c>
      <c r="N261" s="31">
        <f>4482384.24+117744.83-2.13+194504.87+1165153.63+300000</f>
        <v>6259785.4400000004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f t="shared" si="36"/>
        <v>93896.78</v>
      </c>
      <c r="AD261" s="273">
        <v>123640.68</v>
      </c>
      <c r="AE261" s="31">
        <v>0</v>
      </c>
      <c r="AF261" s="219">
        <v>2020</v>
      </c>
      <c r="AG261" s="219">
        <v>2020</v>
      </c>
      <c r="AH261" s="220">
        <v>2020</v>
      </c>
      <c r="BZ261" s="71"/>
      <c r="CD261" s="20" t="e">
        <f t="shared" si="32"/>
        <v>#N/A</v>
      </c>
    </row>
    <row r="262" spans="1:82" ht="61.5" x14ac:dyDescent="0.85">
      <c r="A262" s="20">
        <v>1</v>
      </c>
      <c r="B262" s="66">
        <f>SUBTOTAL(103,$A$22:A262)</f>
        <v>236</v>
      </c>
      <c r="C262" s="24" t="s">
        <v>1193</v>
      </c>
      <c r="D262" s="31">
        <f t="shared" si="35"/>
        <v>978774.53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3">
        <v>0</v>
      </c>
      <c r="L262" s="31">
        <v>0</v>
      </c>
      <c r="M262" s="31">
        <v>540.5</v>
      </c>
      <c r="N262" s="273">
        <v>964309.88</v>
      </c>
      <c r="O262" s="36">
        <v>0</v>
      </c>
      <c r="P262" s="36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f t="shared" si="36"/>
        <v>14464.65</v>
      </c>
      <c r="AD262" s="31">
        <v>0</v>
      </c>
      <c r="AE262" s="31">
        <v>0</v>
      </c>
      <c r="AF262" s="219" t="s">
        <v>271</v>
      </c>
      <c r="AG262" s="219">
        <v>2020</v>
      </c>
      <c r="AH262" s="220">
        <v>2020</v>
      </c>
      <c r="BZ262" s="71"/>
      <c r="CD262" s="20">
        <f t="shared" si="32"/>
        <v>540.5</v>
      </c>
    </row>
    <row r="263" spans="1:82" ht="61.5" x14ac:dyDescent="0.85">
      <c r="A263" s="20">
        <v>1</v>
      </c>
      <c r="B263" s="66">
        <f>SUBTOTAL(103,$A$22:A263)</f>
        <v>237</v>
      </c>
      <c r="C263" s="24" t="s">
        <v>1194</v>
      </c>
      <c r="D263" s="31">
        <f t="shared" si="35"/>
        <v>3629545.11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3">
        <v>0</v>
      </c>
      <c r="L263" s="31">
        <v>0</v>
      </c>
      <c r="M263" s="31">
        <v>603.5</v>
      </c>
      <c r="N263" s="31">
        <f>3299185.88+200000</f>
        <v>3499185.88</v>
      </c>
      <c r="O263" s="36">
        <v>0</v>
      </c>
      <c r="P263" s="36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f t="shared" si="36"/>
        <v>52487.79</v>
      </c>
      <c r="AD263" s="273">
        <v>77871.44</v>
      </c>
      <c r="AE263" s="31">
        <v>0</v>
      </c>
      <c r="AF263" s="219">
        <v>2020</v>
      </c>
      <c r="AG263" s="219">
        <v>2020</v>
      </c>
      <c r="AH263" s="220">
        <v>2020</v>
      </c>
      <c r="BZ263" s="71"/>
      <c r="CD263" s="20">
        <f t="shared" si="32"/>
        <v>603.5</v>
      </c>
    </row>
    <row r="264" spans="1:82" ht="61.5" x14ac:dyDescent="0.85">
      <c r="A264" s="20">
        <v>1</v>
      </c>
      <c r="B264" s="66">
        <f>SUBTOTAL(103,$A$22:A264)</f>
        <v>238</v>
      </c>
      <c r="C264" s="24" t="s">
        <v>1195</v>
      </c>
      <c r="D264" s="31">
        <f t="shared" si="35"/>
        <v>9211816.4199999999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3">
        <v>0</v>
      </c>
      <c r="L264" s="31">
        <v>0</v>
      </c>
      <c r="M264" s="31">
        <v>1650</v>
      </c>
      <c r="N264" s="31">
        <f>8775681.2+300000</f>
        <v>9075681.1999999993</v>
      </c>
      <c r="O264" s="36">
        <v>0</v>
      </c>
      <c r="P264" s="36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f t="shared" si="36"/>
        <v>136135.22</v>
      </c>
      <c r="AD264" s="31">
        <v>0</v>
      </c>
      <c r="AE264" s="31">
        <v>0</v>
      </c>
      <c r="AF264" s="219" t="s">
        <v>271</v>
      </c>
      <c r="AG264" s="219">
        <v>2020</v>
      </c>
      <c r="AH264" s="220">
        <v>2020</v>
      </c>
      <c r="BZ264" s="71"/>
      <c r="CD264" s="20">
        <f t="shared" si="32"/>
        <v>1650</v>
      </c>
    </row>
    <row r="265" spans="1:82" ht="61.5" x14ac:dyDescent="0.85">
      <c r="A265" s="20">
        <v>1</v>
      </c>
      <c r="B265" s="66">
        <f>SUBTOTAL(103,$A$22:A265)</f>
        <v>239</v>
      </c>
      <c r="C265" s="24" t="s">
        <v>1196</v>
      </c>
      <c r="D265" s="31">
        <f t="shared" si="35"/>
        <v>1815587.49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3">
        <v>0</v>
      </c>
      <c r="L265" s="31">
        <v>0</v>
      </c>
      <c r="M265" s="31">
        <v>0</v>
      </c>
      <c r="N265" s="31">
        <v>0</v>
      </c>
      <c r="O265" s="36">
        <v>0</v>
      </c>
      <c r="P265" s="36">
        <v>0</v>
      </c>
      <c r="Q265" s="272">
        <v>639.89</v>
      </c>
      <c r="R265" s="31">
        <v>1788756.15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f>ROUND(R265*1.5%,2)</f>
        <v>26831.34</v>
      </c>
      <c r="AD265" s="31">
        <v>0</v>
      </c>
      <c r="AE265" s="31">
        <v>0</v>
      </c>
      <c r="AF265" s="219" t="s">
        <v>271</v>
      </c>
      <c r="AG265" s="219">
        <v>2020</v>
      </c>
      <c r="AH265" s="220">
        <v>2020</v>
      </c>
      <c r="BZ265" s="71"/>
      <c r="CD265" s="20" t="e">
        <f t="shared" si="32"/>
        <v>#N/A</v>
      </c>
    </row>
    <row r="266" spans="1:82" ht="61.5" x14ac:dyDescent="0.85">
      <c r="A266" s="20">
        <v>1</v>
      </c>
      <c r="B266" s="66">
        <f>SUBTOTAL(103,$A$22:A266)</f>
        <v>240</v>
      </c>
      <c r="C266" s="24" t="s">
        <v>1197</v>
      </c>
      <c r="D266" s="31">
        <f t="shared" si="35"/>
        <v>3785513.5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3">
        <v>0</v>
      </c>
      <c r="L266" s="31">
        <v>0</v>
      </c>
      <c r="M266" s="272">
        <v>1913</v>
      </c>
      <c r="N266" s="335">
        <v>3729569.95</v>
      </c>
      <c r="O266" s="36">
        <v>0</v>
      </c>
      <c r="P266" s="36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f>ROUND(N266*1.5%,2)</f>
        <v>55943.55</v>
      </c>
      <c r="AD266" s="31">
        <v>0</v>
      </c>
      <c r="AE266" s="31">
        <v>0</v>
      </c>
      <c r="AF266" s="219" t="s">
        <v>271</v>
      </c>
      <c r="AG266" s="219">
        <v>2020</v>
      </c>
      <c r="AH266" s="220">
        <v>2020</v>
      </c>
      <c r="BZ266" s="71"/>
      <c r="CD266" s="20">
        <f t="shared" si="32"/>
        <v>1906.5</v>
      </c>
    </row>
    <row r="267" spans="1:82" ht="61.5" x14ac:dyDescent="0.85">
      <c r="A267" s="20">
        <v>1</v>
      </c>
      <c r="B267" s="66">
        <f>SUBTOTAL(103,$A$22:A267)</f>
        <v>241</v>
      </c>
      <c r="C267" s="24" t="s">
        <v>1201</v>
      </c>
      <c r="D267" s="31">
        <f t="shared" si="35"/>
        <v>2296405.6799999997</v>
      </c>
      <c r="E267" s="273">
        <v>682532.23</v>
      </c>
      <c r="F267" s="273">
        <v>1291083.82</v>
      </c>
      <c r="G267" s="36">
        <v>0</v>
      </c>
      <c r="H267" s="273">
        <v>288852.59999999998</v>
      </c>
      <c r="I267" s="36">
        <v>0</v>
      </c>
      <c r="J267" s="36">
        <v>0</v>
      </c>
      <c r="K267" s="33">
        <v>0</v>
      </c>
      <c r="L267" s="31">
        <v>0</v>
      </c>
      <c r="M267" s="31">
        <v>0</v>
      </c>
      <c r="N267" s="31">
        <v>0</v>
      </c>
      <c r="O267" s="36">
        <v>0</v>
      </c>
      <c r="P267" s="36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f>ROUND((E267+F267+G267+H267+I267+J267)*1.5%,2)</f>
        <v>33937.03</v>
      </c>
      <c r="AD267" s="31">
        <v>0</v>
      </c>
      <c r="AE267" s="31">
        <v>0</v>
      </c>
      <c r="AF267" s="219" t="s">
        <v>271</v>
      </c>
      <c r="AG267" s="219">
        <v>2020</v>
      </c>
      <c r="AH267" s="220">
        <v>2020</v>
      </c>
      <c r="BZ267" s="71"/>
      <c r="CD267" s="20" t="e">
        <f t="shared" si="32"/>
        <v>#N/A</v>
      </c>
    </row>
    <row r="268" spans="1:82" ht="61.5" x14ac:dyDescent="0.85">
      <c r="A268" s="20">
        <v>1</v>
      </c>
      <c r="B268" s="66">
        <f>SUBTOTAL(103,$A$22:A268)</f>
        <v>242</v>
      </c>
      <c r="C268" s="24" t="s">
        <v>1202</v>
      </c>
      <c r="D268" s="31">
        <f t="shared" si="35"/>
        <v>4766824.05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3">
        <v>0</v>
      </c>
      <c r="L268" s="31">
        <v>0</v>
      </c>
      <c r="M268" s="31">
        <v>1264.96</v>
      </c>
      <c r="N268" s="31">
        <v>4696378.37</v>
      </c>
      <c r="O268" s="36">
        <v>0</v>
      </c>
      <c r="P268" s="36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f>ROUND(N268*1.5%,2)</f>
        <v>70445.679999999993</v>
      </c>
      <c r="AD268" s="31">
        <v>0</v>
      </c>
      <c r="AE268" s="31">
        <v>0</v>
      </c>
      <c r="AF268" s="219" t="s">
        <v>271</v>
      </c>
      <c r="AG268" s="219">
        <v>2020</v>
      </c>
      <c r="AH268" s="220">
        <v>2020</v>
      </c>
      <c r="BZ268" s="71"/>
      <c r="CD268" s="20">
        <f t="shared" si="32"/>
        <v>1264.96</v>
      </c>
    </row>
    <row r="269" spans="1:82" ht="61.5" x14ac:dyDescent="0.85">
      <c r="A269" s="20">
        <v>1</v>
      </c>
      <c r="B269" s="66">
        <f>SUBTOTAL(103,$A$22:A269)</f>
        <v>243</v>
      </c>
      <c r="C269" s="24" t="s">
        <v>1204</v>
      </c>
      <c r="D269" s="31">
        <f t="shared" si="35"/>
        <v>3558655.89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3">
        <v>0</v>
      </c>
      <c r="L269" s="31">
        <v>0</v>
      </c>
      <c r="M269" s="215">
        <v>838.77</v>
      </c>
      <c r="N269" s="267">
        <v>3506064.92</v>
      </c>
      <c r="O269" s="36">
        <v>0</v>
      </c>
      <c r="P269" s="36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f>ROUND(N269*1.5%,2)</f>
        <v>52590.97</v>
      </c>
      <c r="AD269" s="31">
        <v>0</v>
      </c>
      <c r="AE269" s="31">
        <v>0</v>
      </c>
      <c r="AF269" s="219" t="s">
        <v>271</v>
      </c>
      <c r="AG269" s="219">
        <v>2020</v>
      </c>
      <c r="AH269" s="220">
        <v>2020</v>
      </c>
      <c r="BZ269" s="71"/>
      <c r="CD269" s="20">
        <f t="shared" si="32"/>
        <v>781</v>
      </c>
    </row>
    <row r="270" spans="1:82" ht="61.5" x14ac:dyDescent="0.85">
      <c r="A270" s="20">
        <v>1</v>
      </c>
      <c r="B270" s="66">
        <f>SUBTOTAL(103,$A$22:A270)</f>
        <v>244</v>
      </c>
      <c r="C270" s="24" t="s">
        <v>1205</v>
      </c>
      <c r="D270" s="31">
        <f t="shared" si="35"/>
        <v>6209520.0999999996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3">
        <v>0</v>
      </c>
      <c r="L270" s="31">
        <v>0</v>
      </c>
      <c r="M270" s="31">
        <v>2073.9</v>
      </c>
      <c r="N270" s="31">
        <v>6117753.79</v>
      </c>
      <c r="O270" s="36">
        <v>0</v>
      </c>
      <c r="P270" s="36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f>ROUND(N270*1.5%,2)</f>
        <v>91766.31</v>
      </c>
      <c r="AD270" s="31">
        <v>0</v>
      </c>
      <c r="AE270" s="31">
        <v>0</v>
      </c>
      <c r="AF270" s="219" t="s">
        <v>271</v>
      </c>
      <c r="AG270" s="219">
        <v>2020</v>
      </c>
      <c r="AH270" s="220">
        <v>2020</v>
      </c>
      <c r="BZ270" s="71"/>
      <c r="CD270" s="20">
        <f t="shared" si="32"/>
        <v>2073.9</v>
      </c>
    </row>
    <row r="271" spans="1:82" ht="61.5" x14ac:dyDescent="0.85">
      <c r="A271" s="20">
        <v>1</v>
      </c>
      <c r="B271" s="66">
        <f>SUBTOTAL(103,$A$22:A271)</f>
        <v>245</v>
      </c>
      <c r="C271" s="24" t="s">
        <v>1206</v>
      </c>
      <c r="D271" s="31">
        <f t="shared" si="35"/>
        <v>833522.04</v>
      </c>
      <c r="E271" s="36">
        <v>0</v>
      </c>
      <c r="F271" s="36">
        <v>0</v>
      </c>
      <c r="G271" s="36">
        <f>567639.41+100000</f>
        <v>667639.41</v>
      </c>
      <c r="H271" s="36">
        <v>153564.57</v>
      </c>
      <c r="I271" s="36">
        <v>0</v>
      </c>
      <c r="J271" s="36">
        <v>0</v>
      </c>
      <c r="K271" s="33">
        <v>0</v>
      </c>
      <c r="L271" s="31">
        <v>0</v>
      </c>
      <c r="M271" s="31">
        <v>0</v>
      </c>
      <c r="N271" s="31">
        <v>0</v>
      </c>
      <c r="O271" s="36">
        <v>0</v>
      </c>
      <c r="P271" s="36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f>ROUND((E271+F271+G271+H271+I271+J271)*1.5%,2)</f>
        <v>12318.06</v>
      </c>
      <c r="AD271" s="31">
        <v>0</v>
      </c>
      <c r="AE271" s="31">
        <v>0</v>
      </c>
      <c r="AF271" s="219" t="s">
        <v>271</v>
      </c>
      <c r="AG271" s="219">
        <v>2020</v>
      </c>
      <c r="AH271" s="220">
        <v>2020</v>
      </c>
      <c r="BZ271" s="71"/>
      <c r="CD271" s="20" t="e">
        <f t="shared" si="32"/>
        <v>#N/A</v>
      </c>
    </row>
    <row r="272" spans="1:82" ht="61.5" x14ac:dyDescent="0.85">
      <c r="A272" s="20">
        <v>1</v>
      </c>
      <c r="B272" s="66">
        <f>SUBTOTAL(103,$A$22:A272)</f>
        <v>246</v>
      </c>
      <c r="C272" s="24" t="s">
        <v>1207</v>
      </c>
      <c r="D272" s="31">
        <f t="shared" si="35"/>
        <v>4782270.82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3">
        <v>0</v>
      </c>
      <c r="L272" s="31">
        <v>0</v>
      </c>
      <c r="M272" s="272">
        <v>1174.5999999999999</v>
      </c>
      <c r="N272" s="281">
        <v>4711596.87</v>
      </c>
      <c r="O272" s="36">
        <v>0</v>
      </c>
      <c r="P272" s="36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f>ROUND(N272*1.5%,2)</f>
        <v>70673.95</v>
      </c>
      <c r="AD272" s="31">
        <v>0</v>
      </c>
      <c r="AE272" s="31">
        <v>0</v>
      </c>
      <c r="AF272" s="219" t="s">
        <v>271</v>
      </c>
      <c r="AG272" s="219">
        <v>2020</v>
      </c>
      <c r="AH272" s="220">
        <v>2020</v>
      </c>
      <c r="BZ272" s="71"/>
      <c r="CD272" s="20">
        <f t="shared" si="32"/>
        <v>1174.18</v>
      </c>
    </row>
    <row r="273" spans="1:82" ht="61.5" x14ac:dyDescent="0.85">
      <c r="A273" s="20">
        <v>1</v>
      </c>
      <c r="B273" s="66">
        <f>SUBTOTAL(103,$A$22:A273)</f>
        <v>247</v>
      </c>
      <c r="C273" s="24" t="s">
        <v>1208</v>
      </c>
      <c r="D273" s="31">
        <f t="shared" si="35"/>
        <v>2202931.48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3">
        <v>0</v>
      </c>
      <c r="L273" s="31">
        <v>0</v>
      </c>
      <c r="M273" s="272">
        <v>484.14</v>
      </c>
      <c r="N273" s="334">
        <v>2170375.84</v>
      </c>
      <c r="O273" s="36">
        <v>0</v>
      </c>
      <c r="P273" s="36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f>ROUND(N273*1.5%,2)</f>
        <v>32555.64</v>
      </c>
      <c r="AD273" s="31">
        <v>0</v>
      </c>
      <c r="AE273" s="31">
        <v>0</v>
      </c>
      <c r="AF273" s="219" t="s">
        <v>271</v>
      </c>
      <c r="AG273" s="219">
        <v>2020</v>
      </c>
      <c r="AH273" s="220">
        <v>2020</v>
      </c>
      <c r="BZ273" s="71"/>
      <c r="CD273" s="20">
        <f t="shared" si="32"/>
        <v>484</v>
      </c>
    </row>
    <row r="274" spans="1:82" ht="61.5" x14ac:dyDescent="0.85">
      <c r="A274" s="20">
        <v>1</v>
      </c>
      <c r="B274" s="66">
        <f>SUBTOTAL(103,$A$22:A274)</f>
        <v>248</v>
      </c>
      <c r="C274" s="24" t="s">
        <v>1368</v>
      </c>
      <c r="D274" s="31">
        <f t="shared" si="35"/>
        <v>2896567.84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3">
        <v>0</v>
      </c>
      <c r="L274" s="31">
        <v>0</v>
      </c>
      <c r="M274" s="182">
        <v>534.6</v>
      </c>
      <c r="N274" s="31">
        <f>2334221.95+307581.97+161727.67</f>
        <v>2803531.59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f>ROUND(N274*1.5%,2)</f>
        <v>42052.97</v>
      </c>
      <c r="AD274" s="273">
        <v>50983.28</v>
      </c>
      <c r="AE274" s="31">
        <v>0</v>
      </c>
      <c r="AF274" s="219">
        <v>2020</v>
      </c>
      <c r="AG274" s="219">
        <v>2020</v>
      </c>
      <c r="AH274" s="220">
        <v>2020</v>
      </c>
      <c r="BZ274" s="71"/>
      <c r="CD274" s="20" t="e">
        <f t="shared" si="32"/>
        <v>#N/A</v>
      </c>
    </row>
    <row r="275" spans="1:82" ht="61.5" x14ac:dyDescent="0.85">
      <c r="A275" s="20">
        <v>1</v>
      </c>
      <c r="B275" s="66">
        <f>SUBTOTAL(103,$A$22:A275)</f>
        <v>249</v>
      </c>
      <c r="C275" s="24" t="s">
        <v>1367</v>
      </c>
      <c r="D275" s="31">
        <f t="shared" si="35"/>
        <v>2467054.4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3">
        <v>0</v>
      </c>
      <c r="L275" s="31">
        <v>0</v>
      </c>
      <c r="M275" s="182">
        <v>490</v>
      </c>
      <c r="N275" s="31">
        <f>2284863.65+97858.42</f>
        <v>2382722.0699999998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f>ROUND(N275*1.5%,2)</f>
        <v>35740.83</v>
      </c>
      <c r="AD275" s="273">
        <v>48591.5</v>
      </c>
      <c r="AE275" s="31">
        <v>0</v>
      </c>
      <c r="AF275" s="219">
        <v>2020</v>
      </c>
      <c r="AG275" s="219">
        <v>2020</v>
      </c>
      <c r="AH275" s="220">
        <v>2020</v>
      </c>
      <c r="BZ275" s="71"/>
      <c r="CD275" s="20" t="e">
        <f t="shared" si="32"/>
        <v>#N/A</v>
      </c>
    </row>
    <row r="276" spans="1:82" ht="61.5" x14ac:dyDescent="0.85">
      <c r="A276" s="20">
        <v>1</v>
      </c>
      <c r="B276" s="66">
        <f>SUBTOTAL(103,$A$22:A276)</f>
        <v>250</v>
      </c>
      <c r="C276" s="24" t="s">
        <v>1577</v>
      </c>
      <c r="D276" s="31">
        <f t="shared" si="35"/>
        <v>6277200.2999999998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3">
        <v>0</v>
      </c>
      <c r="L276" s="31">
        <v>0</v>
      </c>
      <c r="M276" s="31">
        <v>1010.5</v>
      </c>
      <c r="N276" s="31">
        <v>6055408.8200000003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f>ROUND(N276*1.5%,2)</f>
        <v>90831.13</v>
      </c>
      <c r="AD276" s="328">
        <v>130960.35</v>
      </c>
      <c r="AE276" s="31">
        <v>0</v>
      </c>
      <c r="AF276" s="219">
        <v>2020</v>
      </c>
      <c r="AG276" s="219">
        <v>2020</v>
      </c>
      <c r="AH276" s="220">
        <v>2020</v>
      </c>
      <c r="BZ276" s="71"/>
      <c r="CD276" s="20" t="e">
        <f t="shared" si="32"/>
        <v>#N/A</v>
      </c>
    </row>
    <row r="277" spans="1:82" ht="61.5" x14ac:dyDescent="0.85">
      <c r="B277" s="24" t="s">
        <v>829</v>
      </c>
      <c r="C277" s="24"/>
      <c r="D277" s="31">
        <f t="shared" ref="D277:AE277" si="37">SUM(D278:D283)</f>
        <v>26089685.730000004</v>
      </c>
      <c r="E277" s="31">
        <f t="shared" si="37"/>
        <v>0</v>
      </c>
      <c r="F277" s="31">
        <f t="shared" si="37"/>
        <v>0</v>
      </c>
      <c r="G277" s="31">
        <f t="shared" si="37"/>
        <v>0</v>
      </c>
      <c r="H277" s="31">
        <f t="shared" si="37"/>
        <v>0</v>
      </c>
      <c r="I277" s="31">
        <f t="shared" si="37"/>
        <v>0</v>
      </c>
      <c r="J277" s="31">
        <f t="shared" si="37"/>
        <v>0</v>
      </c>
      <c r="K277" s="33">
        <f t="shared" si="37"/>
        <v>0</v>
      </c>
      <c r="L277" s="31">
        <f t="shared" si="37"/>
        <v>0</v>
      </c>
      <c r="M277" s="31">
        <f t="shared" si="37"/>
        <v>5748.7</v>
      </c>
      <c r="N277" s="31">
        <f t="shared" si="37"/>
        <v>25400419.239999998</v>
      </c>
      <c r="O277" s="31">
        <f t="shared" si="37"/>
        <v>0</v>
      </c>
      <c r="P277" s="31">
        <f t="shared" si="37"/>
        <v>0</v>
      </c>
      <c r="Q277" s="31">
        <f t="shared" si="37"/>
        <v>0</v>
      </c>
      <c r="R277" s="31">
        <f t="shared" si="37"/>
        <v>0</v>
      </c>
      <c r="S277" s="31">
        <f t="shared" si="37"/>
        <v>0</v>
      </c>
      <c r="T277" s="31">
        <f t="shared" si="37"/>
        <v>0</v>
      </c>
      <c r="U277" s="31">
        <f t="shared" si="37"/>
        <v>0</v>
      </c>
      <c r="V277" s="31">
        <f t="shared" si="37"/>
        <v>0</v>
      </c>
      <c r="W277" s="31">
        <f t="shared" si="37"/>
        <v>0</v>
      </c>
      <c r="X277" s="31">
        <f t="shared" si="37"/>
        <v>0</v>
      </c>
      <c r="Y277" s="31">
        <f t="shared" si="37"/>
        <v>0</v>
      </c>
      <c r="Z277" s="31">
        <f t="shared" si="37"/>
        <v>0</v>
      </c>
      <c r="AA277" s="31">
        <f t="shared" si="37"/>
        <v>0</v>
      </c>
      <c r="AB277" s="31">
        <f t="shared" si="37"/>
        <v>0</v>
      </c>
      <c r="AC277" s="31">
        <f t="shared" si="37"/>
        <v>381006.29</v>
      </c>
      <c r="AD277" s="31">
        <f t="shared" si="37"/>
        <v>308260.2</v>
      </c>
      <c r="AE277" s="31">
        <f t="shared" si="37"/>
        <v>0</v>
      </c>
      <c r="AF277" s="221" t="s">
        <v>764</v>
      </c>
      <c r="AG277" s="221" t="s">
        <v>764</v>
      </c>
      <c r="AH277" s="222" t="s">
        <v>764</v>
      </c>
      <c r="AT277" s="20" t="e">
        <f>VLOOKUP(C277,AW:AX,2,FALSE)</f>
        <v>#N/A</v>
      </c>
      <c r="BZ277" s="71">
        <v>31393292.599999998</v>
      </c>
      <c r="CD277" s="20" t="e">
        <f t="shared" si="32"/>
        <v>#N/A</v>
      </c>
    </row>
    <row r="278" spans="1:82" ht="61.5" x14ac:dyDescent="0.85">
      <c r="A278" s="20">
        <v>1</v>
      </c>
      <c r="B278" s="66">
        <f>SUBTOTAL(103,$A$22:A278)</f>
        <v>251</v>
      </c>
      <c r="C278" s="24" t="s">
        <v>645</v>
      </c>
      <c r="D278" s="31">
        <f t="shared" ref="D278:D283" si="38">E278+F278+G278+H278+I278+J278+L278+N278+P278+R278+T278+U278+V278+W278+X278+Y278+Z278+AA278+AB278+AC278+AD278+AE278</f>
        <v>7828988.2599999998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3">
        <v>0</v>
      </c>
      <c r="L278" s="31">
        <v>0</v>
      </c>
      <c r="M278" s="272">
        <v>1278.5</v>
      </c>
      <c r="N278" s="273">
        <f>3747445.51+3810554.95</f>
        <v>7558000.46</v>
      </c>
      <c r="O278" s="36">
        <v>0</v>
      </c>
      <c r="P278" s="36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f t="shared" ref="AC278:AC283" si="39">ROUND(N278*1.5%,2)</f>
        <v>113370.01</v>
      </c>
      <c r="AD278" s="273">
        <v>157617.79</v>
      </c>
      <c r="AE278" s="31">
        <v>0</v>
      </c>
      <c r="AF278" s="219">
        <v>2020</v>
      </c>
      <c r="AG278" s="219">
        <v>2020</v>
      </c>
      <c r="AH278" s="220">
        <v>2020</v>
      </c>
      <c r="AT278" s="20" t="e">
        <f>VLOOKUP(C278,AW:AX,2,FALSE)</f>
        <v>#N/A</v>
      </c>
      <c r="BZ278" s="71"/>
      <c r="CD278" s="20" t="e">
        <f t="shared" si="32"/>
        <v>#N/A</v>
      </c>
    </row>
    <row r="279" spans="1:82" ht="61.5" x14ac:dyDescent="0.85">
      <c r="A279" s="20">
        <v>1</v>
      </c>
      <c r="B279" s="66">
        <f>SUBTOTAL(103,$A$22:A279)</f>
        <v>252</v>
      </c>
      <c r="C279" s="24" t="s">
        <v>651</v>
      </c>
      <c r="D279" s="31">
        <f t="shared" si="38"/>
        <v>6313946.0599999996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3">
        <v>0</v>
      </c>
      <c r="L279" s="31">
        <v>0</v>
      </c>
      <c r="M279" s="31">
        <v>1122.5</v>
      </c>
      <c r="N279" s="31">
        <f>5347793.1+724427.24</f>
        <v>6072220.3399999999</v>
      </c>
      <c r="O279" s="36">
        <v>0</v>
      </c>
      <c r="P279" s="36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f t="shared" si="39"/>
        <v>91083.31</v>
      </c>
      <c r="AD279" s="273">
        <v>150642.41</v>
      </c>
      <c r="AE279" s="31">
        <v>0</v>
      </c>
      <c r="AF279" s="219">
        <v>2020</v>
      </c>
      <c r="AG279" s="219">
        <v>2020</v>
      </c>
      <c r="AH279" s="220">
        <v>2020</v>
      </c>
      <c r="AT279" s="20" t="e">
        <f>VLOOKUP(C279,AW:AX,2,FALSE)</f>
        <v>#N/A</v>
      </c>
      <c r="BZ279" s="71"/>
      <c r="CD279" s="20" t="e">
        <f t="shared" si="32"/>
        <v>#N/A</v>
      </c>
    </row>
    <row r="280" spans="1:82" ht="61.5" x14ac:dyDescent="0.85">
      <c r="A280" s="20">
        <v>1</v>
      </c>
      <c r="B280" s="66">
        <f>SUBTOTAL(103,$A$22:A280)</f>
        <v>253</v>
      </c>
      <c r="C280" s="24" t="s">
        <v>1209</v>
      </c>
      <c r="D280" s="31">
        <f t="shared" si="38"/>
        <v>5003194.3900000006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3">
        <v>0</v>
      </c>
      <c r="L280" s="31">
        <v>0</v>
      </c>
      <c r="M280" s="31">
        <v>1161</v>
      </c>
      <c r="N280" s="31">
        <v>4929255.5600000005</v>
      </c>
      <c r="O280" s="36">
        <v>0</v>
      </c>
      <c r="P280" s="36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f t="shared" si="39"/>
        <v>73938.83</v>
      </c>
      <c r="AD280" s="31">
        <v>0</v>
      </c>
      <c r="AE280" s="31">
        <v>0</v>
      </c>
      <c r="AF280" s="219" t="s">
        <v>271</v>
      </c>
      <c r="AG280" s="219">
        <v>2020</v>
      </c>
      <c r="AH280" s="220">
        <v>2020</v>
      </c>
      <c r="BZ280" s="71"/>
      <c r="CD280" s="20">
        <f t="shared" si="32"/>
        <v>1161</v>
      </c>
    </row>
    <row r="281" spans="1:82" ht="61.5" x14ac:dyDescent="0.85">
      <c r="A281" s="20">
        <v>1</v>
      </c>
      <c r="B281" s="66">
        <f>SUBTOTAL(103,$A$22:A281)</f>
        <v>254</v>
      </c>
      <c r="C281" s="24" t="s">
        <v>1211</v>
      </c>
      <c r="D281" s="31">
        <f t="shared" si="38"/>
        <v>1459441.5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3">
        <v>0</v>
      </c>
      <c r="L281" s="31">
        <v>0</v>
      </c>
      <c r="M281" s="272">
        <v>438.9</v>
      </c>
      <c r="N281" s="273">
        <v>1437873.4</v>
      </c>
      <c r="O281" s="36">
        <v>0</v>
      </c>
      <c r="P281" s="36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f t="shared" si="39"/>
        <v>21568.1</v>
      </c>
      <c r="AD281" s="31">
        <v>0</v>
      </c>
      <c r="AE281" s="31">
        <v>0</v>
      </c>
      <c r="AF281" s="219" t="s">
        <v>271</v>
      </c>
      <c r="AG281" s="219">
        <v>2020</v>
      </c>
      <c r="AH281" s="220">
        <v>2020</v>
      </c>
      <c r="BZ281" s="71"/>
      <c r="CD281" s="20">
        <f t="shared" si="32"/>
        <v>452.1</v>
      </c>
    </row>
    <row r="282" spans="1:82" ht="61.5" x14ac:dyDescent="0.85">
      <c r="A282" s="20">
        <v>1</v>
      </c>
      <c r="B282" s="66">
        <f>SUBTOTAL(103,$A$22:A282)</f>
        <v>255</v>
      </c>
      <c r="C282" s="24" t="s">
        <v>1212</v>
      </c>
      <c r="D282" s="31">
        <f t="shared" si="38"/>
        <v>3024753.67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3">
        <v>0</v>
      </c>
      <c r="L282" s="31">
        <v>0</v>
      </c>
      <c r="M282" s="272">
        <v>970</v>
      </c>
      <c r="N282" s="273">
        <v>2980052.88</v>
      </c>
      <c r="O282" s="36">
        <v>0</v>
      </c>
      <c r="P282" s="36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f t="shared" si="39"/>
        <v>44700.79</v>
      </c>
      <c r="AD282" s="31">
        <v>0</v>
      </c>
      <c r="AE282" s="31">
        <v>0</v>
      </c>
      <c r="AF282" s="219" t="s">
        <v>271</v>
      </c>
      <c r="AG282" s="219">
        <v>2020</v>
      </c>
      <c r="AH282" s="220">
        <v>2020</v>
      </c>
      <c r="BZ282" s="71"/>
      <c r="CD282" s="20">
        <f t="shared" si="32"/>
        <v>992</v>
      </c>
    </row>
    <row r="283" spans="1:82" ht="61.5" x14ac:dyDescent="0.85">
      <c r="A283" s="20">
        <v>1</v>
      </c>
      <c r="B283" s="66">
        <f>SUBTOTAL(103,$A$22:A283)</f>
        <v>256</v>
      </c>
      <c r="C283" s="24" t="s">
        <v>649</v>
      </c>
      <c r="D283" s="31">
        <f t="shared" si="38"/>
        <v>2459361.85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3">
        <v>0</v>
      </c>
      <c r="L283" s="31">
        <v>0</v>
      </c>
      <c r="M283" s="272">
        <v>777.8</v>
      </c>
      <c r="N283" s="273">
        <v>2423016.6</v>
      </c>
      <c r="O283" s="36">
        <v>0</v>
      </c>
      <c r="P283" s="36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f t="shared" si="39"/>
        <v>36345.25</v>
      </c>
      <c r="AD283" s="31">
        <v>0</v>
      </c>
      <c r="AE283" s="31">
        <v>0</v>
      </c>
      <c r="AF283" s="219" t="s">
        <v>271</v>
      </c>
      <c r="AG283" s="219">
        <v>2020</v>
      </c>
      <c r="AH283" s="220">
        <v>2020</v>
      </c>
      <c r="BZ283" s="71"/>
      <c r="CD283" s="20">
        <f t="shared" si="32"/>
        <v>796.1</v>
      </c>
    </row>
    <row r="284" spans="1:82" ht="61.5" x14ac:dyDescent="0.85">
      <c r="B284" s="24" t="s">
        <v>830</v>
      </c>
      <c r="C284" s="24"/>
      <c r="D284" s="31">
        <f>SUM(D285:D290)</f>
        <v>35599350.519999996</v>
      </c>
      <c r="E284" s="31">
        <f t="shared" ref="E284:AE284" si="40">SUM(E285:E290)</f>
        <v>0</v>
      </c>
      <c r="F284" s="31">
        <f t="shared" si="40"/>
        <v>0</v>
      </c>
      <c r="G284" s="31">
        <f t="shared" si="40"/>
        <v>0</v>
      </c>
      <c r="H284" s="31">
        <f t="shared" si="40"/>
        <v>0</v>
      </c>
      <c r="I284" s="31">
        <f t="shared" si="40"/>
        <v>0</v>
      </c>
      <c r="J284" s="31">
        <f t="shared" si="40"/>
        <v>0</v>
      </c>
      <c r="K284" s="33">
        <f t="shared" si="40"/>
        <v>0</v>
      </c>
      <c r="L284" s="31">
        <f t="shared" si="40"/>
        <v>0</v>
      </c>
      <c r="M284" s="31">
        <f t="shared" si="40"/>
        <v>4694.03</v>
      </c>
      <c r="N284" s="31">
        <f t="shared" si="40"/>
        <v>25961845.870000001</v>
      </c>
      <c r="O284" s="31">
        <f t="shared" si="40"/>
        <v>0</v>
      </c>
      <c r="P284" s="31">
        <f t="shared" si="40"/>
        <v>0</v>
      </c>
      <c r="Q284" s="31">
        <f t="shared" si="40"/>
        <v>2410.08</v>
      </c>
      <c r="R284" s="31">
        <f t="shared" si="40"/>
        <v>8650438.4499999993</v>
      </c>
      <c r="S284" s="31">
        <f t="shared" si="40"/>
        <v>0</v>
      </c>
      <c r="T284" s="31">
        <f t="shared" si="40"/>
        <v>0</v>
      </c>
      <c r="U284" s="31">
        <f t="shared" si="40"/>
        <v>0</v>
      </c>
      <c r="V284" s="31">
        <f t="shared" si="40"/>
        <v>0</v>
      </c>
      <c r="W284" s="31">
        <f t="shared" si="40"/>
        <v>0</v>
      </c>
      <c r="X284" s="31">
        <f t="shared" si="40"/>
        <v>0</v>
      </c>
      <c r="Y284" s="31">
        <f t="shared" si="40"/>
        <v>0</v>
      </c>
      <c r="Z284" s="31">
        <f t="shared" si="40"/>
        <v>0</v>
      </c>
      <c r="AA284" s="31">
        <f t="shared" si="40"/>
        <v>0</v>
      </c>
      <c r="AB284" s="31">
        <f t="shared" si="40"/>
        <v>0</v>
      </c>
      <c r="AC284" s="31">
        <f t="shared" si="40"/>
        <v>519184.27</v>
      </c>
      <c r="AD284" s="31">
        <f t="shared" si="40"/>
        <v>467881.93</v>
      </c>
      <c r="AE284" s="31">
        <f t="shared" si="40"/>
        <v>0</v>
      </c>
      <c r="AF284" s="221" t="s">
        <v>764</v>
      </c>
      <c r="AG284" s="221" t="s">
        <v>764</v>
      </c>
      <c r="AH284" s="222" t="s">
        <v>764</v>
      </c>
      <c r="AT284" s="20" t="e">
        <f>VLOOKUP(C284,AW:AX,2,FALSE)</f>
        <v>#N/A</v>
      </c>
      <c r="BZ284" s="71">
        <v>35599350.520000003</v>
      </c>
      <c r="CD284" s="20" t="e">
        <f t="shared" si="32"/>
        <v>#N/A</v>
      </c>
    </row>
    <row r="285" spans="1:82" ht="61.5" x14ac:dyDescent="0.85">
      <c r="A285" s="20">
        <v>1</v>
      </c>
      <c r="B285" s="66">
        <f>SUBTOTAL(103,$A$22:A285)</f>
        <v>257</v>
      </c>
      <c r="C285" s="24" t="s">
        <v>659</v>
      </c>
      <c r="D285" s="31">
        <f t="shared" ref="D285:D290" si="41">E285+F285+G285+H285+I285+J285+L285+N285+P285+R285+T285+U285+V285+W285+X285+Y285+Z285+AA285+AB285+AC285+AD285+AE285</f>
        <v>4673799.5900000008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3">
        <v>0</v>
      </c>
      <c r="L285" s="31">
        <v>0</v>
      </c>
      <c r="M285" s="31">
        <v>374</v>
      </c>
      <c r="N285" s="31">
        <f>1852654+500000</f>
        <v>2352654</v>
      </c>
      <c r="O285" s="37">
        <v>0</v>
      </c>
      <c r="P285" s="37">
        <v>0</v>
      </c>
      <c r="Q285" s="31">
        <v>470.68</v>
      </c>
      <c r="R285" s="31">
        <f>1526133.04+620888.27</f>
        <v>2147021.31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f>ROUND((N285+R285)*1.5%,2)</f>
        <v>67495.13</v>
      </c>
      <c r="AD285" s="31">
        <v>106629.15</v>
      </c>
      <c r="AE285" s="31">
        <v>0</v>
      </c>
      <c r="AF285" s="219">
        <v>2020</v>
      </c>
      <c r="AG285" s="219">
        <v>2020</v>
      </c>
      <c r="AH285" s="220">
        <v>2020</v>
      </c>
      <c r="AT285" s="20" t="e">
        <f>VLOOKUP(C285,AW:AX,2,FALSE)</f>
        <v>#N/A</v>
      </c>
      <c r="BZ285" s="71"/>
      <c r="CD285" s="20" t="e">
        <f t="shared" si="32"/>
        <v>#N/A</v>
      </c>
    </row>
    <row r="286" spans="1:82" ht="61.5" x14ac:dyDescent="0.85">
      <c r="A286" s="20">
        <v>1</v>
      </c>
      <c r="B286" s="66">
        <f>SUBTOTAL(103,$A$22:A286)</f>
        <v>258</v>
      </c>
      <c r="C286" s="24" t="s">
        <v>653</v>
      </c>
      <c r="D286" s="31">
        <f t="shared" si="41"/>
        <v>3178425.75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3">
        <v>0</v>
      </c>
      <c r="L286" s="31">
        <v>0</v>
      </c>
      <c r="M286" s="272">
        <v>623</v>
      </c>
      <c r="N286" s="273">
        <v>3013159.02</v>
      </c>
      <c r="O286" s="36">
        <v>0</v>
      </c>
      <c r="P286" s="36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f>ROUND(N286*1.5%,2)</f>
        <v>45197.39</v>
      </c>
      <c r="AD286" s="31">
        <v>120069.34</v>
      </c>
      <c r="AE286" s="31">
        <v>0</v>
      </c>
      <c r="AF286" s="219">
        <v>2020</v>
      </c>
      <c r="AG286" s="219">
        <v>2020</v>
      </c>
      <c r="AH286" s="220">
        <v>2020</v>
      </c>
      <c r="AT286" s="20" t="e">
        <f>VLOOKUP(C286,AW:AX,2,FALSE)</f>
        <v>#N/A</v>
      </c>
      <c r="BZ286" s="71"/>
      <c r="CD286" s="20" t="e">
        <f t="shared" si="32"/>
        <v>#N/A</v>
      </c>
    </row>
    <row r="287" spans="1:82" ht="61.5" x14ac:dyDescent="0.85">
      <c r="A287" s="20">
        <v>1</v>
      </c>
      <c r="B287" s="66">
        <f>SUBTOTAL(103,$A$22:A287)</f>
        <v>259</v>
      </c>
      <c r="C287" s="24" t="s">
        <v>658</v>
      </c>
      <c r="D287" s="31">
        <f t="shared" si="41"/>
        <v>4909138.9399999995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3">
        <v>0</v>
      </c>
      <c r="L287" s="31">
        <v>0</v>
      </c>
      <c r="M287" s="272">
        <v>1038.72</v>
      </c>
      <c r="N287" s="328">
        <v>4711362.12</v>
      </c>
      <c r="O287" s="36">
        <v>0</v>
      </c>
      <c r="P287" s="36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f>ROUND(N287*1.5%,2)</f>
        <v>70670.429999999993</v>
      </c>
      <c r="AD287" s="31">
        <v>127106.39</v>
      </c>
      <c r="AE287" s="31">
        <v>0</v>
      </c>
      <c r="AF287" s="219">
        <v>2020</v>
      </c>
      <c r="AG287" s="219">
        <v>2020</v>
      </c>
      <c r="AH287" s="220">
        <v>2020</v>
      </c>
      <c r="AT287" s="20" t="e">
        <f>VLOOKUP(C287,AW:AX,2,FALSE)</f>
        <v>#N/A</v>
      </c>
      <c r="BZ287" s="71"/>
      <c r="CD287" s="20" t="e">
        <f t="shared" si="32"/>
        <v>#N/A</v>
      </c>
    </row>
    <row r="288" spans="1:82" ht="61.5" x14ac:dyDescent="0.85">
      <c r="A288" s="20">
        <v>1</v>
      </c>
      <c r="B288" s="66">
        <f>SUBTOTAL(103,$A$22:A288)</f>
        <v>260</v>
      </c>
      <c r="C288" s="24" t="s">
        <v>1213</v>
      </c>
      <c r="D288" s="31">
        <f t="shared" si="41"/>
        <v>6600968.3999999994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3">
        <v>0</v>
      </c>
      <c r="L288" s="31">
        <v>0</v>
      </c>
      <c r="M288" s="31">
        <v>0</v>
      </c>
      <c r="N288" s="31">
        <v>0</v>
      </c>
      <c r="O288" s="36">
        <v>0</v>
      </c>
      <c r="P288" s="36">
        <v>0</v>
      </c>
      <c r="Q288" s="272">
        <v>1939.4</v>
      </c>
      <c r="R288" s="335">
        <v>6503417.1399999997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f>ROUND(R288*1.5%,2)</f>
        <v>97551.26</v>
      </c>
      <c r="AD288" s="31">
        <v>0</v>
      </c>
      <c r="AE288" s="31">
        <v>0</v>
      </c>
      <c r="AF288" s="219" t="s">
        <v>271</v>
      </c>
      <c r="AG288" s="219">
        <v>2020</v>
      </c>
      <c r="AH288" s="220">
        <v>2020</v>
      </c>
      <c r="BZ288" s="71"/>
      <c r="CD288" s="20" t="e">
        <f t="shared" si="32"/>
        <v>#N/A</v>
      </c>
    </row>
    <row r="289" spans="1:82" ht="61.5" x14ac:dyDescent="0.85">
      <c r="A289" s="20">
        <v>1</v>
      </c>
      <c r="B289" s="66">
        <f>SUBTOTAL(103,$A$22:A289)</f>
        <v>261</v>
      </c>
      <c r="C289" s="24" t="s">
        <v>1198</v>
      </c>
      <c r="D289" s="31">
        <f t="shared" si="41"/>
        <v>11998023.609999999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3">
        <v>0</v>
      </c>
      <c r="L289" s="31">
        <v>0</v>
      </c>
      <c r="M289" s="280">
        <v>1878.14</v>
      </c>
      <c r="N289" s="31">
        <v>11820712.92</v>
      </c>
      <c r="O289" s="36">
        <v>0</v>
      </c>
      <c r="P289" s="36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f>ROUND(N289*1.5%,2)</f>
        <v>177310.69</v>
      </c>
      <c r="AD289" s="31">
        <v>0</v>
      </c>
      <c r="AE289" s="31">
        <v>0</v>
      </c>
      <c r="AF289" s="219" t="s">
        <v>271</v>
      </c>
      <c r="AG289" s="219">
        <v>2020</v>
      </c>
      <c r="AH289" s="220">
        <v>2020</v>
      </c>
      <c r="BZ289" s="71"/>
      <c r="CD289" s="20">
        <f t="shared" si="32"/>
        <v>1995.2</v>
      </c>
    </row>
    <row r="290" spans="1:82" ht="61.5" x14ac:dyDescent="0.85">
      <c r="A290" s="20">
        <v>1</v>
      </c>
      <c r="B290" s="66">
        <f>SUBTOTAL(103,$A$22:A290)</f>
        <v>262</v>
      </c>
      <c r="C290" s="24" t="s">
        <v>1585</v>
      </c>
      <c r="D290" s="31">
        <f t="shared" si="41"/>
        <v>4238994.2300000004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3">
        <v>0</v>
      </c>
      <c r="L290" s="31">
        <v>0</v>
      </c>
      <c r="M290" s="31">
        <v>780.17</v>
      </c>
      <c r="N290" s="31">
        <f>3479095.21+84862.6+500000</f>
        <v>4063957.81</v>
      </c>
      <c r="O290" s="36">
        <v>0</v>
      </c>
      <c r="P290" s="36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f>ROUND(N290*1.5%,2)</f>
        <v>60959.37</v>
      </c>
      <c r="AD290" s="273">
        <v>114077.05</v>
      </c>
      <c r="AE290" s="31">
        <v>0</v>
      </c>
      <c r="AF290" s="219">
        <v>2020</v>
      </c>
      <c r="AG290" s="219">
        <v>2020</v>
      </c>
      <c r="AH290" s="220">
        <v>2020</v>
      </c>
      <c r="BZ290" s="71"/>
      <c r="CD290" s="20" t="e">
        <f t="shared" si="32"/>
        <v>#N/A</v>
      </c>
    </row>
    <row r="291" spans="1:82" ht="61.5" x14ac:dyDescent="0.85">
      <c r="B291" s="24" t="s">
        <v>831</v>
      </c>
      <c r="C291" s="24"/>
      <c r="D291" s="31">
        <f>SUM(D292:D295)</f>
        <v>13590086.029999999</v>
      </c>
      <c r="E291" s="31">
        <f t="shared" ref="E291:AE291" si="42">SUM(E292:E295)</f>
        <v>0</v>
      </c>
      <c r="F291" s="31">
        <f t="shared" si="42"/>
        <v>83564.44</v>
      </c>
      <c r="G291" s="31">
        <f t="shared" si="42"/>
        <v>895725.75</v>
      </c>
      <c r="H291" s="31">
        <f t="shared" si="42"/>
        <v>61962.38</v>
      </c>
      <c r="I291" s="31">
        <f t="shared" si="42"/>
        <v>0</v>
      </c>
      <c r="J291" s="31">
        <f t="shared" si="42"/>
        <v>0</v>
      </c>
      <c r="K291" s="33">
        <f t="shared" si="42"/>
        <v>0</v>
      </c>
      <c r="L291" s="31">
        <f t="shared" si="42"/>
        <v>0</v>
      </c>
      <c r="M291" s="31">
        <f t="shared" si="42"/>
        <v>3095.09</v>
      </c>
      <c r="N291" s="31">
        <f t="shared" si="42"/>
        <v>12093705.609999999</v>
      </c>
      <c r="O291" s="31">
        <f t="shared" si="42"/>
        <v>0</v>
      </c>
      <c r="P291" s="31">
        <f t="shared" si="42"/>
        <v>0</v>
      </c>
      <c r="Q291" s="31">
        <f t="shared" si="42"/>
        <v>0</v>
      </c>
      <c r="R291" s="31">
        <f t="shared" si="42"/>
        <v>0</v>
      </c>
      <c r="S291" s="31">
        <f t="shared" si="42"/>
        <v>0</v>
      </c>
      <c r="T291" s="31">
        <f t="shared" si="42"/>
        <v>0</v>
      </c>
      <c r="U291" s="31">
        <f t="shared" si="42"/>
        <v>0</v>
      </c>
      <c r="V291" s="31">
        <f t="shared" si="42"/>
        <v>0</v>
      </c>
      <c r="W291" s="31">
        <f t="shared" si="42"/>
        <v>0</v>
      </c>
      <c r="X291" s="31">
        <f t="shared" si="42"/>
        <v>0</v>
      </c>
      <c r="Y291" s="31">
        <f t="shared" si="42"/>
        <v>0</v>
      </c>
      <c r="Z291" s="31">
        <f t="shared" si="42"/>
        <v>0</v>
      </c>
      <c r="AA291" s="31">
        <f t="shared" si="42"/>
        <v>0</v>
      </c>
      <c r="AB291" s="31">
        <f t="shared" si="42"/>
        <v>0</v>
      </c>
      <c r="AC291" s="31">
        <f t="shared" si="42"/>
        <v>197024.37</v>
      </c>
      <c r="AD291" s="31">
        <f t="shared" si="42"/>
        <v>258103.47999999998</v>
      </c>
      <c r="AE291" s="31">
        <f t="shared" si="42"/>
        <v>0</v>
      </c>
      <c r="AF291" s="221" t="s">
        <v>764</v>
      </c>
      <c r="AG291" s="221" t="s">
        <v>764</v>
      </c>
      <c r="AH291" s="222" t="s">
        <v>764</v>
      </c>
      <c r="AT291" s="20" t="e">
        <f>VLOOKUP(C291,AW:AX,2,FALSE)</f>
        <v>#N/A</v>
      </c>
      <c r="BZ291" s="71">
        <v>17002898.350000001</v>
      </c>
      <c r="CD291" s="20" t="e">
        <f t="shared" si="32"/>
        <v>#N/A</v>
      </c>
    </row>
    <row r="292" spans="1:82" ht="61.5" x14ac:dyDescent="0.85">
      <c r="A292" s="20">
        <v>1</v>
      </c>
      <c r="B292" s="66">
        <f>SUBTOTAL(103,$A$22:A292)</f>
        <v>263</v>
      </c>
      <c r="C292" s="24" t="s">
        <v>663</v>
      </c>
      <c r="D292" s="31">
        <f>E292+F292+G292+H292+I292+J292+L292+N292+P292+R292+T292+U292+V292+W292+X292+Y292+Z292+AA292+AB292+AC292+AD292+AE292</f>
        <v>6165819.2800000003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3">
        <v>0</v>
      </c>
      <c r="L292" s="31">
        <v>0</v>
      </c>
      <c r="M292" s="31">
        <v>1188</v>
      </c>
      <c r="N292" s="31">
        <v>5933544.8300000001</v>
      </c>
      <c r="O292" s="36">
        <v>0</v>
      </c>
      <c r="P292" s="36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f>ROUND(N292*1.5%,2)</f>
        <v>89003.17</v>
      </c>
      <c r="AD292" s="273">
        <v>143271.28</v>
      </c>
      <c r="AE292" s="31">
        <v>0</v>
      </c>
      <c r="AF292" s="219">
        <v>2020</v>
      </c>
      <c r="AG292" s="219">
        <v>2020</v>
      </c>
      <c r="AH292" s="220">
        <v>2020</v>
      </c>
      <c r="AT292" s="20" t="e">
        <f>VLOOKUP(C292,AW:AX,2,FALSE)</f>
        <v>#N/A</v>
      </c>
      <c r="BZ292" s="71"/>
      <c r="CD292" s="20" t="e">
        <f t="shared" si="32"/>
        <v>#N/A</v>
      </c>
    </row>
    <row r="293" spans="1:82" ht="61.5" x14ac:dyDescent="0.85">
      <c r="A293" s="20">
        <v>1</v>
      </c>
      <c r="B293" s="66">
        <f>SUBTOTAL(103,$A$22:A293)</f>
        <v>264</v>
      </c>
      <c r="C293" s="24" t="s">
        <v>660</v>
      </c>
      <c r="D293" s="31">
        <f>E293+F293+G293+H293+I293+J293+L293+N293+P293+R293+T293+U293+V293+W293+X293+Y293+Z293+AA293+AB293+AC293+AD293+AE293</f>
        <v>1171703.5599999998</v>
      </c>
      <c r="E293" s="38">
        <v>0</v>
      </c>
      <c r="F293" s="336">
        <v>83564.44</v>
      </c>
      <c r="G293" s="335">
        <v>895725.75</v>
      </c>
      <c r="H293" s="336">
        <v>61962.38</v>
      </c>
      <c r="I293" s="38">
        <v>0</v>
      </c>
      <c r="J293" s="38">
        <v>0</v>
      </c>
      <c r="K293" s="33">
        <v>0</v>
      </c>
      <c r="L293" s="31">
        <v>0</v>
      </c>
      <c r="M293" s="31">
        <v>0</v>
      </c>
      <c r="N293" s="31">
        <v>0</v>
      </c>
      <c r="O293" s="38">
        <v>0</v>
      </c>
      <c r="P293" s="38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f>ROUND((E293+F293+G293+H293+I293+J293)*1.5%,2)</f>
        <v>15618.79</v>
      </c>
      <c r="AD293" s="273">
        <v>114832.2</v>
      </c>
      <c r="AE293" s="31">
        <v>0</v>
      </c>
      <c r="AF293" s="219">
        <v>2020</v>
      </c>
      <c r="AG293" s="219">
        <v>2020</v>
      </c>
      <c r="AH293" s="220">
        <v>2020</v>
      </c>
      <c r="AT293" s="20" t="e">
        <f>VLOOKUP(C293,AW:AX,2,FALSE)</f>
        <v>#N/A</v>
      </c>
      <c r="BZ293" s="71"/>
      <c r="CD293" s="20" t="e">
        <f t="shared" si="32"/>
        <v>#N/A</v>
      </c>
    </row>
    <row r="294" spans="1:82" ht="61.5" x14ac:dyDescent="0.85">
      <c r="A294" s="20">
        <v>1</v>
      </c>
      <c r="B294" s="66">
        <f>SUBTOTAL(103,$A$22:A294)</f>
        <v>265</v>
      </c>
      <c r="C294" s="24" t="s">
        <v>1214</v>
      </c>
      <c r="D294" s="31">
        <f>E294+F294+G294+H294+I294+J294+L294+N294+P294+R294+T294+U294+V294+W294+X294+Y294+Z294+AA294+AB294+AC294+AD294+AE294</f>
        <v>3192348.5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3">
        <v>0</v>
      </c>
      <c r="L294" s="31">
        <v>0</v>
      </c>
      <c r="M294" s="272">
        <v>789.35</v>
      </c>
      <c r="N294" s="273">
        <v>3145170.94</v>
      </c>
      <c r="O294" s="36">
        <v>0</v>
      </c>
      <c r="P294" s="36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f>ROUND(N294*1.5%,2)</f>
        <v>47177.56</v>
      </c>
      <c r="AD294" s="31">
        <v>0</v>
      </c>
      <c r="AE294" s="31">
        <v>0</v>
      </c>
      <c r="AF294" s="219" t="s">
        <v>271</v>
      </c>
      <c r="AG294" s="219">
        <v>2020</v>
      </c>
      <c r="AH294" s="220">
        <v>2020</v>
      </c>
      <c r="BZ294" s="71"/>
      <c r="CD294" s="20">
        <f t="shared" si="32"/>
        <v>855</v>
      </c>
    </row>
    <row r="295" spans="1:82" ht="61.5" x14ac:dyDescent="0.85">
      <c r="A295" s="20">
        <v>1</v>
      </c>
      <c r="B295" s="66">
        <f>SUBTOTAL(103,$A$22:A295)</f>
        <v>266</v>
      </c>
      <c r="C295" s="24" t="s">
        <v>1200</v>
      </c>
      <c r="D295" s="31">
        <f>E295+F295+G295+H295+I295+J295+L295+N295+P295+R295+T295+U295+V295+W295+X295+Y295+Z295+AA295+AB295+AC295+AD295+AE295</f>
        <v>3060214.69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3">
        <v>0</v>
      </c>
      <c r="L295" s="31">
        <v>0</v>
      </c>
      <c r="M295" s="272">
        <v>1117.74</v>
      </c>
      <c r="N295" s="328">
        <v>3014989.84</v>
      </c>
      <c r="O295" s="36">
        <v>0</v>
      </c>
      <c r="P295" s="36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f>ROUND(N295*1.5%,2)</f>
        <v>45224.85</v>
      </c>
      <c r="AD295" s="31">
        <v>0</v>
      </c>
      <c r="AE295" s="31">
        <v>0</v>
      </c>
      <c r="AF295" s="219" t="s">
        <v>271</v>
      </c>
      <c r="AG295" s="219">
        <v>2020</v>
      </c>
      <c r="AH295" s="220">
        <v>2020</v>
      </c>
      <c r="BZ295" s="71"/>
      <c r="CD295" s="20">
        <f t="shared" si="32"/>
        <v>1155.9000000000001</v>
      </c>
    </row>
    <row r="296" spans="1:82" ht="61.5" x14ac:dyDescent="0.85">
      <c r="B296" s="24" t="s">
        <v>1293</v>
      </c>
      <c r="C296" s="24"/>
      <c r="D296" s="31">
        <f>D297</f>
        <v>345301.56</v>
      </c>
      <c r="E296" s="31">
        <f t="shared" ref="E296:AE296" si="43">E297</f>
        <v>0</v>
      </c>
      <c r="F296" s="31">
        <f t="shared" si="43"/>
        <v>0</v>
      </c>
      <c r="G296" s="31">
        <f t="shared" si="43"/>
        <v>0</v>
      </c>
      <c r="H296" s="31">
        <f t="shared" si="43"/>
        <v>0</v>
      </c>
      <c r="I296" s="31">
        <f t="shared" si="43"/>
        <v>0</v>
      </c>
      <c r="J296" s="31">
        <f t="shared" si="43"/>
        <v>0</v>
      </c>
      <c r="K296" s="33">
        <f t="shared" si="43"/>
        <v>0</v>
      </c>
      <c r="L296" s="31">
        <f t="shared" si="43"/>
        <v>0</v>
      </c>
      <c r="M296" s="31">
        <f t="shared" si="43"/>
        <v>0</v>
      </c>
      <c r="N296" s="31">
        <f t="shared" si="43"/>
        <v>0</v>
      </c>
      <c r="O296" s="31">
        <f t="shared" si="43"/>
        <v>0</v>
      </c>
      <c r="P296" s="31">
        <f t="shared" si="43"/>
        <v>0</v>
      </c>
      <c r="Q296" s="31">
        <f t="shared" si="43"/>
        <v>0</v>
      </c>
      <c r="R296" s="31">
        <f t="shared" si="43"/>
        <v>0</v>
      </c>
      <c r="S296" s="31">
        <f t="shared" si="43"/>
        <v>0</v>
      </c>
      <c r="T296" s="31">
        <f t="shared" si="43"/>
        <v>0</v>
      </c>
      <c r="U296" s="31">
        <f t="shared" si="43"/>
        <v>0</v>
      </c>
      <c r="V296" s="31">
        <f t="shared" si="43"/>
        <v>340198.58</v>
      </c>
      <c r="W296" s="31">
        <f t="shared" si="43"/>
        <v>0</v>
      </c>
      <c r="X296" s="31">
        <f t="shared" si="43"/>
        <v>0</v>
      </c>
      <c r="Y296" s="31">
        <f t="shared" si="43"/>
        <v>0</v>
      </c>
      <c r="Z296" s="31">
        <f t="shared" si="43"/>
        <v>0</v>
      </c>
      <c r="AA296" s="31">
        <f t="shared" si="43"/>
        <v>0</v>
      </c>
      <c r="AB296" s="31">
        <f t="shared" si="43"/>
        <v>0</v>
      </c>
      <c r="AC296" s="31">
        <f t="shared" si="43"/>
        <v>5102.9799999999996</v>
      </c>
      <c r="AD296" s="31">
        <f t="shared" si="43"/>
        <v>0</v>
      </c>
      <c r="AE296" s="31">
        <f t="shared" si="43"/>
        <v>0</v>
      </c>
      <c r="AF296" s="221" t="s">
        <v>764</v>
      </c>
      <c r="AG296" s="221" t="s">
        <v>764</v>
      </c>
      <c r="AH296" s="222" t="s">
        <v>764</v>
      </c>
      <c r="BZ296" s="71">
        <v>509455.14</v>
      </c>
      <c r="CD296" s="20" t="e">
        <f t="shared" si="32"/>
        <v>#N/A</v>
      </c>
    </row>
    <row r="297" spans="1:82" ht="61.5" x14ac:dyDescent="0.85">
      <c r="A297" s="20">
        <v>1</v>
      </c>
      <c r="B297" s="66">
        <f>SUBTOTAL(103,$A$22:A297)</f>
        <v>267</v>
      </c>
      <c r="C297" s="24" t="s">
        <v>1199</v>
      </c>
      <c r="D297" s="31">
        <f>E297+F297+G297+H297+I297+J297+L297+N297+P297+R297+T297+U297+V297+W297+X297+Y297+Z297+AA297+AB297+AC297+AD297+AE297</f>
        <v>345301.56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3">
        <v>0</v>
      </c>
      <c r="L297" s="31">
        <v>0</v>
      </c>
      <c r="M297" s="31">
        <v>0</v>
      </c>
      <c r="N297" s="31">
        <v>0</v>
      </c>
      <c r="O297" s="36">
        <v>0</v>
      </c>
      <c r="P297" s="36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28">
        <v>340198.58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f>ROUND(V297*1.5%,2)</f>
        <v>5102.9799999999996</v>
      </c>
      <c r="AD297" s="31">
        <v>0</v>
      </c>
      <c r="AE297" s="31">
        <v>0</v>
      </c>
      <c r="AF297" s="219" t="s">
        <v>271</v>
      </c>
      <c r="AG297" s="219">
        <v>2020</v>
      </c>
      <c r="AH297" s="220">
        <v>2020</v>
      </c>
      <c r="BZ297" s="71"/>
      <c r="CD297" s="20" t="e">
        <f t="shared" si="32"/>
        <v>#N/A</v>
      </c>
    </row>
    <row r="298" spans="1:82" ht="61.5" x14ac:dyDescent="0.85">
      <c r="B298" s="24" t="s">
        <v>832</v>
      </c>
      <c r="C298" s="114"/>
      <c r="D298" s="31">
        <f>SUM(D299:D300)</f>
        <v>6197385.3000000007</v>
      </c>
      <c r="E298" s="31">
        <f t="shared" ref="E298:AE298" si="44">SUM(E299:E300)</f>
        <v>0</v>
      </c>
      <c r="F298" s="31">
        <f t="shared" si="44"/>
        <v>0</v>
      </c>
      <c r="G298" s="31">
        <f t="shared" si="44"/>
        <v>0</v>
      </c>
      <c r="H298" s="31">
        <f t="shared" si="44"/>
        <v>0</v>
      </c>
      <c r="I298" s="31">
        <f t="shared" si="44"/>
        <v>0</v>
      </c>
      <c r="J298" s="31">
        <f t="shared" si="44"/>
        <v>0</v>
      </c>
      <c r="K298" s="33">
        <f t="shared" si="44"/>
        <v>0</v>
      </c>
      <c r="L298" s="31">
        <f t="shared" si="44"/>
        <v>0</v>
      </c>
      <c r="M298" s="31">
        <f t="shared" si="44"/>
        <v>1265.96</v>
      </c>
      <c r="N298" s="31">
        <f t="shared" si="44"/>
        <v>6052344.71</v>
      </c>
      <c r="O298" s="31">
        <f t="shared" si="44"/>
        <v>0</v>
      </c>
      <c r="P298" s="31">
        <f t="shared" si="44"/>
        <v>0</v>
      </c>
      <c r="Q298" s="31">
        <f t="shared" si="44"/>
        <v>0</v>
      </c>
      <c r="R298" s="31">
        <f t="shared" si="44"/>
        <v>0</v>
      </c>
      <c r="S298" s="31">
        <f t="shared" si="44"/>
        <v>0</v>
      </c>
      <c r="T298" s="31">
        <f t="shared" si="44"/>
        <v>0</v>
      </c>
      <c r="U298" s="31">
        <f t="shared" si="44"/>
        <v>0</v>
      </c>
      <c r="V298" s="31">
        <f t="shared" si="44"/>
        <v>0</v>
      </c>
      <c r="W298" s="31">
        <f t="shared" si="44"/>
        <v>0</v>
      </c>
      <c r="X298" s="31">
        <f t="shared" si="44"/>
        <v>0</v>
      </c>
      <c r="Y298" s="31">
        <f t="shared" si="44"/>
        <v>0</v>
      </c>
      <c r="Z298" s="31">
        <f t="shared" si="44"/>
        <v>0</v>
      </c>
      <c r="AA298" s="31">
        <f t="shared" si="44"/>
        <v>0</v>
      </c>
      <c r="AB298" s="31">
        <f t="shared" si="44"/>
        <v>0</v>
      </c>
      <c r="AC298" s="31">
        <f t="shared" si="44"/>
        <v>22231.24</v>
      </c>
      <c r="AD298" s="31">
        <f t="shared" si="44"/>
        <v>122809.35</v>
      </c>
      <c r="AE298" s="31">
        <f t="shared" si="44"/>
        <v>0</v>
      </c>
      <c r="AF298" s="221" t="s">
        <v>764</v>
      </c>
      <c r="AG298" s="221" t="s">
        <v>764</v>
      </c>
      <c r="AH298" s="222" t="s">
        <v>764</v>
      </c>
      <c r="AT298" s="20" t="e">
        <f>VLOOKUP(C298,AW:AX,2,FALSE)</f>
        <v>#N/A</v>
      </c>
      <c r="BZ298" s="71">
        <v>6114371.4100000001</v>
      </c>
      <c r="CB298" s="71">
        <f>BZ298-D298</f>
        <v>-83013.890000000596</v>
      </c>
      <c r="CD298" s="20" t="e">
        <f t="shared" si="32"/>
        <v>#N/A</v>
      </c>
    </row>
    <row r="299" spans="1:82" ht="61.5" x14ac:dyDescent="0.85">
      <c r="A299" s="20">
        <v>1</v>
      </c>
      <c r="B299" s="66">
        <f>SUBTOTAL(103,$A$22:A299)</f>
        <v>268</v>
      </c>
      <c r="C299" s="24" t="s">
        <v>688</v>
      </c>
      <c r="D299" s="31">
        <f>E299+F299+G299+H299+I299+J299+L299+N299+P299+R299+T299+U299+V299+W299+X299+Y299+Z299+AA299+AB299+AC299+AD299+AE299</f>
        <v>5013881.0500000007</v>
      </c>
      <c r="E299" s="38">
        <v>0</v>
      </c>
      <c r="F299" s="38">
        <v>0</v>
      </c>
      <c r="G299" s="31">
        <v>0</v>
      </c>
      <c r="H299" s="38">
        <v>0</v>
      </c>
      <c r="I299" s="38">
        <v>0</v>
      </c>
      <c r="J299" s="38">
        <v>0</v>
      </c>
      <c r="K299" s="33">
        <v>0</v>
      </c>
      <c r="L299" s="31">
        <v>0</v>
      </c>
      <c r="M299" s="31">
        <v>1022</v>
      </c>
      <c r="N299" s="31">
        <f>4825702.23+83013.89-828.09-4</f>
        <v>4907884.03</v>
      </c>
      <c r="O299" s="38">
        <v>0</v>
      </c>
      <c r="P299" s="38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f>ROUND(N299*1.0125%,2)-29048.75-5000</f>
        <v>15643.580000000002</v>
      </c>
      <c r="AD299" s="31">
        <v>90353.44</v>
      </c>
      <c r="AE299" s="31">
        <v>0</v>
      </c>
      <c r="AF299" s="219">
        <v>2020</v>
      </c>
      <c r="AG299" s="219">
        <v>2020</v>
      </c>
      <c r="AH299" s="220">
        <v>2020</v>
      </c>
      <c r="AT299" s="20" t="e">
        <f>VLOOKUP(C299,AW:AX,2,FALSE)</f>
        <v>#N/A</v>
      </c>
      <c r="BZ299" s="71"/>
      <c r="CD299" s="20">
        <f t="shared" si="32"/>
        <v>1022</v>
      </c>
    </row>
    <row r="300" spans="1:82" ht="61.5" x14ac:dyDescent="0.85">
      <c r="A300" s="20">
        <v>1</v>
      </c>
      <c r="B300" s="66">
        <f>SUBTOTAL(103,$A$22:A300)</f>
        <v>269</v>
      </c>
      <c r="C300" s="24" t="s">
        <v>686</v>
      </c>
      <c r="D300" s="31">
        <f>E300+F300+G300+H300+I300+J300+L300+N300+P300+R300+T300+U300+V300+W300+X300+Y300+Z300+AA300+AB300+AC300+AD300+AE300</f>
        <v>1183504.2499999998</v>
      </c>
      <c r="E300" s="38">
        <v>0</v>
      </c>
      <c r="F300" s="38">
        <v>0</v>
      </c>
      <c r="G300" s="31">
        <v>0</v>
      </c>
      <c r="H300" s="38">
        <v>0</v>
      </c>
      <c r="I300" s="38">
        <v>0</v>
      </c>
      <c r="J300" s="38">
        <v>0</v>
      </c>
      <c r="K300" s="33">
        <v>0</v>
      </c>
      <c r="L300" s="31">
        <v>0</v>
      </c>
      <c r="M300" s="31">
        <v>243.96</v>
      </c>
      <c r="N300" s="31">
        <v>1144460.68</v>
      </c>
      <c r="O300" s="38">
        <v>0</v>
      </c>
      <c r="P300" s="38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f>ROUND(N300*1.0125%,2)-5000</f>
        <v>6587.66</v>
      </c>
      <c r="AD300" s="31">
        <v>32455.91</v>
      </c>
      <c r="AE300" s="31">
        <v>0</v>
      </c>
      <c r="AF300" s="219">
        <v>2020</v>
      </c>
      <c r="AG300" s="219">
        <v>2020</v>
      </c>
      <c r="AH300" s="220">
        <v>2020</v>
      </c>
      <c r="AT300" s="20" t="e">
        <f>VLOOKUP(C300,AW:AX,2,FALSE)</f>
        <v>#N/A</v>
      </c>
      <c r="BZ300" s="71"/>
      <c r="CD300" s="20">
        <f t="shared" si="32"/>
        <v>243.96</v>
      </c>
    </row>
    <row r="301" spans="1:82" ht="61.5" x14ac:dyDescent="0.85">
      <c r="B301" s="24" t="s">
        <v>833</v>
      </c>
      <c r="C301" s="24"/>
      <c r="D301" s="31">
        <f>SUM(D302:D306)</f>
        <v>12655548.699999999</v>
      </c>
      <c r="E301" s="31">
        <f t="shared" ref="E301:AE301" si="45">SUM(E302:E306)</f>
        <v>254554.67</v>
      </c>
      <c r="F301" s="31">
        <f t="shared" si="45"/>
        <v>0</v>
      </c>
      <c r="G301" s="31">
        <f t="shared" si="45"/>
        <v>766330.31</v>
      </c>
      <c r="H301" s="31">
        <f t="shared" si="45"/>
        <v>350573.85</v>
      </c>
      <c r="I301" s="31">
        <f t="shared" si="45"/>
        <v>0</v>
      </c>
      <c r="J301" s="31">
        <f t="shared" si="45"/>
        <v>0</v>
      </c>
      <c r="K301" s="33">
        <f t="shared" si="45"/>
        <v>0</v>
      </c>
      <c r="L301" s="31">
        <f t="shared" si="45"/>
        <v>0</v>
      </c>
      <c r="M301" s="31">
        <f t="shared" si="45"/>
        <v>0</v>
      </c>
      <c r="N301" s="31">
        <f t="shared" si="45"/>
        <v>0</v>
      </c>
      <c r="O301" s="31">
        <f t="shared" si="45"/>
        <v>339.3</v>
      </c>
      <c r="P301" s="31">
        <f t="shared" si="45"/>
        <v>2618206.87</v>
      </c>
      <c r="Q301" s="31">
        <f t="shared" si="45"/>
        <v>1907.2</v>
      </c>
      <c r="R301" s="31">
        <f t="shared" si="45"/>
        <v>8385952.9000000004</v>
      </c>
      <c r="S301" s="31">
        <f t="shared" si="45"/>
        <v>0</v>
      </c>
      <c r="T301" s="31">
        <f t="shared" si="45"/>
        <v>0</v>
      </c>
      <c r="U301" s="31">
        <f t="shared" si="45"/>
        <v>0</v>
      </c>
      <c r="V301" s="31">
        <f t="shared" si="45"/>
        <v>0</v>
      </c>
      <c r="W301" s="31">
        <f t="shared" si="45"/>
        <v>0</v>
      </c>
      <c r="X301" s="31">
        <f t="shared" si="45"/>
        <v>0</v>
      </c>
      <c r="Y301" s="31">
        <f t="shared" si="45"/>
        <v>0</v>
      </c>
      <c r="Z301" s="31">
        <f t="shared" si="45"/>
        <v>0</v>
      </c>
      <c r="AA301" s="31">
        <f t="shared" si="45"/>
        <v>0</v>
      </c>
      <c r="AB301" s="31">
        <f t="shared" si="45"/>
        <v>0</v>
      </c>
      <c r="AC301" s="31">
        <f t="shared" si="45"/>
        <v>184960.25999999998</v>
      </c>
      <c r="AD301" s="31">
        <f t="shared" si="45"/>
        <v>94969.84</v>
      </c>
      <c r="AE301" s="31">
        <f t="shared" si="45"/>
        <v>0</v>
      </c>
      <c r="AF301" s="221" t="s">
        <v>764</v>
      </c>
      <c r="AG301" s="221" t="s">
        <v>764</v>
      </c>
      <c r="AH301" s="222" t="s">
        <v>764</v>
      </c>
      <c r="AT301" s="20" t="e">
        <f>VLOOKUP(C301,AW:AX,2,FALSE)</f>
        <v>#N/A</v>
      </c>
      <c r="BZ301" s="71">
        <v>13474518.75</v>
      </c>
      <c r="CD301" s="20" t="e">
        <f t="shared" si="32"/>
        <v>#N/A</v>
      </c>
    </row>
    <row r="302" spans="1:82" ht="61.5" x14ac:dyDescent="0.85">
      <c r="A302" s="20">
        <v>1</v>
      </c>
      <c r="B302" s="66">
        <f>SUBTOTAL(103,$A$22:A302)</f>
        <v>270</v>
      </c>
      <c r="C302" s="24" t="s">
        <v>701</v>
      </c>
      <c r="D302" s="31">
        <f>E302+F302+G302+H302+I302+J302+L302+N302+P302+R302+T302+U302+V302+W302+X302+Y302+Z302+AA302+AB302+AC302+AD302+AE302</f>
        <v>3534439.81</v>
      </c>
      <c r="E302" s="38">
        <v>0</v>
      </c>
      <c r="F302" s="38">
        <v>0</v>
      </c>
      <c r="G302" s="31">
        <v>0</v>
      </c>
      <c r="H302" s="38">
        <v>0</v>
      </c>
      <c r="I302" s="38">
        <v>0</v>
      </c>
      <c r="J302" s="38">
        <v>0</v>
      </c>
      <c r="K302" s="33">
        <v>0</v>
      </c>
      <c r="L302" s="31">
        <v>0</v>
      </c>
      <c r="M302" s="31">
        <v>0</v>
      </c>
      <c r="N302" s="31">
        <v>0</v>
      </c>
      <c r="O302" s="38">
        <v>0</v>
      </c>
      <c r="P302" s="38">
        <v>0</v>
      </c>
      <c r="Q302" s="31">
        <v>607.29999999999995</v>
      </c>
      <c r="R302" s="31">
        <f>2104768.83+1283871.53</f>
        <v>3388640.3600000003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f>ROUND(R302*1.5%,2)</f>
        <v>50829.61</v>
      </c>
      <c r="AD302" s="31">
        <v>94969.84</v>
      </c>
      <c r="AE302" s="31">
        <v>0</v>
      </c>
      <c r="AF302" s="219">
        <v>2020</v>
      </c>
      <c r="AG302" s="219">
        <v>2020</v>
      </c>
      <c r="AH302" s="220">
        <v>2020</v>
      </c>
      <c r="AT302" s="20" t="e">
        <f>VLOOKUP(C302,AW:AX,2,FALSE)</f>
        <v>#N/A</v>
      </c>
      <c r="BZ302" s="71"/>
      <c r="CD302" s="20" t="e">
        <f t="shared" si="32"/>
        <v>#N/A</v>
      </c>
    </row>
    <row r="303" spans="1:82" ht="61.5" x14ac:dyDescent="0.85">
      <c r="A303" s="20">
        <v>1</v>
      </c>
      <c r="B303" s="66">
        <f>SUBTOTAL(103,$A$22:A303)</f>
        <v>271</v>
      </c>
      <c r="C303" s="24" t="s">
        <v>1217</v>
      </c>
      <c r="D303" s="31">
        <f>E303+F303+G303+H303+I303+J303+L303+N303+P303+R303+T303+U303+V303+W303+X303+Y303+Z303+AA303+AB303+AC303+AD303+AE303</f>
        <v>2525425.0499999998</v>
      </c>
      <c r="E303" s="38">
        <v>0</v>
      </c>
      <c r="F303" s="38">
        <v>0</v>
      </c>
      <c r="G303" s="31">
        <v>0</v>
      </c>
      <c r="H303" s="38">
        <v>0</v>
      </c>
      <c r="I303" s="38">
        <v>0</v>
      </c>
      <c r="J303" s="38">
        <v>0</v>
      </c>
      <c r="K303" s="33">
        <v>0</v>
      </c>
      <c r="L303" s="31">
        <v>0</v>
      </c>
      <c r="M303" s="31">
        <v>0</v>
      </c>
      <c r="N303" s="31">
        <v>0</v>
      </c>
      <c r="O303" s="38">
        <v>0</v>
      </c>
      <c r="P303" s="38">
        <v>0</v>
      </c>
      <c r="Q303" s="278">
        <v>647.20000000000005</v>
      </c>
      <c r="R303" s="273">
        <v>2488287.36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f>ROUND(R303*1.4925%,2)</f>
        <v>37137.69</v>
      </c>
      <c r="AD303" s="31">
        <v>0</v>
      </c>
      <c r="AE303" s="31">
        <v>0</v>
      </c>
      <c r="AF303" s="219" t="s">
        <v>271</v>
      </c>
      <c r="AG303" s="219">
        <v>2020</v>
      </c>
      <c r="AH303" s="220">
        <v>2020</v>
      </c>
      <c r="BZ303" s="71"/>
      <c r="CD303" s="20" t="e">
        <f t="shared" si="32"/>
        <v>#N/A</v>
      </c>
    </row>
    <row r="304" spans="1:82" ht="61.5" x14ac:dyDescent="0.85">
      <c r="A304" s="20">
        <v>1</v>
      </c>
      <c r="B304" s="66">
        <f>SUBTOTAL(103,$A$22:A304)</f>
        <v>272</v>
      </c>
      <c r="C304" s="24" t="s">
        <v>1218</v>
      </c>
      <c r="D304" s="31">
        <f>E304+F304+G304+H304+I304+J304+L304+N304+P304+R304+T304+U304+V304+W304+X304+Y304+Z304+AA304+AB304+AC304+AD304+AE304</f>
        <v>2546472.3800000004</v>
      </c>
      <c r="E304" s="38">
        <v>0</v>
      </c>
      <c r="F304" s="38">
        <v>0</v>
      </c>
      <c r="G304" s="31">
        <v>0</v>
      </c>
      <c r="H304" s="38">
        <v>0</v>
      </c>
      <c r="I304" s="38">
        <v>0</v>
      </c>
      <c r="J304" s="38">
        <v>0</v>
      </c>
      <c r="K304" s="33">
        <v>0</v>
      </c>
      <c r="L304" s="31">
        <v>0</v>
      </c>
      <c r="M304" s="31">
        <v>0</v>
      </c>
      <c r="N304" s="31">
        <v>0</v>
      </c>
      <c r="O304" s="38">
        <v>0</v>
      </c>
      <c r="P304" s="38">
        <v>0</v>
      </c>
      <c r="Q304" s="278">
        <v>652.70000000000005</v>
      </c>
      <c r="R304" s="273">
        <v>2509025.1800000002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f>ROUND(R304*1.4925%,2)</f>
        <v>37447.199999999997</v>
      </c>
      <c r="AD304" s="31">
        <v>0</v>
      </c>
      <c r="AE304" s="31">
        <v>0</v>
      </c>
      <c r="AF304" s="219" t="s">
        <v>271</v>
      </c>
      <c r="AG304" s="219">
        <v>2020</v>
      </c>
      <c r="AH304" s="220">
        <v>2020</v>
      </c>
      <c r="BZ304" s="71"/>
      <c r="CD304" s="20" t="e">
        <f t="shared" si="32"/>
        <v>#N/A</v>
      </c>
    </row>
    <row r="305" spans="1:82" ht="61.5" x14ac:dyDescent="0.85">
      <c r="A305" s="20">
        <v>1</v>
      </c>
      <c r="B305" s="66">
        <f>SUBTOTAL(103,$A$22:A305)</f>
        <v>273</v>
      </c>
      <c r="C305" s="24" t="s">
        <v>1219</v>
      </c>
      <c r="D305" s="31">
        <f>E305+F305+G305+H305+I305+J305+L305+N305+P305+R305+T305+U305+V305+W305+X305+Y305+Z305+AA305+AB305+AC305+AD305+AE305</f>
        <v>1391927.85</v>
      </c>
      <c r="E305" s="38">
        <v>254554.67</v>
      </c>
      <c r="F305" s="38">
        <v>0</v>
      </c>
      <c r="G305" s="31">
        <v>766330.31</v>
      </c>
      <c r="H305" s="38">
        <v>350573.85</v>
      </c>
      <c r="I305" s="38">
        <v>0</v>
      </c>
      <c r="J305" s="38">
        <v>0</v>
      </c>
      <c r="K305" s="33">
        <v>0</v>
      </c>
      <c r="L305" s="31">
        <v>0</v>
      </c>
      <c r="M305" s="31">
        <v>0</v>
      </c>
      <c r="N305" s="31">
        <v>0</v>
      </c>
      <c r="O305" s="38">
        <v>0</v>
      </c>
      <c r="P305" s="38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f>ROUND((E305+F305+G305+H305+I305+J305)*1.4925%,2)</f>
        <v>20469.02</v>
      </c>
      <c r="AD305" s="31">
        <v>0</v>
      </c>
      <c r="AE305" s="31">
        <v>0</v>
      </c>
      <c r="AF305" s="219" t="s">
        <v>271</v>
      </c>
      <c r="AG305" s="219">
        <v>2020</v>
      </c>
      <c r="AH305" s="220">
        <v>2020</v>
      </c>
      <c r="BZ305" s="71"/>
      <c r="CD305" s="20" t="e">
        <f t="shared" si="32"/>
        <v>#N/A</v>
      </c>
    </row>
    <row r="306" spans="1:82" ht="61.5" x14ac:dyDescent="0.85">
      <c r="A306" s="20">
        <v>1</v>
      </c>
      <c r="B306" s="66">
        <f>SUBTOTAL(103,$A$22:A306)</f>
        <v>274</v>
      </c>
      <c r="C306" s="24" t="s">
        <v>1220</v>
      </c>
      <c r="D306" s="31">
        <f>E306+F306+G306+H306+I306+J306+L306+N306+P306+R306+T306+U306+V306+W306+X306+Y306+Z306+AA306+AB306+AC306+AD306+AE306</f>
        <v>2657283.6100000003</v>
      </c>
      <c r="E306" s="38">
        <v>0</v>
      </c>
      <c r="F306" s="38">
        <v>0</v>
      </c>
      <c r="G306" s="31">
        <v>0</v>
      </c>
      <c r="H306" s="38">
        <v>0</v>
      </c>
      <c r="I306" s="38">
        <v>0</v>
      </c>
      <c r="J306" s="38">
        <v>0</v>
      </c>
      <c r="K306" s="33">
        <v>0</v>
      </c>
      <c r="L306" s="31">
        <v>0</v>
      </c>
      <c r="M306" s="31">
        <v>0</v>
      </c>
      <c r="N306" s="31">
        <v>0</v>
      </c>
      <c r="O306" s="38">
        <v>339.3</v>
      </c>
      <c r="P306" s="38">
        <v>2618206.87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f>ROUND(P306*1.4925%,2)</f>
        <v>39076.74</v>
      </c>
      <c r="AD306" s="31">
        <v>0</v>
      </c>
      <c r="AE306" s="31">
        <v>0</v>
      </c>
      <c r="AF306" s="219" t="s">
        <v>271</v>
      </c>
      <c r="AG306" s="219">
        <v>2020</v>
      </c>
      <c r="AH306" s="220">
        <v>2020</v>
      </c>
      <c r="BZ306" s="71"/>
      <c r="CD306" s="20" t="e">
        <f t="shared" si="32"/>
        <v>#N/A</v>
      </c>
    </row>
    <row r="307" spans="1:82" ht="61.5" x14ac:dyDescent="0.85">
      <c r="B307" s="24" t="s">
        <v>834</v>
      </c>
      <c r="C307" s="24"/>
      <c r="D307" s="31">
        <f>SUM(D308:D312)</f>
        <v>4997517.37</v>
      </c>
      <c r="E307" s="31">
        <f t="shared" ref="E307:AE307" si="46">SUM(E308:E312)</f>
        <v>132703.69</v>
      </c>
      <c r="F307" s="31">
        <f t="shared" si="46"/>
        <v>0</v>
      </c>
      <c r="G307" s="31">
        <f t="shared" si="46"/>
        <v>0</v>
      </c>
      <c r="H307" s="31">
        <f t="shared" si="46"/>
        <v>396684.17000000004</v>
      </c>
      <c r="I307" s="31">
        <f t="shared" si="46"/>
        <v>866910.24</v>
      </c>
      <c r="J307" s="31">
        <f t="shared" si="46"/>
        <v>0</v>
      </c>
      <c r="K307" s="33">
        <f t="shared" si="46"/>
        <v>0</v>
      </c>
      <c r="L307" s="31">
        <f t="shared" si="46"/>
        <v>0</v>
      </c>
      <c r="M307" s="31">
        <f t="shared" si="46"/>
        <v>647</v>
      </c>
      <c r="N307" s="31">
        <f t="shared" si="46"/>
        <v>3348175.42</v>
      </c>
      <c r="O307" s="31">
        <f t="shared" si="46"/>
        <v>0</v>
      </c>
      <c r="P307" s="31">
        <f t="shared" si="46"/>
        <v>0</v>
      </c>
      <c r="Q307" s="31">
        <f t="shared" si="46"/>
        <v>0</v>
      </c>
      <c r="R307" s="31">
        <f t="shared" si="46"/>
        <v>0</v>
      </c>
      <c r="S307" s="31">
        <f t="shared" si="46"/>
        <v>0</v>
      </c>
      <c r="T307" s="31">
        <f t="shared" si="46"/>
        <v>0</v>
      </c>
      <c r="U307" s="31">
        <f t="shared" si="46"/>
        <v>0</v>
      </c>
      <c r="V307" s="31">
        <f t="shared" si="46"/>
        <v>0</v>
      </c>
      <c r="W307" s="31">
        <f t="shared" si="46"/>
        <v>0</v>
      </c>
      <c r="X307" s="31">
        <f t="shared" si="46"/>
        <v>0</v>
      </c>
      <c r="Y307" s="31">
        <f t="shared" si="46"/>
        <v>0</v>
      </c>
      <c r="Z307" s="31">
        <f t="shared" si="46"/>
        <v>0</v>
      </c>
      <c r="AA307" s="31">
        <f t="shared" si="46"/>
        <v>0</v>
      </c>
      <c r="AB307" s="31">
        <f t="shared" si="46"/>
        <v>0</v>
      </c>
      <c r="AC307" s="31">
        <f t="shared" si="46"/>
        <v>71167.099999999991</v>
      </c>
      <c r="AD307" s="31">
        <f t="shared" si="46"/>
        <v>181876.75</v>
      </c>
      <c r="AE307" s="31">
        <f t="shared" si="46"/>
        <v>0</v>
      </c>
      <c r="AF307" s="221" t="s">
        <v>764</v>
      </c>
      <c r="AG307" s="221" t="s">
        <v>764</v>
      </c>
      <c r="AH307" s="222" t="s">
        <v>764</v>
      </c>
      <c r="AT307" s="20" t="e">
        <f>VLOOKUP(C307,AW:AX,2,FALSE)</f>
        <v>#N/A</v>
      </c>
      <c r="BZ307" s="71">
        <v>4109300.7899999996</v>
      </c>
      <c r="CD307" s="20" t="e">
        <f t="shared" si="32"/>
        <v>#N/A</v>
      </c>
    </row>
    <row r="308" spans="1:82" ht="61.5" x14ac:dyDescent="0.85">
      <c r="A308" s="20">
        <v>1</v>
      </c>
      <c r="B308" s="66">
        <f>SUBTOTAL(103,$A$22:A308)</f>
        <v>275</v>
      </c>
      <c r="C308" s="24" t="s">
        <v>702</v>
      </c>
      <c r="D308" s="31">
        <f>E308+F308+G308+H308+I308+J308+L308+N308+P308+R308+T308+U308+V308+W308+X308+Y308+Z308+AA308+AB308+AC308+AD308+AE308</f>
        <v>3482931.04</v>
      </c>
      <c r="E308" s="38">
        <v>0</v>
      </c>
      <c r="F308" s="38">
        <v>0</v>
      </c>
      <c r="G308" s="31">
        <v>0</v>
      </c>
      <c r="H308" s="38">
        <v>0</v>
      </c>
      <c r="I308" s="38">
        <v>0</v>
      </c>
      <c r="J308" s="38">
        <v>0</v>
      </c>
      <c r="K308" s="33">
        <v>0</v>
      </c>
      <c r="L308" s="31">
        <v>0</v>
      </c>
      <c r="M308" s="272">
        <v>647</v>
      </c>
      <c r="N308" s="273">
        <v>3348175.42</v>
      </c>
      <c r="O308" s="38">
        <v>0</v>
      </c>
      <c r="P308" s="38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f>ROUND(N308*1.5%,2)</f>
        <v>50222.63</v>
      </c>
      <c r="AD308" s="31">
        <v>84532.99</v>
      </c>
      <c r="AE308" s="31">
        <v>0</v>
      </c>
      <c r="AF308" s="219">
        <v>2020</v>
      </c>
      <c r="AG308" s="219">
        <v>2020</v>
      </c>
      <c r="AH308" s="220">
        <v>2020</v>
      </c>
      <c r="AT308" s="20" t="e">
        <f>VLOOKUP(C308,AW:AX,2,FALSE)</f>
        <v>#N/A</v>
      </c>
      <c r="BZ308" s="71"/>
      <c r="CD308" s="20" t="e">
        <f t="shared" si="32"/>
        <v>#N/A</v>
      </c>
    </row>
    <row r="309" spans="1:82" ht="61.5" x14ac:dyDescent="0.85">
      <c r="A309" s="20">
        <v>1</v>
      </c>
      <c r="B309" s="66">
        <f>SUBTOTAL(103,$A$22:A309)</f>
        <v>276</v>
      </c>
      <c r="C309" s="24" t="s">
        <v>694</v>
      </c>
      <c r="D309" s="31">
        <f>E309+F309+G309+H309+I309+J309+L309+N309+P309+R309+T309+U309+V309+W309+X309+Y309+Z309+AA309+AB309+AC309+AD309+AE309</f>
        <v>144953.01</v>
      </c>
      <c r="E309" s="38">
        <v>0</v>
      </c>
      <c r="F309" s="38">
        <v>0</v>
      </c>
      <c r="G309" s="31">
        <v>0</v>
      </c>
      <c r="H309" s="38">
        <v>0</v>
      </c>
      <c r="I309" s="31">
        <v>108960.17000000001</v>
      </c>
      <c r="J309" s="38">
        <v>0</v>
      </c>
      <c r="K309" s="33">
        <v>0</v>
      </c>
      <c r="L309" s="31">
        <v>0</v>
      </c>
      <c r="M309" s="31">
        <v>0</v>
      </c>
      <c r="N309" s="31">
        <v>0</v>
      </c>
      <c r="O309" s="38">
        <v>0</v>
      </c>
      <c r="P309" s="38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f>ROUND((E309+F309+G309+H309+I309+J309)*1.5%,2)</f>
        <v>1634.4</v>
      </c>
      <c r="AD309" s="31">
        <v>34358.44</v>
      </c>
      <c r="AE309" s="31">
        <v>0</v>
      </c>
      <c r="AF309" s="219">
        <v>2020</v>
      </c>
      <c r="AG309" s="219">
        <v>2020</v>
      </c>
      <c r="AH309" s="220">
        <v>2020</v>
      </c>
      <c r="AT309" s="20" t="e">
        <f>VLOOKUP(C309,AW:AX,2,FALSE)</f>
        <v>#N/A</v>
      </c>
      <c r="BZ309" s="71"/>
      <c r="CD309" s="20" t="e">
        <f t="shared" si="32"/>
        <v>#N/A</v>
      </c>
    </row>
    <row r="310" spans="1:82" ht="61.5" x14ac:dyDescent="0.85">
      <c r="A310" s="20">
        <v>1</v>
      </c>
      <c r="B310" s="66">
        <f>SUBTOTAL(103,$A$22:A310)</f>
        <v>277</v>
      </c>
      <c r="C310" s="24" t="s">
        <v>693</v>
      </c>
      <c r="D310" s="31">
        <f>E310+F310+G310+H310+I310+J310+L310+N310+P310+R310+T310+U310+V310+W310+X310+Y310+Z310+AA310+AB310+AC310+AD310+AE310</f>
        <v>700445.75999999989</v>
      </c>
      <c r="E310" s="38">
        <v>0</v>
      </c>
      <c r="F310" s="38">
        <v>0</v>
      </c>
      <c r="G310" s="31">
        <v>0</v>
      </c>
      <c r="H310" s="38">
        <v>0</v>
      </c>
      <c r="I310" s="31">
        <f>539641.82+88398.02</f>
        <v>628039.84</v>
      </c>
      <c r="J310" s="38">
        <v>0</v>
      </c>
      <c r="K310" s="33">
        <v>0</v>
      </c>
      <c r="L310" s="31">
        <v>0</v>
      </c>
      <c r="M310" s="31">
        <v>0</v>
      </c>
      <c r="N310" s="31">
        <v>0</v>
      </c>
      <c r="O310" s="38">
        <v>0</v>
      </c>
      <c r="P310" s="38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f>ROUND((E310+F310+G310+H310+I310+J310)*1.5%,2)</f>
        <v>9420.6</v>
      </c>
      <c r="AD310" s="31">
        <v>62985.32</v>
      </c>
      <c r="AE310" s="31">
        <v>0</v>
      </c>
      <c r="AF310" s="219">
        <v>2020</v>
      </c>
      <c r="AG310" s="219">
        <v>2020</v>
      </c>
      <c r="AH310" s="220">
        <v>2020</v>
      </c>
      <c r="AT310" s="20" t="e">
        <f>VLOOKUP(C310,AW:AX,2,FALSE)</f>
        <v>#N/A</v>
      </c>
      <c r="BZ310" s="71"/>
      <c r="CD310" s="20" t="e">
        <f t="shared" si="32"/>
        <v>#N/A</v>
      </c>
    </row>
    <row r="311" spans="1:82" ht="61.5" x14ac:dyDescent="0.85">
      <c r="A311" s="20">
        <v>1</v>
      </c>
      <c r="B311" s="66">
        <f>SUBTOTAL(103,$A$22:A311)</f>
        <v>278</v>
      </c>
      <c r="C311" s="24" t="s">
        <v>1225</v>
      </c>
      <c r="D311" s="31">
        <f>E311+F311+G311+H311+I311+J311+L311+N311+P311+R311+T311+U311+V311+W311+X311+Y311+Z311+AA311+AB311+AC311+AD311+AE311</f>
        <v>457734.2</v>
      </c>
      <c r="E311" s="31">
        <f>131573.94+1129.75</f>
        <v>132703.69</v>
      </c>
      <c r="F311" s="38">
        <v>0</v>
      </c>
      <c r="G311" s="31">
        <v>0</v>
      </c>
      <c r="H311" s="38">
        <v>318265.97000000003</v>
      </c>
      <c r="I311" s="38">
        <v>0</v>
      </c>
      <c r="J311" s="38">
        <v>0</v>
      </c>
      <c r="K311" s="33">
        <v>0</v>
      </c>
      <c r="L311" s="31">
        <v>0</v>
      </c>
      <c r="M311" s="31">
        <v>0</v>
      </c>
      <c r="N311" s="31">
        <v>0</v>
      </c>
      <c r="O311" s="38">
        <v>0</v>
      </c>
      <c r="P311" s="38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f>ROUND((E311+F311+G311+H311+I311+J311)*1.5%,2)</f>
        <v>6764.54</v>
      </c>
      <c r="AD311" s="31">
        <v>0</v>
      </c>
      <c r="AE311" s="31">
        <v>0</v>
      </c>
      <c r="AF311" s="219" t="s">
        <v>271</v>
      </c>
      <c r="AG311" s="219">
        <v>2020</v>
      </c>
      <c r="AH311" s="220">
        <v>2020</v>
      </c>
      <c r="BZ311" s="71"/>
      <c r="CD311" s="20" t="e">
        <f t="shared" ref="CD311:CD374" si="47">VLOOKUP(C311,CE:CF,2,FALSE)</f>
        <v>#N/A</v>
      </c>
    </row>
    <row r="312" spans="1:82" ht="61.5" x14ac:dyDescent="0.85">
      <c r="A312" s="20">
        <v>1</v>
      </c>
      <c r="B312" s="66">
        <f>SUBTOTAL(103,$A$22:A312)</f>
        <v>279</v>
      </c>
      <c r="C312" s="24" t="s">
        <v>1226</v>
      </c>
      <c r="D312" s="31">
        <f>E312+F312+G312+H312+I312+J312+L312+N312+P312+R312+T312+U312+V312+W312+X312+Y312+Z312+AA312+AB312+AC312+AD312+AE312</f>
        <v>211453.36</v>
      </c>
      <c r="E312" s="38">
        <v>0</v>
      </c>
      <c r="F312" s="38">
        <v>0</v>
      </c>
      <c r="G312" s="31">
        <v>0</v>
      </c>
      <c r="H312" s="38">
        <v>78418.2</v>
      </c>
      <c r="I312" s="38">
        <v>129910.23</v>
      </c>
      <c r="J312" s="38">
        <v>0</v>
      </c>
      <c r="K312" s="33">
        <v>0</v>
      </c>
      <c r="L312" s="31">
        <v>0</v>
      </c>
      <c r="M312" s="31">
        <v>0</v>
      </c>
      <c r="N312" s="31">
        <v>0</v>
      </c>
      <c r="O312" s="38">
        <v>0</v>
      </c>
      <c r="P312" s="38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f>ROUND((E312+F312+G312+H312+I312+J312)*1.5%,2)</f>
        <v>3124.93</v>
      </c>
      <c r="AD312" s="31">
        <v>0</v>
      </c>
      <c r="AE312" s="31">
        <v>0</v>
      </c>
      <c r="AF312" s="219" t="s">
        <v>271</v>
      </c>
      <c r="AG312" s="219">
        <v>2020</v>
      </c>
      <c r="AH312" s="220">
        <v>2020</v>
      </c>
      <c r="BZ312" s="71"/>
      <c r="CD312" s="20" t="e">
        <f t="shared" si="47"/>
        <v>#N/A</v>
      </c>
    </row>
    <row r="313" spans="1:82" ht="61.5" x14ac:dyDescent="0.85">
      <c r="B313" s="24" t="s">
        <v>835</v>
      </c>
      <c r="C313" s="24"/>
      <c r="D313" s="31">
        <f>D314</f>
        <v>1997229.1400000001</v>
      </c>
      <c r="E313" s="31">
        <f t="shared" ref="E313:AE313" si="48">E314</f>
        <v>0</v>
      </c>
      <c r="F313" s="31">
        <f t="shared" si="48"/>
        <v>0</v>
      </c>
      <c r="G313" s="31">
        <f t="shared" si="48"/>
        <v>0</v>
      </c>
      <c r="H313" s="31">
        <f t="shared" si="48"/>
        <v>0</v>
      </c>
      <c r="I313" s="31">
        <f t="shared" si="48"/>
        <v>0</v>
      </c>
      <c r="J313" s="31">
        <f t="shared" si="48"/>
        <v>0</v>
      </c>
      <c r="K313" s="33">
        <f t="shared" si="48"/>
        <v>0</v>
      </c>
      <c r="L313" s="31">
        <f t="shared" si="48"/>
        <v>0</v>
      </c>
      <c r="M313" s="31">
        <f t="shared" si="48"/>
        <v>775.93</v>
      </c>
      <c r="N313" s="31">
        <f t="shared" si="48"/>
        <v>1845774.1</v>
      </c>
      <c r="O313" s="31">
        <f t="shared" si="48"/>
        <v>0</v>
      </c>
      <c r="P313" s="31">
        <f t="shared" si="48"/>
        <v>0</v>
      </c>
      <c r="Q313" s="31">
        <f t="shared" si="48"/>
        <v>0</v>
      </c>
      <c r="R313" s="31">
        <f t="shared" si="48"/>
        <v>0</v>
      </c>
      <c r="S313" s="31">
        <f t="shared" si="48"/>
        <v>0</v>
      </c>
      <c r="T313" s="31">
        <f t="shared" si="48"/>
        <v>0</v>
      </c>
      <c r="U313" s="31">
        <f t="shared" si="48"/>
        <v>0</v>
      </c>
      <c r="V313" s="31">
        <f t="shared" si="48"/>
        <v>0</v>
      </c>
      <c r="W313" s="31">
        <f t="shared" si="48"/>
        <v>0</v>
      </c>
      <c r="X313" s="31">
        <f t="shared" si="48"/>
        <v>0</v>
      </c>
      <c r="Y313" s="31">
        <f t="shared" si="48"/>
        <v>0</v>
      </c>
      <c r="Z313" s="31">
        <f t="shared" si="48"/>
        <v>0</v>
      </c>
      <c r="AA313" s="31">
        <f t="shared" si="48"/>
        <v>0</v>
      </c>
      <c r="AB313" s="31">
        <f t="shared" si="48"/>
        <v>0</v>
      </c>
      <c r="AC313" s="31">
        <f t="shared" si="48"/>
        <v>18688.46</v>
      </c>
      <c r="AD313" s="31">
        <f t="shared" si="48"/>
        <v>132766.57999999999</v>
      </c>
      <c r="AE313" s="31">
        <f t="shared" si="48"/>
        <v>0</v>
      </c>
      <c r="AF313" s="221" t="s">
        <v>764</v>
      </c>
      <c r="AG313" s="221" t="s">
        <v>764</v>
      </c>
      <c r="AH313" s="222" t="s">
        <v>764</v>
      </c>
      <c r="AT313" s="20" t="e">
        <f t="shared" ref="AT313:AT323" si="49">VLOOKUP(C313,AW:AX,2,FALSE)</f>
        <v>#N/A</v>
      </c>
      <c r="BZ313" s="71">
        <v>3674943.51</v>
      </c>
      <c r="CD313" s="20" t="e">
        <f t="shared" si="47"/>
        <v>#N/A</v>
      </c>
    </row>
    <row r="314" spans="1:82" ht="61.5" x14ac:dyDescent="0.85">
      <c r="A314" s="20">
        <v>1</v>
      </c>
      <c r="B314" s="66">
        <f>SUBTOTAL(103,$A$22:A314)</f>
        <v>280</v>
      </c>
      <c r="C314" s="24" t="s">
        <v>691</v>
      </c>
      <c r="D314" s="31">
        <f>E314+F314+G314+H314+I314+J314+L314+N314+P314+R314+T314+U314+V314+W314+X314+Y314+Z314+AA314+AB314+AC314+AD314+AE314</f>
        <v>1997229.1400000001</v>
      </c>
      <c r="E314" s="38">
        <v>0</v>
      </c>
      <c r="F314" s="38">
        <v>0</v>
      </c>
      <c r="G314" s="31">
        <v>0</v>
      </c>
      <c r="H314" s="38">
        <v>0</v>
      </c>
      <c r="I314" s="38">
        <v>0</v>
      </c>
      <c r="J314" s="38">
        <v>0</v>
      </c>
      <c r="K314" s="33">
        <v>0</v>
      </c>
      <c r="L314" s="31">
        <v>0</v>
      </c>
      <c r="M314" s="272">
        <v>775.93</v>
      </c>
      <c r="N314" s="273">
        <v>1845774.1</v>
      </c>
      <c r="O314" s="38">
        <v>0</v>
      </c>
      <c r="P314" s="38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273">
        <v>18688.46</v>
      </c>
      <c r="AD314" s="273">
        <v>132766.57999999999</v>
      </c>
      <c r="AE314" s="31">
        <v>0</v>
      </c>
      <c r="AF314" s="219">
        <v>2020</v>
      </c>
      <c r="AG314" s="219">
        <v>2020</v>
      </c>
      <c r="AH314" s="220">
        <v>2020</v>
      </c>
      <c r="AT314" s="20" t="e">
        <f t="shared" si="49"/>
        <v>#N/A</v>
      </c>
      <c r="BZ314" s="71"/>
      <c r="CD314" s="20" t="e">
        <f t="shared" si="47"/>
        <v>#N/A</v>
      </c>
    </row>
    <row r="315" spans="1:82" ht="61.5" x14ac:dyDescent="0.85">
      <c r="B315" s="24" t="s">
        <v>836</v>
      </c>
      <c r="C315" s="24"/>
      <c r="D315" s="31">
        <f t="shared" ref="D315:AE315" si="50">SUM(D316:D330)</f>
        <v>45687622.32</v>
      </c>
      <c r="E315" s="31">
        <f t="shared" si="50"/>
        <v>0</v>
      </c>
      <c r="F315" s="31">
        <f t="shared" si="50"/>
        <v>0</v>
      </c>
      <c r="G315" s="31">
        <f t="shared" si="50"/>
        <v>0</v>
      </c>
      <c r="H315" s="31">
        <f t="shared" si="50"/>
        <v>0</v>
      </c>
      <c r="I315" s="31">
        <f t="shared" si="50"/>
        <v>0</v>
      </c>
      <c r="J315" s="31">
        <f t="shared" si="50"/>
        <v>0</v>
      </c>
      <c r="K315" s="33">
        <f t="shared" si="50"/>
        <v>6</v>
      </c>
      <c r="L315" s="31">
        <f t="shared" si="50"/>
        <v>8696097.8399999999</v>
      </c>
      <c r="M315" s="31">
        <f t="shared" si="50"/>
        <v>8130.82</v>
      </c>
      <c r="N315" s="31">
        <f t="shared" si="50"/>
        <v>32505443.080000006</v>
      </c>
      <c r="O315" s="31">
        <f t="shared" si="50"/>
        <v>0</v>
      </c>
      <c r="P315" s="31">
        <f t="shared" si="50"/>
        <v>0</v>
      </c>
      <c r="Q315" s="31">
        <f t="shared" si="50"/>
        <v>805.81</v>
      </c>
      <c r="R315" s="31">
        <f t="shared" si="50"/>
        <v>2755458.15</v>
      </c>
      <c r="S315" s="31">
        <f t="shared" si="50"/>
        <v>0</v>
      </c>
      <c r="T315" s="31">
        <f t="shared" si="50"/>
        <v>0</v>
      </c>
      <c r="U315" s="31">
        <f t="shared" si="50"/>
        <v>0</v>
      </c>
      <c r="V315" s="31">
        <f t="shared" si="50"/>
        <v>0</v>
      </c>
      <c r="W315" s="31">
        <f t="shared" si="50"/>
        <v>0</v>
      </c>
      <c r="X315" s="31">
        <f t="shared" si="50"/>
        <v>0</v>
      </c>
      <c r="Y315" s="31">
        <f t="shared" si="50"/>
        <v>0</v>
      </c>
      <c r="Z315" s="31">
        <f t="shared" si="50"/>
        <v>0</v>
      </c>
      <c r="AA315" s="31">
        <f t="shared" si="50"/>
        <v>0</v>
      </c>
      <c r="AB315" s="31">
        <f t="shared" si="50"/>
        <v>0</v>
      </c>
      <c r="AC315" s="31">
        <f t="shared" si="50"/>
        <v>523020.99000000005</v>
      </c>
      <c r="AD315" s="31">
        <f t="shared" si="50"/>
        <v>847602.26</v>
      </c>
      <c r="AE315" s="31">
        <f t="shared" si="50"/>
        <v>360000</v>
      </c>
      <c r="AF315" s="221" t="s">
        <v>764</v>
      </c>
      <c r="AG315" s="221" t="s">
        <v>764</v>
      </c>
      <c r="AH315" s="222" t="s">
        <v>764</v>
      </c>
      <c r="AT315" s="20" t="e">
        <f t="shared" si="49"/>
        <v>#N/A</v>
      </c>
      <c r="BZ315" s="71">
        <v>50473058.759999998</v>
      </c>
      <c r="CB315" s="71">
        <f>BZ315-D315</f>
        <v>4785436.4399999976</v>
      </c>
      <c r="CD315" s="20" t="e">
        <f t="shared" si="47"/>
        <v>#N/A</v>
      </c>
    </row>
    <row r="316" spans="1:82" ht="61.5" x14ac:dyDescent="0.85">
      <c r="A316" s="20">
        <v>1</v>
      </c>
      <c r="B316" s="66">
        <f>SUBTOTAL(103,$A$22:A316)</f>
        <v>281</v>
      </c>
      <c r="C316" s="24" t="s">
        <v>695</v>
      </c>
      <c r="D316" s="31">
        <f t="shared" ref="D316:D330" si="51">E316+F316+G316+H316+I316+J316+L316+N316+P316+R316+T316+U316+V316+W316+X316+Y316+Z316+AA316+AB316+AC316+AD316+AE316</f>
        <v>4654757.55</v>
      </c>
      <c r="E316" s="38">
        <v>0</v>
      </c>
      <c r="F316" s="38">
        <v>0</v>
      </c>
      <c r="G316" s="31">
        <v>0</v>
      </c>
      <c r="H316" s="38">
        <v>0</v>
      </c>
      <c r="I316" s="38">
        <v>0</v>
      </c>
      <c r="J316" s="38">
        <v>0</v>
      </c>
      <c r="K316" s="33">
        <v>0</v>
      </c>
      <c r="L316" s="31">
        <v>0</v>
      </c>
      <c r="M316" s="31">
        <v>870</v>
      </c>
      <c r="N316" s="31">
        <v>4491904.8</v>
      </c>
      <c r="O316" s="38">
        <v>0</v>
      </c>
      <c r="P316" s="38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f>ROUND(N316*1.5%,2)</f>
        <v>67378.570000000007</v>
      </c>
      <c r="AD316" s="31">
        <v>95474.18</v>
      </c>
      <c r="AE316" s="31">
        <v>0</v>
      </c>
      <c r="AF316" s="219">
        <v>2020</v>
      </c>
      <c r="AG316" s="219">
        <v>2020</v>
      </c>
      <c r="AH316" s="220">
        <v>2020</v>
      </c>
      <c r="AT316" s="20" t="e">
        <f t="shared" si="49"/>
        <v>#N/A</v>
      </c>
      <c r="BZ316" s="71"/>
      <c r="CD316" s="20" t="e">
        <f t="shared" si="47"/>
        <v>#N/A</v>
      </c>
    </row>
    <row r="317" spans="1:82" ht="61.5" x14ac:dyDescent="0.85">
      <c r="A317" s="20">
        <v>1</v>
      </c>
      <c r="B317" s="66">
        <f>SUBTOTAL(103,$A$22:A317)</f>
        <v>282</v>
      </c>
      <c r="C317" s="24" t="s">
        <v>679</v>
      </c>
      <c r="D317" s="31">
        <f t="shared" si="51"/>
        <v>7001028.8100000005</v>
      </c>
      <c r="E317" s="38">
        <v>0</v>
      </c>
      <c r="F317" s="38">
        <v>0</v>
      </c>
      <c r="G317" s="31">
        <v>0</v>
      </c>
      <c r="H317" s="38">
        <v>0</v>
      </c>
      <c r="I317" s="38">
        <v>0</v>
      </c>
      <c r="J317" s="38">
        <v>0</v>
      </c>
      <c r="K317" s="33">
        <v>0</v>
      </c>
      <c r="L317" s="31">
        <v>0</v>
      </c>
      <c r="M317" s="31">
        <v>1257</v>
      </c>
      <c r="N317" s="31">
        <v>6766388.54</v>
      </c>
      <c r="O317" s="38">
        <v>0</v>
      </c>
      <c r="P317" s="38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f>ROUND(N317*1.5%,2)</f>
        <v>101495.83</v>
      </c>
      <c r="AD317" s="31">
        <v>133144.44</v>
      </c>
      <c r="AE317" s="31">
        <v>0</v>
      </c>
      <c r="AF317" s="219">
        <v>2020</v>
      </c>
      <c r="AG317" s="219">
        <v>2020</v>
      </c>
      <c r="AH317" s="220">
        <v>2020</v>
      </c>
      <c r="AT317" s="20" t="e">
        <f t="shared" si="49"/>
        <v>#N/A</v>
      </c>
      <c r="BZ317" s="71"/>
      <c r="CD317" s="20" t="e">
        <f t="shared" si="47"/>
        <v>#N/A</v>
      </c>
    </row>
    <row r="318" spans="1:82" ht="61.5" x14ac:dyDescent="0.85">
      <c r="A318" s="20">
        <v>1</v>
      </c>
      <c r="B318" s="66">
        <f>SUBTOTAL(103,$A$22:A318)</f>
        <v>283</v>
      </c>
      <c r="C318" s="24" t="s">
        <v>674</v>
      </c>
      <c r="D318" s="31">
        <f t="shared" si="51"/>
        <v>1863696.8900000001</v>
      </c>
      <c r="E318" s="38">
        <v>0</v>
      </c>
      <c r="F318" s="38">
        <v>0</v>
      </c>
      <c r="G318" s="31">
        <v>0</v>
      </c>
      <c r="H318" s="38">
        <v>0</v>
      </c>
      <c r="I318" s="38">
        <v>0</v>
      </c>
      <c r="J318" s="38">
        <v>0</v>
      </c>
      <c r="K318" s="33">
        <v>0</v>
      </c>
      <c r="L318" s="31">
        <v>0</v>
      </c>
      <c r="M318" s="31">
        <v>900</v>
      </c>
      <c r="N318" s="206">
        <f>1737919.55+11552.34</f>
        <v>1749471.8900000001</v>
      </c>
      <c r="O318" s="38">
        <v>0</v>
      </c>
      <c r="P318" s="38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f>ROUND(N318*1.5%,2)</f>
        <v>26242.080000000002</v>
      </c>
      <c r="AD318" s="327">
        <v>87982.92</v>
      </c>
      <c r="AE318" s="31">
        <v>0</v>
      </c>
      <c r="AF318" s="219">
        <v>2020</v>
      </c>
      <c r="AG318" s="219">
        <v>2020</v>
      </c>
      <c r="AH318" s="220">
        <v>2020</v>
      </c>
      <c r="AT318" s="20" t="e">
        <f t="shared" si="49"/>
        <v>#N/A</v>
      </c>
      <c r="BZ318" s="71"/>
      <c r="CD318" s="20">
        <f t="shared" si="47"/>
        <v>900</v>
      </c>
    </row>
    <row r="319" spans="1:82" ht="61.5" x14ac:dyDescent="0.85">
      <c r="A319" s="20">
        <v>1</v>
      </c>
      <c r="B319" s="66">
        <f>SUBTOTAL(103,$A$22:A319)</f>
        <v>284</v>
      </c>
      <c r="C319" s="24" t="s">
        <v>675</v>
      </c>
      <c r="D319" s="31">
        <f t="shared" si="51"/>
        <v>1863696.8900000001</v>
      </c>
      <c r="E319" s="38">
        <v>0</v>
      </c>
      <c r="F319" s="38">
        <v>0</v>
      </c>
      <c r="G319" s="31">
        <v>0</v>
      </c>
      <c r="H319" s="38">
        <v>0</v>
      </c>
      <c r="I319" s="38">
        <v>0</v>
      </c>
      <c r="J319" s="38">
        <v>0</v>
      </c>
      <c r="K319" s="33">
        <v>0</v>
      </c>
      <c r="L319" s="31">
        <v>0</v>
      </c>
      <c r="M319" s="31">
        <v>900</v>
      </c>
      <c r="N319" s="206">
        <f>1737919.55+11552.34</f>
        <v>1749471.8900000001</v>
      </c>
      <c r="O319" s="38">
        <v>0</v>
      </c>
      <c r="P319" s="38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f>ROUND(N319*1.5%,2)</f>
        <v>26242.080000000002</v>
      </c>
      <c r="AD319" s="327">
        <v>87982.92</v>
      </c>
      <c r="AE319" s="31">
        <v>0</v>
      </c>
      <c r="AF319" s="219">
        <v>2020</v>
      </c>
      <c r="AG319" s="219">
        <v>2020</v>
      </c>
      <c r="AH319" s="220">
        <v>2020</v>
      </c>
      <c r="AT319" s="20" t="e">
        <f t="shared" si="49"/>
        <v>#N/A</v>
      </c>
      <c r="BZ319" s="71"/>
      <c r="CD319" s="20">
        <f t="shared" si="47"/>
        <v>900</v>
      </c>
    </row>
    <row r="320" spans="1:82" ht="61.5" x14ac:dyDescent="0.85">
      <c r="A320" s="20">
        <v>1</v>
      </c>
      <c r="B320" s="66">
        <f>SUBTOTAL(103,$A$22:A320)</f>
        <v>285</v>
      </c>
      <c r="C320" s="24" t="s">
        <v>676</v>
      </c>
      <c r="D320" s="31">
        <f t="shared" si="51"/>
        <v>1863696.87</v>
      </c>
      <c r="E320" s="38">
        <v>0</v>
      </c>
      <c r="F320" s="38">
        <v>0</v>
      </c>
      <c r="G320" s="31">
        <v>0</v>
      </c>
      <c r="H320" s="38">
        <v>0</v>
      </c>
      <c r="I320" s="38">
        <v>0</v>
      </c>
      <c r="J320" s="38">
        <v>0</v>
      </c>
      <c r="K320" s="33">
        <v>0</v>
      </c>
      <c r="L320" s="31">
        <v>0</v>
      </c>
      <c r="M320" s="31">
        <v>900</v>
      </c>
      <c r="N320" s="206">
        <f>1737919.55+11552.32</f>
        <v>1749471.87</v>
      </c>
      <c r="O320" s="38">
        <v>0</v>
      </c>
      <c r="P320" s="38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f>ROUND(N320*1.5%,2)</f>
        <v>26242.080000000002</v>
      </c>
      <c r="AD320" s="327">
        <v>87982.92</v>
      </c>
      <c r="AE320" s="31">
        <v>0</v>
      </c>
      <c r="AF320" s="219">
        <v>2020</v>
      </c>
      <c r="AG320" s="219">
        <v>2020</v>
      </c>
      <c r="AH320" s="220">
        <v>2020</v>
      </c>
      <c r="AT320" s="20" t="e">
        <f t="shared" si="49"/>
        <v>#N/A</v>
      </c>
      <c r="BZ320" s="71"/>
      <c r="CD320" s="20">
        <f t="shared" si="47"/>
        <v>900</v>
      </c>
    </row>
    <row r="321" spans="1:82" ht="61.5" x14ac:dyDescent="0.85">
      <c r="A321" s="20">
        <v>1</v>
      </c>
      <c r="B321" s="66">
        <f>SUBTOTAL(103,$A$22:A321)</f>
        <v>286</v>
      </c>
      <c r="C321" s="24" t="s">
        <v>669</v>
      </c>
      <c r="D321" s="31">
        <f t="shared" si="51"/>
        <v>3346564.4</v>
      </c>
      <c r="E321" s="38">
        <v>0</v>
      </c>
      <c r="F321" s="38">
        <v>0</v>
      </c>
      <c r="G321" s="31">
        <v>0</v>
      </c>
      <c r="H321" s="38">
        <v>0</v>
      </c>
      <c r="I321" s="38">
        <v>0</v>
      </c>
      <c r="J321" s="38">
        <v>0</v>
      </c>
      <c r="K321" s="228">
        <v>2</v>
      </c>
      <c r="L321" s="204">
        <f>1635186.98*2</f>
        <v>3270373.96</v>
      </c>
      <c r="M321" s="31">
        <v>0</v>
      </c>
      <c r="N321" s="31">
        <v>0</v>
      </c>
      <c r="O321" s="38">
        <v>0</v>
      </c>
      <c r="P321" s="38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76190.44</v>
      </c>
      <c r="AE321" s="31">
        <v>0</v>
      </c>
      <c r="AF321" s="219">
        <v>2020</v>
      </c>
      <c r="AG321" s="219">
        <v>2020</v>
      </c>
      <c r="AH321" s="220" t="s">
        <v>271</v>
      </c>
      <c r="AT321" s="20" t="e">
        <f t="shared" si="49"/>
        <v>#N/A</v>
      </c>
      <c r="BZ321" s="71"/>
      <c r="CD321" s="20" t="e">
        <f t="shared" si="47"/>
        <v>#N/A</v>
      </c>
    </row>
    <row r="322" spans="1:82" ht="61.5" x14ac:dyDescent="0.85">
      <c r="A322" s="20">
        <v>1</v>
      </c>
      <c r="B322" s="66">
        <f>SUBTOTAL(103,$A$22:A322)</f>
        <v>287</v>
      </c>
      <c r="C322" s="24" t="s">
        <v>682</v>
      </c>
      <c r="D322" s="31">
        <f t="shared" si="51"/>
        <v>101554.75</v>
      </c>
      <c r="E322" s="38">
        <v>0</v>
      </c>
      <c r="F322" s="38">
        <v>0</v>
      </c>
      <c r="G322" s="31">
        <v>0</v>
      </c>
      <c r="H322" s="38">
        <v>0</v>
      </c>
      <c r="I322" s="38">
        <v>0</v>
      </c>
      <c r="J322" s="38">
        <v>0</v>
      </c>
      <c r="K322" s="33">
        <v>0</v>
      </c>
      <c r="L322" s="31">
        <v>0</v>
      </c>
      <c r="M322" s="31">
        <v>0</v>
      </c>
      <c r="N322" s="31">
        <v>0</v>
      </c>
      <c r="O322" s="38">
        <v>0</v>
      </c>
      <c r="P322" s="38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f>ROUND(N322*1.5%,2)</f>
        <v>0</v>
      </c>
      <c r="AD322" s="31">
        <v>101554.75</v>
      </c>
      <c r="AE322" s="31">
        <v>0</v>
      </c>
      <c r="AF322" s="219">
        <v>2020</v>
      </c>
      <c r="AG322" s="220" t="s">
        <v>271</v>
      </c>
      <c r="AH322" s="220" t="s">
        <v>271</v>
      </c>
      <c r="AT322" s="20" t="e">
        <f t="shared" si="49"/>
        <v>#N/A</v>
      </c>
      <c r="BZ322" s="71"/>
      <c r="CD322" s="20" t="e">
        <f t="shared" si="47"/>
        <v>#N/A</v>
      </c>
    </row>
    <row r="323" spans="1:82" ht="61.5" x14ac:dyDescent="0.85">
      <c r="A323" s="20">
        <v>1</v>
      </c>
      <c r="B323" s="66">
        <f>SUBTOTAL(103,$A$22:A323)</f>
        <v>288</v>
      </c>
      <c r="C323" s="24" t="s">
        <v>670</v>
      </c>
      <c r="D323" s="31">
        <f t="shared" si="51"/>
        <v>5509944.8600000003</v>
      </c>
      <c r="E323" s="38">
        <v>0</v>
      </c>
      <c r="F323" s="38">
        <v>0</v>
      </c>
      <c r="G323" s="31">
        <v>0</v>
      </c>
      <c r="H323" s="38">
        <v>0</v>
      </c>
      <c r="I323" s="38">
        <v>0</v>
      </c>
      <c r="J323" s="38">
        <v>0</v>
      </c>
      <c r="K323" s="33">
        <v>0</v>
      </c>
      <c r="L323" s="31">
        <v>0</v>
      </c>
      <c r="M323" s="31">
        <v>991.5</v>
      </c>
      <c r="N323" s="31">
        <v>5325966</v>
      </c>
      <c r="O323" s="38">
        <v>0</v>
      </c>
      <c r="P323" s="38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f>ROUND(N323*1.5%,2)</f>
        <v>79889.490000000005</v>
      </c>
      <c r="AD323" s="31">
        <v>104089.37</v>
      </c>
      <c r="AE323" s="31">
        <v>0</v>
      </c>
      <c r="AF323" s="219">
        <v>2020</v>
      </c>
      <c r="AG323" s="219">
        <v>2020</v>
      </c>
      <c r="AH323" s="220">
        <v>2020</v>
      </c>
      <c r="AT323" s="20" t="e">
        <f t="shared" si="49"/>
        <v>#N/A</v>
      </c>
      <c r="BZ323" s="71"/>
      <c r="CD323" s="20" t="e">
        <f t="shared" si="47"/>
        <v>#N/A</v>
      </c>
    </row>
    <row r="324" spans="1:82" ht="61.5" x14ac:dyDescent="0.85">
      <c r="A324" s="20">
        <v>1</v>
      </c>
      <c r="B324" s="66">
        <f>SUBTOTAL(103,$A$22:A324)</f>
        <v>289</v>
      </c>
      <c r="C324" s="24" t="s">
        <v>1216</v>
      </c>
      <c r="D324" s="31">
        <f t="shared" si="51"/>
        <v>5087184.08</v>
      </c>
      <c r="E324" s="38">
        <v>0</v>
      </c>
      <c r="F324" s="38">
        <v>0</v>
      </c>
      <c r="G324" s="31">
        <v>0</v>
      </c>
      <c r="H324" s="38">
        <v>0</v>
      </c>
      <c r="I324" s="38">
        <v>0</v>
      </c>
      <c r="J324" s="38">
        <v>0</v>
      </c>
      <c r="K324" s="33">
        <v>0</v>
      </c>
      <c r="L324" s="31">
        <v>0</v>
      </c>
      <c r="M324" s="31">
        <v>953.5</v>
      </c>
      <c r="N324" s="215">
        <v>4893777.42</v>
      </c>
      <c r="O324" s="38">
        <v>0</v>
      </c>
      <c r="P324" s="38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f>ROUND(N324*1.5%,2)</f>
        <v>73406.66</v>
      </c>
      <c r="AD324" s="31">
        <v>0</v>
      </c>
      <c r="AE324" s="31">
        <v>120000</v>
      </c>
      <c r="AF324" s="219" t="s">
        <v>271</v>
      </c>
      <c r="AG324" s="219">
        <v>2020</v>
      </c>
      <c r="AH324" s="220">
        <v>2020</v>
      </c>
      <c r="BZ324" s="71"/>
      <c r="CD324" s="20">
        <f t="shared" si="47"/>
        <v>953.5</v>
      </c>
    </row>
    <row r="325" spans="1:82" ht="61.5" x14ac:dyDescent="0.85">
      <c r="A325" s="20">
        <v>1</v>
      </c>
      <c r="B325" s="66">
        <f>SUBTOTAL(103,$A$22:A325)</f>
        <v>290</v>
      </c>
      <c r="C325" s="24" t="s">
        <v>1221</v>
      </c>
      <c r="D325" s="31">
        <f t="shared" si="51"/>
        <v>5425723.8799999999</v>
      </c>
      <c r="E325" s="38">
        <v>0</v>
      </c>
      <c r="F325" s="38">
        <v>0</v>
      </c>
      <c r="G325" s="31">
        <v>0</v>
      </c>
      <c r="H325" s="38">
        <v>0</v>
      </c>
      <c r="I325" s="38">
        <v>0</v>
      </c>
      <c r="J325" s="38">
        <v>0</v>
      </c>
      <c r="K325" s="330">
        <v>4</v>
      </c>
      <c r="L325" s="273">
        <v>5425723.8799999999</v>
      </c>
      <c r="M325" s="31">
        <v>0</v>
      </c>
      <c r="N325" s="31">
        <v>0</v>
      </c>
      <c r="O325" s="38">
        <v>0</v>
      </c>
      <c r="P325" s="38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219" t="s">
        <v>271</v>
      </c>
      <c r="AG325" s="219">
        <v>2020</v>
      </c>
      <c r="AH325" s="220" t="s">
        <v>271</v>
      </c>
      <c r="BZ325" s="71"/>
      <c r="CD325" s="20" t="e">
        <f t="shared" si="47"/>
        <v>#N/A</v>
      </c>
    </row>
    <row r="326" spans="1:82" ht="61.5" x14ac:dyDescent="0.85">
      <c r="A326" s="20">
        <v>1</v>
      </c>
      <c r="B326" s="66">
        <f>SUBTOTAL(103,$A$22:A326)</f>
        <v>291</v>
      </c>
      <c r="C326" s="24" t="s">
        <v>1222</v>
      </c>
      <c r="D326" s="31">
        <f t="shared" si="51"/>
        <v>964103.66999999993</v>
      </c>
      <c r="E326" s="38">
        <v>0</v>
      </c>
      <c r="F326" s="38">
        <v>0</v>
      </c>
      <c r="G326" s="31">
        <v>0</v>
      </c>
      <c r="H326" s="38">
        <v>0</v>
      </c>
      <c r="I326" s="38">
        <v>0</v>
      </c>
      <c r="J326" s="38">
        <v>0</v>
      </c>
      <c r="K326" s="33">
        <v>0</v>
      </c>
      <c r="L326" s="31">
        <v>0</v>
      </c>
      <c r="M326" s="31">
        <v>0</v>
      </c>
      <c r="N326" s="31">
        <v>0</v>
      </c>
      <c r="O326" s="38">
        <v>0</v>
      </c>
      <c r="P326" s="38">
        <v>0</v>
      </c>
      <c r="Q326" s="31">
        <v>415.14</v>
      </c>
      <c r="R326" s="31">
        <v>949855.83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f>ROUND(R326*1.5%,2)</f>
        <v>14247.84</v>
      </c>
      <c r="AD326" s="31">
        <v>0</v>
      </c>
      <c r="AE326" s="31">
        <v>0</v>
      </c>
      <c r="AF326" s="219" t="s">
        <v>271</v>
      </c>
      <c r="AG326" s="219">
        <v>2020</v>
      </c>
      <c r="AH326" s="220">
        <v>2020</v>
      </c>
      <c r="BZ326" s="71"/>
      <c r="CD326" s="20" t="e">
        <f t="shared" si="47"/>
        <v>#N/A</v>
      </c>
    </row>
    <row r="327" spans="1:82" ht="61.5" x14ac:dyDescent="0.85">
      <c r="A327" s="20">
        <v>1</v>
      </c>
      <c r="B327" s="66">
        <f>SUBTOTAL(103,$A$22:A327)</f>
        <v>292</v>
      </c>
      <c r="C327" s="24" t="s">
        <v>1223</v>
      </c>
      <c r="D327" s="31">
        <f t="shared" si="51"/>
        <v>1832686.35</v>
      </c>
      <c r="E327" s="38">
        <v>0</v>
      </c>
      <c r="F327" s="38">
        <v>0</v>
      </c>
      <c r="G327" s="31">
        <v>0</v>
      </c>
      <c r="H327" s="38">
        <v>0</v>
      </c>
      <c r="I327" s="38">
        <v>0</v>
      </c>
      <c r="J327" s="38">
        <v>0</v>
      </c>
      <c r="K327" s="33">
        <v>0</v>
      </c>
      <c r="L327" s="31">
        <v>0</v>
      </c>
      <c r="M327" s="31">
        <v>0</v>
      </c>
      <c r="N327" s="31">
        <v>0</v>
      </c>
      <c r="O327" s="38">
        <v>0</v>
      </c>
      <c r="P327" s="38">
        <v>0</v>
      </c>
      <c r="Q327" s="31">
        <v>390.67</v>
      </c>
      <c r="R327" s="31">
        <v>1805602.32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f>ROUND(R327*1.5%,2)</f>
        <v>27084.03</v>
      </c>
      <c r="AD327" s="31">
        <v>0</v>
      </c>
      <c r="AE327" s="31">
        <v>0</v>
      </c>
      <c r="AF327" s="219" t="s">
        <v>271</v>
      </c>
      <c r="AG327" s="219">
        <v>2020</v>
      </c>
      <c r="AH327" s="220">
        <v>2020</v>
      </c>
      <c r="BZ327" s="71"/>
      <c r="CD327" s="20" t="e">
        <f t="shared" si="47"/>
        <v>#N/A</v>
      </c>
    </row>
    <row r="328" spans="1:82" ht="61.5" x14ac:dyDescent="0.85">
      <c r="A328" s="20">
        <v>1</v>
      </c>
      <c r="B328" s="66">
        <f>SUBTOTAL(103,$A$22:A328)</f>
        <v>293</v>
      </c>
      <c r="C328" s="24" t="s">
        <v>1224</v>
      </c>
      <c r="D328" s="31">
        <f t="shared" si="51"/>
        <v>3195950.2899999996</v>
      </c>
      <c r="E328" s="38">
        <v>0</v>
      </c>
      <c r="F328" s="38">
        <v>0</v>
      </c>
      <c r="G328" s="31">
        <v>0</v>
      </c>
      <c r="H328" s="38">
        <v>0</v>
      </c>
      <c r="I328" s="38">
        <v>0</v>
      </c>
      <c r="J328" s="38">
        <v>0</v>
      </c>
      <c r="K328" s="33">
        <v>0</v>
      </c>
      <c r="L328" s="31">
        <v>0</v>
      </c>
      <c r="M328" s="31">
        <v>738.92</v>
      </c>
      <c r="N328" s="31">
        <f>3507338.79-430737.83</f>
        <v>3076600.96</v>
      </c>
      <c r="O328" s="38">
        <v>0</v>
      </c>
      <c r="P328" s="38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f>ROUND(N328*1.5%,2)</f>
        <v>46149.01</v>
      </c>
      <c r="AD328" s="162">
        <v>73200.320000000007</v>
      </c>
      <c r="AE328" s="31">
        <v>0</v>
      </c>
      <c r="AF328" s="219">
        <v>2020</v>
      </c>
      <c r="AG328" s="219">
        <v>2020</v>
      </c>
      <c r="AH328" s="220">
        <v>2020</v>
      </c>
      <c r="BZ328" s="71"/>
      <c r="CD328" s="20">
        <f t="shared" si="47"/>
        <v>738.92</v>
      </c>
    </row>
    <row r="329" spans="1:82" ht="61.5" x14ac:dyDescent="0.85">
      <c r="A329" s="20">
        <v>1</v>
      </c>
      <c r="B329" s="66">
        <f>SUBTOTAL(103,$A$22:A329)</f>
        <v>294</v>
      </c>
      <c r="C329" s="24" t="s">
        <v>1560</v>
      </c>
      <c r="D329" s="31">
        <f t="shared" si="51"/>
        <v>1322373.3</v>
      </c>
      <c r="E329" s="38">
        <v>0</v>
      </c>
      <c r="F329" s="38">
        <v>0</v>
      </c>
      <c r="G329" s="31">
        <v>0</v>
      </c>
      <c r="H329" s="38">
        <v>0</v>
      </c>
      <c r="I329" s="38">
        <v>0</v>
      </c>
      <c r="J329" s="38">
        <v>0</v>
      </c>
      <c r="K329" s="33">
        <v>0</v>
      </c>
      <c r="L329" s="31">
        <v>0</v>
      </c>
      <c r="M329" s="278">
        <v>275.39999999999998</v>
      </c>
      <c r="N329" s="273">
        <v>1190409.68</v>
      </c>
      <c r="O329" s="38">
        <v>0</v>
      </c>
      <c r="P329" s="38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11963.62</v>
      </c>
      <c r="AD329" s="31">
        <v>0</v>
      </c>
      <c r="AE329" s="31">
        <v>120000</v>
      </c>
      <c r="AF329" s="219" t="s">
        <v>271</v>
      </c>
      <c r="AG329" s="219">
        <v>2020</v>
      </c>
      <c r="AH329" s="220">
        <v>2020</v>
      </c>
      <c r="BZ329" s="71"/>
      <c r="CD329" s="20">
        <f t="shared" si="47"/>
        <v>275.39999999999998</v>
      </c>
    </row>
    <row r="330" spans="1:82" ht="61.5" x14ac:dyDescent="0.85">
      <c r="A330" s="20">
        <v>1</v>
      </c>
      <c r="B330" s="66">
        <f>SUBTOTAL(103,$A$22:A330)</f>
        <v>295</v>
      </c>
      <c r="C330" s="24" t="s">
        <v>1570</v>
      </c>
      <c r="D330" s="31">
        <f t="shared" si="51"/>
        <v>1654659.73</v>
      </c>
      <c r="E330" s="38">
        <v>0</v>
      </c>
      <c r="F330" s="38">
        <v>0</v>
      </c>
      <c r="G330" s="31">
        <v>0</v>
      </c>
      <c r="H330" s="38">
        <v>0</v>
      </c>
      <c r="I330" s="38">
        <v>0</v>
      </c>
      <c r="J330" s="38">
        <v>0</v>
      </c>
      <c r="K330" s="33">
        <v>0</v>
      </c>
      <c r="L330" s="31">
        <v>0</v>
      </c>
      <c r="M330" s="278">
        <v>344.5</v>
      </c>
      <c r="N330" s="273">
        <v>1511980.03</v>
      </c>
      <c r="O330" s="38">
        <v>0</v>
      </c>
      <c r="P330" s="38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f>ROUND(N330*1.5%,2)</f>
        <v>22679.7</v>
      </c>
      <c r="AD330" s="31">
        <v>0</v>
      </c>
      <c r="AE330" s="31">
        <v>120000</v>
      </c>
      <c r="AF330" s="219" t="s">
        <v>271</v>
      </c>
      <c r="AG330" s="219">
        <v>2020</v>
      </c>
      <c r="AH330" s="220">
        <v>2020</v>
      </c>
      <c r="BZ330" s="71"/>
      <c r="CD330" s="20">
        <f t="shared" si="47"/>
        <v>344.5</v>
      </c>
    </row>
    <row r="331" spans="1:82" ht="61.5" x14ac:dyDescent="0.85">
      <c r="B331" s="24" t="s">
        <v>837</v>
      </c>
      <c r="C331" s="114"/>
      <c r="D331" s="31">
        <f t="shared" ref="D331:AE331" si="52">SUM(D332:D347)</f>
        <v>34780549.410000004</v>
      </c>
      <c r="E331" s="31">
        <f t="shared" si="52"/>
        <v>315048.13</v>
      </c>
      <c r="F331" s="31">
        <f t="shared" si="52"/>
        <v>0</v>
      </c>
      <c r="G331" s="31">
        <f t="shared" si="52"/>
        <v>0</v>
      </c>
      <c r="H331" s="31">
        <f t="shared" si="52"/>
        <v>550227.06000000006</v>
      </c>
      <c r="I331" s="31">
        <f t="shared" si="52"/>
        <v>2416780.3199999998</v>
      </c>
      <c r="J331" s="31">
        <f t="shared" si="52"/>
        <v>0</v>
      </c>
      <c r="K331" s="33">
        <f t="shared" si="52"/>
        <v>0</v>
      </c>
      <c r="L331" s="31">
        <f t="shared" si="52"/>
        <v>0</v>
      </c>
      <c r="M331" s="31">
        <f t="shared" si="52"/>
        <v>4303.3499999999995</v>
      </c>
      <c r="N331" s="31">
        <f t="shared" si="52"/>
        <v>18800798.84</v>
      </c>
      <c r="O331" s="31">
        <f t="shared" si="52"/>
        <v>0</v>
      </c>
      <c r="P331" s="31">
        <f t="shared" si="52"/>
        <v>0</v>
      </c>
      <c r="Q331" s="31">
        <f t="shared" si="52"/>
        <v>2260.1999999999998</v>
      </c>
      <c r="R331" s="31">
        <f t="shared" si="52"/>
        <v>9817149.879999999</v>
      </c>
      <c r="S331" s="31">
        <f t="shared" si="52"/>
        <v>84.3</v>
      </c>
      <c r="T331" s="31">
        <f t="shared" si="52"/>
        <v>1784615.64</v>
      </c>
      <c r="U331" s="31">
        <f t="shared" si="52"/>
        <v>0</v>
      </c>
      <c r="V331" s="31">
        <f t="shared" si="52"/>
        <v>0</v>
      </c>
      <c r="W331" s="31">
        <f t="shared" si="52"/>
        <v>0</v>
      </c>
      <c r="X331" s="31">
        <f t="shared" si="52"/>
        <v>0</v>
      </c>
      <c r="Y331" s="31">
        <f t="shared" si="52"/>
        <v>0</v>
      </c>
      <c r="Z331" s="31">
        <f t="shared" si="52"/>
        <v>0</v>
      </c>
      <c r="AA331" s="31">
        <f t="shared" si="52"/>
        <v>0</v>
      </c>
      <c r="AB331" s="31">
        <f t="shared" si="52"/>
        <v>0</v>
      </c>
      <c r="AC331" s="31">
        <f t="shared" si="52"/>
        <v>505269.27999999997</v>
      </c>
      <c r="AD331" s="31">
        <f t="shared" si="52"/>
        <v>470660.26</v>
      </c>
      <c r="AE331" s="31">
        <f t="shared" si="52"/>
        <v>120000</v>
      </c>
      <c r="AF331" s="221" t="s">
        <v>764</v>
      </c>
      <c r="AG331" s="221" t="s">
        <v>764</v>
      </c>
      <c r="AH331" s="222" t="s">
        <v>764</v>
      </c>
      <c r="AT331" s="20" t="e">
        <f t="shared" ref="AT331:AT337" si="53">VLOOKUP(C331,AW:AX,2,FALSE)</f>
        <v>#N/A</v>
      </c>
      <c r="BZ331" s="71">
        <v>38859598.050000004</v>
      </c>
      <c r="CB331" s="71">
        <f>BZ331-D331</f>
        <v>4079048.6400000006</v>
      </c>
      <c r="CD331" s="20" t="e">
        <f t="shared" si="47"/>
        <v>#N/A</v>
      </c>
    </row>
    <row r="332" spans="1:82" ht="61.5" x14ac:dyDescent="0.85">
      <c r="A332" s="20">
        <v>1</v>
      </c>
      <c r="B332" s="66">
        <f>SUBTOTAL(103,$A$22:A332)</f>
        <v>296</v>
      </c>
      <c r="C332" s="24" t="s">
        <v>233</v>
      </c>
      <c r="D332" s="31">
        <f t="shared" ref="D332:D347" si="54">E332+F332+G332+H332+I332+J332+L332+N332+P332+R332+T332+U332+V332+W332+X332+Y332+Z332+AA332+AB332+AC332+AD332+AE332</f>
        <v>1565544.36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3">
        <v>0</v>
      </c>
      <c r="L332" s="31">
        <v>0</v>
      </c>
      <c r="M332" s="31">
        <v>318.7</v>
      </c>
      <c r="N332" s="31">
        <v>1483123.15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f>ROUND(N332*1.5%,2)</f>
        <v>22246.85</v>
      </c>
      <c r="AD332" s="31">
        <v>60174.36</v>
      </c>
      <c r="AE332" s="31">
        <v>0</v>
      </c>
      <c r="AF332" s="219">
        <v>2020</v>
      </c>
      <c r="AG332" s="219">
        <v>2020</v>
      </c>
      <c r="AH332" s="220">
        <v>2020</v>
      </c>
      <c r="AT332" s="20" t="e">
        <f t="shared" si="53"/>
        <v>#N/A</v>
      </c>
      <c r="BZ332" s="71"/>
      <c r="CD332" s="20" t="e">
        <f t="shared" si="47"/>
        <v>#N/A</v>
      </c>
    </row>
    <row r="333" spans="1:82" ht="61.5" x14ac:dyDescent="0.85">
      <c r="A333" s="20">
        <v>1</v>
      </c>
      <c r="B333" s="66">
        <f>SUBTOTAL(103,$A$22:A333)</f>
        <v>297</v>
      </c>
      <c r="C333" s="24" t="s">
        <v>235</v>
      </c>
      <c r="D333" s="31">
        <f t="shared" si="54"/>
        <v>2567368.66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3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449.8</v>
      </c>
      <c r="R333" s="31">
        <f>1694742.15+749592.83</f>
        <v>2444334.98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f>ROUND(R333*1.5%,2)</f>
        <v>36665.019999999997</v>
      </c>
      <c r="AD333" s="31">
        <v>86368.66</v>
      </c>
      <c r="AE333" s="31">
        <v>0</v>
      </c>
      <c r="AF333" s="219">
        <v>2020</v>
      </c>
      <c r="AG333" s="219">
        <v>2020</v>
      </c>
      <c r="AH333" s="220">
        <v>2020</v>
      </c>
      <c r="AT333" s="20" t="e">
        <f t="shared" si="53"/>
        <v>#N/A</v>
      </c>
      <c r="BZ333" s="71"/>
      <c r="CD333" s="20" t="e">
        <f t="shared" si="47"/>
        <v>#N/A</v>
      </c>
    </row>
    <row r="334" spans="1:82" ht="61.5" x14ac:dyDescent="0.85">
      <c r="A334" s="20">
        <v>1</v>
      </c>
      <c r="B334" s="66">
        <f>SUBTOTAL(103,$A$22:A334)</f>
        <v>298</v>
      </c>
      <c r="C334" s="24" t="s">
        <v>238</v>
      </c>
      <c r="D334" s="31">
        <f t="shared" si="54"/>
        <v>2325723.11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3">
        <v>0</v>
      </c>
      <c r="L334" s="31">
        <v>0</v>
      </c>
      <c r="M334" s="31">
        <v>464.3</v>
      </c>
      <c r="N334" s="31">
        <v>2214709.36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f>ROUND(N334*1.5%,2)</f>
        <v>33220.639999999999</v>
      </c>
      <c r="AD334" s="31">
        <v>77793.11</v>
      </c>
      <c r="AE334" s="31">
        <v>0</v>
      </c>
      <c r="AF334" s="219">
        <v>2020</v>
      </c>
      <c r="AG334" s="219">
        <v>2020</v>
      </c>
      <c r="AH334" s="220">
        <v>2020</v>
      </c>
      <c r="AT334" s="20" t="e">
        <f t="shared" si="53"/>
        <v>#N/A</v>
      </c>
      <c r="BZ334" s="71"/>
      <c r="CD334" s="20" t="e">
        <f t="shared" si="47"/>
        <v>#N/A</v>
      </c>
    </row>
    <row r="335" spans="1:82" ht="61.5" x14ac:dyDescent="0.85">
      <c r="A335" s="20">
        <v>1</v>
      </c>
      <c r="B335" s="66">
        <f>SUBTOTAL(103,$A$22:A335)</f>
        <v>299</v>
      </c>
      <c r="C335" s="24" t="s">
        <v>239</v>
      </c>
      <c r="D335" s="31">
        <f t="shared" si="54"/>
        <v>1317002.8400000001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3">
        <v>0</v>
      </c>
      <c r="L335" s="31">
        <v>0</v>
      </c>
      <c r="M335" s="31">
        <v>271</v>
      </c>
      <c r="N335" s="31">
        <v>1243448.28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f>ROUND(N335*1.5%,2)</f>
        <v>18651.72</v>
      </c>
      <c r="AD335" s="31">
        <v>54902.84</v>
      </c>
      <c r="AE335" s="31">
        <v>0</v>
      </c>
      <c r="AF335" s="219">
        <v>2020</v>
      </c>
      <c r="AG335" s="219">
        <v>2020</v>
      </c>
      <c r="AH335" s="220">
        <v>2020</v>
      </c>
      <c r="AT335" s="20" t="e">
        <f t="shared" si="53"/>
        <v>#N/A</v>
      </c>
      <c r="BZ335" s="71"/>
      <c r="CD335" s="20" t="e">
        <f t="shared" si="47"/>
        <v>#N/A</v>
      </c>
    </row>
    <row r="336" spans="1:82" ht="61.5" x14ac:dyDescent="0.85">
      <c r="A336" s="20">
        <v>1</v>
      </c>
      <c r="B336" s="66">
        <f>SUBTOTAL(103,$A$22:A336)</f>
        <v>300</v>
      </c>
      <c r="C336" s="24" t="s">
        <v>234</v>
      </c>
      <c r="D336" s="31">
        <f t="shared" si="54"/>
        <v>1004301.26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3">
        <v>0</v>
      </c>
      <c r="L336" s="31">
        <v>0</v>
      </c>
      <c r="M336" s="31">
        <v>209.18</v>
      </c>
      <c r="N336" s="31">
        <v>932825.62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f>ROUND(N336*1.5%,2)</f>
        <v>13992.38</v>
      </c>
      <c r="AD336" s="31">
        <v>57483.26</v>
      </c>
      <c r="AE336" s="31">
        <v>0</v>
      </c>
      <c r="AF336" s="219">
        <v>2020</v>
      </c>
      <c r="AG336" s="219">
        <v>2020</v>
      </c>
      <c r="AH336" s="220">
        <v>2020</v>
      </c>
      <c r="AT336" s="20" t="e">
        <f t="shared" si="53"/>
        <v>#N/A</v>
      </c>
      <c r="BZ336" s="71"/>
      <c r="CD336" s="20" t="e">
        <f t="shared" si="47"/>
        <v>#N/A</v>
      </c>
    </row>
    <row r="337" spans="1:82" ht="61.5" x14ac:dyDescent="0.85">
      <c r="A337" s="20">
        <v>1</v>
      </c>
      <c r="B337" s="66">
        <f>SUBTOTAL(103,$A$22:A337)</f>
        <v>301</v>
      </c>
      <c r="C337" s="24" t="s">
        <v>241</v>
      </c>
      <c r="D337" s="31">
        <f t="shared" si="54"/>
        <v>2694274.4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3">
        <v>0</v>
      </c>
      <c r="L337" s="31">
        <v>0</v>
      </c>
      <c r="M337" s="31">
        <v>539.4</v>
      </c>
      <c r="N337" s="31">
        <v>2562502.46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f>ROUND(N337*1.5%,2)</f>
        <v>38437.54</v>
      </c>
      <c r="AD337" s="31">
        <v>93334.399999999994</v>
      </c>
      <c r="AE337" s="31">
        <v>0</v>
      </c>
      <c r="AF337" s="219">
        <v>2020</v>
      </c>
      <c r="AG337" s="219">
        <v>2020</v>
      </c>
      <c r="AH337" s="220">
        <v>2020</v>
      </c>
      <c r="AT337" s="20" t="e">
        <f t="shared" si="53"/>
        <v>#N/A</v>
      </c>
      <c r="BZ337" s="71"/>
      <c r="CD337" s="20" t="e">
        <f t="shared" si="47"/>
        <v>#N/A</v>
      </c>
    </row>
    <row r="338" spans="1:82" ht="61.5" x14ac:dyDescent="0.85">
      <c r="A338" s="20">
        <v>1</v>
      </c>
      <c r="B338" s="66">
        <f>SUBTOTAL(103,$A$22:A338)</f>
        <v>302</v>
      </c>
      <c r="C338" s="24" t="s">
        <v>1227</v>
      </c>
      <c r="D338" s="31">
        <f t="shared" si="54"/>
        <v>2857556.7199999997</v>
      </c>
      <c r="E338" s="38">
        <v>0</v>
      </c>
      <c r="F338" s="38">
        <v>0</v>
      </c>
      <c r="G338" s="31">
        <v>0</v>
      </c>
      <c r="H338" s="38">
        <v>0</v>
      </c>
      <c r="I338" s="38">
        <v>0</v>
      </c>
      <c r="J338" s="38">
        <v>0</v>
      </c>
      <c r="K338" s="33">
        <v>0</v>
      </c>
      <c r="L338" s="31">
        <v>0</v>
      </c>
      <c r="M338" s="31">
        <v>0</v>
      </c>
      <c r="N338" s="31">
        <v>0</v>
      </c>
      <c r="O338" s="38">
        <v>0</v>
      </c>
      <c r="P338" s="38">
        <v>0</v>
      </c>
      <c r="Q338" s="31">
        <v>677.5</v>
      </c>
      <c r="R338" s="31">
        <v>2815326.82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f>ROUND(R338*1.5%,2)</f>
        <v>42229.9</v>
      </c>
      <c r="AD338" s="31">
        <v>0</v>
      </c>
      <c r="AE338" s="31">
        <v>0</v>
      </c>
      <c r="AF338" s="219" t="s">
        <v>271</v>
      </c>
      <c r="AG338" s="219">
        <v>2020</v>
      </c>
      <c r="AH338" s="220">
        <v>2020</v>
      </c>
      <c r="BZ338" s="71"/>
      <c r="CD338" s="20" t="e">
        <f t="shared" si="47"/>
        <v>#N/A</v>
      </c>
    </row>
    <row r="339" spans="1:82" ht="61.5" x14ac:dyDescent="0.85">
      <c r="A339" s="20">
        <v>1</v>
      </c>
      <c r="B339" s="66">
        <f>SUBTOTAL(103,$A$22:A339)</f>
        <v>303</v>
      </c>
      <c r="C339" s="24" t="s">
        <v>1228</v>
      </c>
      <c r="D339" s="31">
        <f t="shared" si="54"/>
        <v>3331286.34</v>
      </c>
      <c r="E339" s="38">
        <v>315048.13</v>
      </c>
      <c r="F339" s="38">
        <v>0</v>
      </c>
      <c r="G339" s="31">
        <v>0</v>
      </c>
      <c r="H339" s="38">
        <v>550227.06000000006</v>
      </c>
      <c r="I339" s="38">
        <v>2416780.3199999998</v>
      </c>
      <c r="J339" s="38">
        <v>0</v>
      </c>
      <c r="K339" s="33">
        <v>0</v>
      </c>
      <c r="L339" s="31">
        <v>0</v>
      </c>
      <c r="M339" s="31">
        <v>0</v>
      </c>
      <c r="N339" s="31">
        <v>0</v>
      </c>
      <c r="O339" s="38">
        <v>0</v>
      </c>
      <c r="P339" s="38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f>ROUND((E339+F339+G339+H339+I339+J339)*1.5%,2)</f>
        <v>49230.83</v>
      </c>
      <c r="AD339" s="31">
        <v>0</v>
      </c>
      <c r="AE339" s="31">
        <v>0</v>
      </c>
      <c r="AF339" s="219" t="s">
        <v>271</v>
      </c>
      <c r="AG339" s="219">
        <v>2020</v>
      </c>
      <c r="AH339" s="220">
        <v>2020</v>
      </c>
      <c r="BZ339" s="71"/>
      <c r="CD339" s="20" t="e">
        <f t="shared" si="47"/>
        <v>#N/A</v>
      </c>
    </row>
    <row r="340" spans="1:82" ht="61.5" x14ac:dyDescent="0.85">
      <c r="A340" s="20">
        <v>1</v>
      </c>
      <c r="B340" s="66">
        <f>SUBTOTAL(103,$A$22:A340)</f>
        <v>304</v>
      </c>
      <c r="C340" s="24" t="s">
        <v>1229</v>
      </c>
      <c r="D340" s="31">
        <f t="shared" si="54"/>
        <v>3210077.19</v>
      </c>
      <c r="E340" s="38">
        <v>0</v>
      </c>
      <c r="F340" s="38">
        <v>0</v>
      </c>
      <c r="G340" s="31">
        <v>0</v>
      </c>
      <c r="H340" s="38">
        <v>0</v>
      </c>
      <c r="I340" s="38">
        <v>0</v>
      </c>
      <c r="J340" s="38">
        <v>0</v>
      </c>
      <c r="K340" s="33">
        <v>0</v>
      </c>
      <c r="L340" s="31">
        <v>0</v>
      </c>
      <c r="M340" s="31">
        <v>0</v>
      </c>
      <c r="N340" s="31">
        <v>0</v>
      </c>
      <c r="O340" s="38">
        <v>0</v>
      </c>
      <c r="P340" s="38">
        <v>0</v>
      </c>
      <c r="Q340" s="327">
        <v>755</v>
      </c>
      <c r="R340" s="31">
        <v>3162637.63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f>ROUND(R340*1.5%,2)</f>
        <v>47439.56</v>
      </c>
      <c r="AD340" s="31">
        <v>0</v>
      </c>
      <c r="AE340" s="31">
        <v>0</v>
      </c>
      <c r="AF340" s="219" t="s">
        <v>271</v>
      </c>
      <c r="AG340" s="219">
        <v>2020</v>
      </c>
      <c r="AH340" s="220">
        <v>2020</v>
      </c>
      <c r="BZ340" s="71"/>
      <c r="CD340" s="20" t="e">
        <f t="shared" si="47"/>
        <v>#N/A</v>
      </c>
    </row>
    <row r="341" spans="1:82" ht="61.5" x14ac:dyDescent="0.85">
      <c r="A341" s="20">
        <v>1</v>
      </c>
      <c r="B341" s="66">
        <f>SUBTOTAL(103,$A$22:A341)</f>
        <v>305</v>
      </c>
      <c r="C341" s="24" t="s">
        <v>1231</v>
      </c>
      <c r="D341" s="31">
        <f t="shared" si="54"/>
        <v>1811384.8699999999</v>
      </c>
      <c r="E341" s="38">
        <v>0</v>
      </c>
      <c r="F341" s="38">
        <v>0</v>
      </c>
      <c r="G341" s="31">
        <v>0</v>
      </c>
      <c r="H341" s="38">
        <v>0</v>
      </c>
      <c r="I341" s="38">
        <v>0</v>
      </c>
      <c r="J341" s="38">
        <v>0</v>
      </c>
      <c r="K341" s="33">
        <v>0</v>
      </c>
      <c r="L341" s="31">
        <v>0</v>
      </c>
      <c r="M341" s="31">
        <v>0</v>
      </c>
      <c r="N341" s="31">
        <v>0</v>
      </c>
      <c r="O341" s="38">
        <v>0</v>
      </c>
      <c r="P341" s="38">
        <v>0</v>
      </c>
      <c r="Q341" s="31">
        <v>0</v>
      </c>
      <c r="R341" s="31">
        <v>0</v>
      </c>
      <c r="S341" s="31">
        <v>84.3</v>
      </c>
      <c r="T341" s="31">
        <v>1784615.64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f>ROUND(T341*1.5%,2)</f>
        <v>26769.23</v>
      </c>
      <c r="AD341" s="31">
        <v>0</v>
      </c>
      <c r="AE341" s="31">
        <v>0</v>
      </c>
      <c r="AF341" s="219" t="s">
        <v>271</v>
      </c>
      <c r="AG341" s="219">
        <v>2020</v>
      </c>
      <c r="AH341" s="220">
        <v>2020</v>
      </c>
      <c r="BZ341" s="71"/>
      <c r="CD341" s="20" t="e">
        <f t="shared" si="47"/>
        <v>#N/A</v>
      </c>
    </row>
    <row r="342" spans="1:82" ht="61.5" x14ac:dyDescent="0.85">
      <c r="A342" s="20">
        <v>1</v>
      </c>
      <c r="B342" s="66">
        <f>SUBTOTAL(103,$A$22:A342)</f>
        <v>306</v>
      </c>
      <c r="C342" s="24" t="s">
        <v>1232</v>
      </c>
      <c r="D342" s="31">
        <f t="shared" si="54"/>
        <v>1787601.6700000002</v>
      </c>
      <c r="E342" s="38">
        <v>0</v>
      </c>
      <c r="F342" s="38">
        <v>0</v>
      </c>
      <c r="G342" s="31">
        <v>0</v>
      </c>
      <c r="H342" s="38">
        <v>0</v>
      </c>
      <c r="I342" s="38">
        <v>0</v>
      </c>
      <c r="J342" s="38">
        <v>0</v>
      </c>
      <c r="K342" s="33">
        <v>0</v>
      </c>
      <c r="L342" s="31">
        <v>0</v>
      </c>
      <c r="M342" s="31">
        <v>374.3</v>
      </c>
      <c r="N342" s="31">
        <v>1642957.31</v>
      </c>
      <c r="O342" s="38">
        <v>0</v>
      </c>
      <c r="P342" s="38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f>ROUND(N342*1.5%,2)</f>
        <v>24644.36</v>
      </c>
      <c r="AD342" s="31">
        <v>0</v>
      </c>
      <c r="AE342" s="31">
        <v>120000</v>
      </c>
      <c r="AF342" s="219" t="s">
        <v>271</v>
      </c>
      <c r="AG342" s="219">
        <v>2020</v>
      </c>
      <c r="AH342" s="220">
        <v>2020</v>
      </c>
      <c r="BZ342" s="71"/>
      <c r="CD342" s="20">
        <f t="shared" si="47"/>
        <v>374.3</v>
      </c>
    </row>
    <row r="343" spans="1:82" ht="61.5" x14ac:dyDescent="0.85">
      <c r="A343" s="20">
        <v>1</v>
      </c>
      <c r="B343" s="66">
        <f>SUBTOTAL(103,$A$22:A343)</f>
        <v>307</v>
      </c>
      <c r="C343" s="24" t="s">
        <v>1553</v>
      </c>
      <c r="D343" s="31">
        <f t="shared" si="54"/>
        <v>1422703.04</v>
      </c>
      <c r="E343" s="38">
        <v>0</v>
      </c>
      <c r="F343" s="38">
        <v>0</v>
      </c>
      <c r="G343" s="31">
        <v>0</v>
      </c>
      <c r="H343" s="38">
        <v>0</v>
      </c>
      <c r="I343" s="38">
        <v>0</v>
      </c>
      <c r="J343" s="38">
        <v>0</v>
      </c>
      <c r="K343" s="33">
        <v>0</v>
      </c>
      <c r="L343" s="31">
        <v>0</v>
      </c>
      <c r="M343" s="31">
        <v>327.87</v>
      </c>
      <c r="N343" s="31">
        <v>1401677.87</v>
      </c>
      <c r="O343" s="38">
        <v>0</v>
      </c>
      <c r="P343" s="38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f>ROUND(N343*1.5%,2)</f>
        <v>21025.17</v>
      </c>
      <c r="AD343" s="31">
        <v>0</v>
      </c>
      <c r="AE343" s="31">
        <v>0</v>
      </c>
      <c r="AF343" s="219" t="s">
        <v>271</v>
      </c>
      <c r="AG343" s="219">
        <v>2020</v>
      </c>
      <c r="AH343" s="220">
        <v>2020</v>
      </c>
      <c r="BZ343" s="71"/>
      <c r="CD343" s="20">
        <f t="shared" si="47"/>
        <v>329.1</v>
      </c>
    </row>
    <row r="344" spans="1:82" ht="61.5" x14ac:dyDescent="0.85">
      <c r="A344" s="20">
        <v>1</v>
      </c>
      <c r="B344" s="66">
        <f>SUBTOTAL(103,$A$22:A344)</f>
        <v>308</v>
      </c>
      <c r="C344" s="24" t="s">
        <v>1554</v>
      </c>
      <c r="D344" s="31">
        <f t="shared" si="54"/>
        <v>2288459.5900000003</v>
      </c>
      <c r="E344" s="38">
        <v>0</v>
      </c>
      <c r="F344" s="38">
        <v>0</v>
      </c>
      <c r="G344" s="31">
        <v>0</v>
      </c>
      <c r="H344" s="38">
        <v>0</v>
      </c>
      <c r="I344" s="38">
        <v>0</v>
      </c>
      <c r="J344" s="38">
        <v>0</v>
      </c>
      <c r="K344" s="33">
        <v>0</v>
      </c>
      <c r="L344" s="31">
        <v>0</v>
      </c>
      <c r="M344" s="272">
        <v>600.53</v>
      </c>
      <c r="N344" s="31">
        <v>2254639.9900000002</v>
      </c>
      <c r="O344" s="38">
        <v>0</v>
      </c>
      <c r="P344" s="38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f>ROUND(N344*1.5%,2)</f>
        <v>33819.599999999999</v>
      </c>
      <c r="AD344" s="31">
        <v>0</v>
      </c>
      <c r="AE344" s="31">
        <v>0</v>
      </c>
      <c r="AF344" s="219" t="s">
        <v>271</v>
      </c>
      <c r="AG344" s="219">
        <v>2020</v>
      </c>
      <c r="AH344" s="220">
        <v>2020</v>
      </c>
      <c r="BZ344" s="71"/>
      <c r="CD344" s="20">
        <f t="shared" si="47"/>
        <v>611</v>
      </c>
    </row>
    <row r="345" spans="1:82" ht="61.5" x14ac:dyDescent="0.85">
      <c r="A345" s="20">
        <v>1</v>
      </c>
      <c r="B345" s="66">
        <f>SUBTOTAL(103,$A$22:A345)</f>
        <v>309</v>
      </c>
      <c r="C345" s="24" t="s">
        <v>1568</v>
      </c>
      <c r="D345" s="31">
        <f t="shared" si="54"/>
        <v>2836351.9</v>
      </c>
      <c r="E345" s="38">
        <v>0</v>
      </c>
      <c r="F345" s="38">
        <v>0</v>
      </c>
      <c r="G345" s="31">
        <v>0</v>
      </c>
      <c r="H345" s="38">
        <v>0</v>
      </c>
      <c r="I345" s="38">
        <v>0</v>
      </c>
      <c r="J345" s="38">
        <v>0</v>
      </c>
      <c r="K345" s="33">
        <v>0</v>
      </c>
      <c r="L345" s="31">
        <v>0</v>
      </c>
      <c r="M345" s="31">
        <v>606</v>
      </c>
      <c r="N345" s="31">
        <v>2794435.37</v>
      </c>
      <c r="O345" s="38">
        <v>0</v>
      </c>
      <c r="P345" s="38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f>ROUND(N345*1.5%,2)</f>
        <v>41916.53</v>
      </c>
      <c r="AD345" s="31">
        <v>0</v>
      </c>
      <c r="AE345" s="31">
        <v>0</v>
      </c>
      <c r="AF345" s="219" t="s">
        <v>271</v>
      </c>
      <c r="AG345" s="219">
        <v>2020</v>
      </c>
      <c r="AH345" s="220">
        <v>2020</v>
      </c>
      <c r="BZ345" s="71"/>
      <c r="CD345" s="20">
        <f t="shared" si="47"/>
        <v>606</v>
      </c>
    </row>
    <row r="346" spans="1:82" ht="61.5" x14ac:dyDescent="0.85">
      <c r="A346" s="20">
        <v>1</v>
      </c>
      <c r="B346" s="66">
        <f>SUBTOTAL(103,$A$22:A346)</f>
        <v>310</v>
      </c>
      <c r="C346" s="24" t="s">
        <v>1569</v>
      </c>
      <c r="D346" s="31">
        <f t="shared" si="54"/>
        <v>2304536.62</v>
      </c>
      <c r="E346" s="38">
        <v>0</v>
      </c>
      <c r="F346" s="38">
        <v>0</v>
      </c>
      <c r="G346" s="31">
        <v>0</v>
      </c>
      <c r="H346" s="38">
        <v>0</v>
      </c>
      <c r="I346" s="38">
        <v>0</v>
      </c>
      <c r="J346" s="38">
        <v>0</v>
      </c>
      <c r="K346" s="33">
        <v>0</v>
      </c>
      <c r="L346" s="31">
        <v>0</v>
      </c>
      <c r="M346" s="31">
        <v>592.07000000000005</v>
      </c>
      <c r="N346" s="31">
        <v>2270479.4300000002</v>
      </c>
      <c r="O346" s="38">
        <v>0</v>
      </c>
      <c r="P346" s="38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f>ROUND(N346*1.5%,2)</f>
        <v>34057.19</v>
      </c>
      <c r="AD346" s="31">
        <v>0</v>
      </c>
      <c r="AE346" s="31">
        <v>0</v>
      </c>
      <c r="AF346" s="219" t="s">
        <v>271</v>
      </c>
      <c r="AG346" s="219">
        <v>2020</v>
      </c>
      <c r="AH346" s="220">
        <v>2020</v>
      </c>
      <c r="BZ346" s="71"/>
      <c r="CD346" s="20">
        <f t="shared" si="47"/>
        <v>592.07000000000005</v>
      </c>
    </row>
    <row r="347" spans="1:82" ht="61.5" x14ac:dyDescent="0.85">
      <c r="A347" s="20">
        <v>1</v>
      </c>
      <c r="B347" s="66">
        <f>SUBTOTAL(103,$A$22:A347)</f>
        <v>311</v>
      </c>
      <c r="C347" s="24" t="s">
        <v>1605</v>
      </c>
      <c r="D347" s="31">
        <f t="shared" si="54"/>
        <v>1456376.84</v>
      </c>
      <c r="E347" s="38">
        <v>0</v>
      </c>
      <c r="F347" s="38">
        <v>0</v>
      </c>
      <c r="G347" s="31">
        <v>0</v>
      </c>
      <c r="H347" s="38">
        <v>0</v>
      </c>
      <c r="I347" s="38">
        <v>0</v>
      </c>
      <c r="J347" s="38">
        <v>0</v>
      </c>
      <c r="K347" s="33">
        <v>0</v>
      </c>
      <c r="L347" s="31">
        <v>0</v>
      </c>
      <c r="M347" s="31">
        <v>0</v>
      </c>
      <c r="N347" s="31">
        <v>0</v>
      </c>
      <c r="O347" s="38">
        <v>0</v>
      </c>
      <c r="P347" s="38">
        <v>0</v>
      </c>
      <c r="Q347" s="31">
        <v>377.9</v>
      </c>
      <c r="R347" s="31">
        <v>1394850.4500000002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f>ROUND(R347*1.5%,2)</f>
        <v>20922.759999999998</v>
      </c>
      <c r="AD347" s="31">
        <v>40603.629999999997</v>
      </c>
      <c r="AE347" s="31">
        <v>0</v>
      </c>
      <c r="AF347" s="219">
        <v>2020</v>
      </c>
      <c r="AG347" s="219">
        <v>2020</v>
      </c>
      <c r="AH347" s="220">
        <v>2020</v>
      </c>
      <c r="BZ347" s="71"/>
      <c r="CD347" s="20" t="e">
        <f t="shared" si="47"/>
        <v>#N/A</v>
      </c>
    </row>
    <row r="348" spans="1:82" ht="61.5" x14ac:dyDescent="0.85">
      <c r="B348" s="24" t="s">
        <v>838</v>
      </c>
      <c r="C348" s="24"/>
      <c r="D348" s="31">
        <f t="shared" ref="D348:AE348" si="55">SUM(D349:D354)</f>
        <v>4160433.67</v>
      </c>
      <c r="E348" s="31">
        <f t="shared" si="55"/>
        <v>0</v>
      </c>
      <c r="F348" s="31">
        <f t="shared" si="55"/>
        <v>0</v>
      </c>
      <c r="G348" s="31">
        <f t="shared" si="55"/>
        <v>0</v>
      </c>
      <c r="H348" s="31">
        <f t="shared" si="55"/>
        <v>134182.18</v>
      </c>
      <c r="I348" s="31">
        <f t="shared" si="55"/>
        <v>0</v>
      </c>
      <c r="J348" s="31">
        <f t="shared" si="55"/>
        <v>0</v>
      </c>
      <c r="K348" s="33">
        <f t="shared" si="55"/>
        <v>0</v>
      </c>
      <c r="L348" s="31">
        <f t="shared" si="55"/>
        <v>0</v>
      </c>
      <c r="M348" s="31">
        <f t="shared" si="55"/>
        <v>568.76</v>
      </c>
      <c r="N348" s="31">
        <f t="shared" si="55"/>
        <v>2126707.66</v>
      </c>
      <c r="O348" s="31">
        <f t="shared" si="55"/>
        <v>0</v>
      </c>
      <c r="P348" s="31">
        <f t="shared" si="55"/>
        <v>0</v>
      </c>
      <c r="Q348" s="31">
        <f t="shared" si="55"/>
        <v>369.1</v>
      </c>
      <c r="R348" s="31">
        <f t="shared" si="55"/>
        <v>1359619.7</v>
      </c>
      <c r="S348" s="31">
        <f t="shared" si="55"/>
        <v>41.6</v>
      </c>
      <c r="T348" s="31">
        <f t="shared" si="55"/>
        <v>378146.57</v>
      </c>
      <c r="U348" s="31">
        <f t="shared" si="55"/>
        <v>0</v>
      </c>
      <c r="V348" s="31">
        <f t="shared" si="55"/>
        <v>0</v>
      </c>
      <c r="W348" s="31">
        <f t="shared" si="55"/>
        <v>0</v>
      </c>
      <c r="X348" s="31">
        <f t="shared" si="55"/>
        <v>0</v>
      </c>
      <c r="Y348" s="31">
        <f t="shared" si="55"/>
        <v>0</v>
      </c>
      <c r="Z348" s="31">
        <f t="shared" si="55"/>
        <v>0</v>
      </c>
      <c r="AA348" s="31">
        <f t="shared" si="55"/>
        <v>0</v>
      </c>
      <c r="AB348" s="31">
        <f t="shared" si="55"/>
        <v>0</v>
      </c>
      <c r="AC348" s="31">
        <f t="shared" si="55"/>
        <v>59979.839999999997</v>
      </c>
      <c r="AD348" s="31">
        <f t="shared" si="55"/>
        <v>101797.72</v>
      </c>
      <c r="AE348" s="31">
        <f t="shared" si="55"/>
        <v>0</v>
      </c>
      <c r="AF348" s="221" t="s">
        <v>764</v>
      </c>
      <c r="AG348" s="221" t="s">
        <v>764</v>
      </c>
      <c r="AH348" s="222" t="s">
        <v>764</v>
      </c>
      <c r="AT348" s="20" t="e">
        <f>VLOOKUP(C348,AW:AX,2,FALSE)</f>
        <v>#N/A</v>
      </c>
      <c r="BZ348" s="71">
        <v>4925031.5999999996</v>
      </c>
      <c r="CB348" s="71">
        <f>BZ348-D348</f>
        <v>764597.9299999997</v>
      </c>
      <c r="CD348" s="20" t="e">
        <f t="shared" si="47"/>
        <v>#N/A</v>
      </c>
    </row>
    <row r="349" spans="1:82" ht="61.5" x14ac:dyDescent="0.85">
      <c r="A349" s="20">
        <v>1</v>
      </c>
      <c r="B349" s="66">
        <f>SUBTOTAL(103,$A$22:A349)</f>
        <v>312</v>
      </c>
      <c r="C349" s="24" t="s">
        <v>248</v>
      </c>
      <c r="D349" s="31">
        <f t="shared" ref="D349:D354" si="56">E349+F349+G349+H349+I349+J349+L349+N349+P349+R349+T349+U349+V349+W349+X349+Y349+Z349+AA349+AB349+AC349+AD349+AE349</f>
        <v>9547.9500000000007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3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f>ROUND((E349+F349+G349+H349+I349+J349)*1.5%,2)</f>
        <v>0</v>
      </c>
      <c r="AD349" s="272">
        <v>9547.9500000000007</v>
      </c>
      <c r="AE349" s="31">
        <v>0</v>
      </c>
      <c r="AF349" s="219">
        <v>2020</v>
      </c>
      <c r="AG349" s="219" t="s">
        <v>271</v>
      </c>
      <c r="AH349" s="220" t="s">
        <v>271</v>
      </c>
      <c r="AT349" s="20" t="e">
        <f>VLOOKUP(C349,AW:AX,2,FALSE)</f>
        <v>#N/A</v>
      </c>
      <c r="BZ349" s="71"/>
      <c r="CD349" s="20" t="e">
        <f t="shared" si="47"/>
        <v>#N/A</v>
      </c>
    </row>
    <row r="350" spans="1:82" ht="61.5" x14ac:dyDescent="0.85">
      <c r="A350" s="20">
        <v>1</v>
      </c>
      <c r="B350" s="66">
        <f>SUBTOTAL(103,$A$22:A350)</f>
        <v>313</v>
      </c>
      <c r="C350" s="24" t="s">
        <v>249</v>
      </c>
      <c r="D350" s="31">
        <f t="shared" si="56"/>
        <v>167945.43</v>
      </c>
      <c r="E350" s="31">
        <v>0</v>
      </c>
      <c r="F350" s="31">
        <v>0</v>
      </c>
      <c r="G350" s="31">
        <v>0</v>
      </c>
      <c r="H350" s="31">
        <v>134182.18</v>
      </c>
      <c r="I350" s="31">
        <v>0</v>
      </c>
      <c r="J350" s="31">
        <v>0</v>
      </c>
      <c r="K350" s="33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f>ROUND((E350+F350+G350+H350+I350+J350)*1.5%,2)</f>
        <v>2012.73</v>
      </c>
      <c r="AD350" s="31">
        <v>31750.52</v>
      </c>
      <c r="AE350" s="31">
        <v>0</v>
      </c>
      <c r="AF350" s="219">
        <v>2020</v>
      </c>
      <c r="AG350" s="219">
        <v>2020</v>
      </c>
      <c r="AH350" s="220">
        <v>2020</v>
      </c>
      <c r="AT350" s="20" t="e">
        <f>VLOOKUP(C350,AW:AX,2,FALSE)</f>
        <v>#N/A</v>
      </c>
      <c r="BZ350" s="71"/>
      <c r="CD350" s="20" t="e">
        <f t="shared" si="47"/>
        <v>#N/A</v>
      </c>
    </row>
    <row r="351" spans="1:82" ht="61.5" x14ac:dyDescent="0.85">
      <c r="A351" s="20">
        <v>1</v>
      </c>
      <c r="B351" s="66">
        <f>SUBTOTAL(103,$A$22:A351)</f>
        <v>314</v>
      </c>
      <c r="C351" s="24" t="s">
        <v>1235</v>
      </c>
      <c r="D351" s="31">
        <f t="shared" si="56"/>
        <v>383818.77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3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41.6</v>
      </c>
      <c r="T351" s="31">
        <v>378146.57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f>ROUND(T351*1.5%,2)</f>
        <v>5672.2</v>
      </c>
      <c r="AD351" s="31">
        <v>0</v>
      </c>
      <c r="AE351" s="31">
        <v>0</v>
      </c>
      <c r="AF351" s="219" t="s">
        <v>271</v>
      </c>
      <c r="AG351" s="219">
        <v>2020</v>
      </c>
      <c r="AH351" s="220">
        <v>2020</v>
      </c>
      <c r="BZ351" s="71"/>
      <c r="CD351" s="20" t="e">
        <f t="shared" si="47"/>
        <v>#N/A</v>
      </c>
    </row>
    <row r="352" spans="1:82" ht="61.5" x14ac:dyDescent="0.85">
      <c r="A352" s="20">
        <v>1</v>
      </c>
      <c r="B352" s="66">
        <f>SUBTOTAL(103,$A$22:A352)</f>
        <v>315</v>
      </c>
      <c r="C352" s="24" t="s">
        <v>246</v>
      </c>
      <c r="D352" s="31">
        <f t="shared" si="56"/>
        <v>1440513.25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3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369.1</v>
      </c>
      <c r="R352" s="31">
        <v>1359619.7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f>ROUND(R352*1.5%,2)</f>
        <v>20394.3</v>
      </c>
      <c r="AD352" s="162">
        <v>60499.25</v>
      </c>
      <c r="AE352" s="31">
        <v>0</v>
      </c>
      <c r="AF352" s="219">
        <v>2020</v>
      </c>
      <c r="AG352" s="219">
        <v>2020</v>
      </c>
      <c r="AH352" s="220">
        <v>2020</v>
      </c>
      <c r="AT352" s="20" t="e">
        <f>VLOOKUP(C352,AW:AX,2,FALSE)</f>
        <v>#N/A</v>
      </c>
      <c r="BZ352" s="71"/>
      <c r="CD352" s="20" t="e">
        <f t="shared" si="47"/>
        <v>#N/A</v>
      </c>
    </row>
    <row r="353" spans="1:82" ht="61.5" x14ac:dyDescent="0.85">
      <c r="A353" s="20">
        <v>1</v>
      </c>
      <c r="B353" s="66">
        <f>SUBTOTAL(103,$A$22:A353)</f>
        <v>316</v>
      </c>
      <c r="C353" s="24" t="s">
        <v>1555</v>
      </c>
      <c r="D353" s="31">
        <f t="shared" si="56"/>
        <v>944609.1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3">
        <v>0</v>
      </c>
      <c r="L353" s="31">
        <v>0</v>
      </c>
      <c r="M353" s="31">
        <v>259.76</v>
      </c>
      <c r="N353" s="31">
        <v>930649.36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f>ROUND(N353*1.5%,2)</f>
        <v>13959.74</v>
      </c>
      <c r="AD353" s="31">
        <v>0</v>
      </c>
      <c r="AE353" s="31">
        <v>0</v>
      </c>
      <c r="AF353" s="219" t="s">
        <v>271</v>
      </c>
      <c r="AG353" s="219">
        <v>2020</v>
      </c>
      <c r="AH353" s="220">
        <v>2020</v>
      </c>
      <c r="BZ353" s="71"/>
      <c r="CD353" s="20">
        <f t="shared" si="47"/>
        <v>249</v>
      </c>
    </row>
    <row r="354" spans="1:82" ht="61.5" x14ac:dyDescent="0.85">
      <c r="A354" s="20">
        <v>1</v>
      </c>
      <c r="B354" s="66">
        <f>SUBTOTAL(103,$A$22:A354)</f>
        <v>317</v>
      </c>
      <c r="C354" s="24" t="s">
        <v>1556</v>
      </c>
      <c r="D354" s="31">
        <f t="shared" si="56"/>
        <v>1213999.1700000002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3">
        <v>0</v>
      </c>
      <c r="L354" s="31">
        <v>0</v>
      </c>
      <c r="M354" s="31">
        <v>309</v>
      </c>
      <c r="N354" s="31">
        <v>1196058.3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1">
        <f>ROUND(N354*1.5%,2)</f>
        <v>17940.87</v>
      </c>
      <c r="AD354" s="31">
        <v>0</v>
      </c>
      <c r="AE354" s="31">
        <v>0</v>
      </c>
      <c r="AF354" s="219" t="s">
        <v>271</v>
      </c>
      <c r="AG354" s="219">
        <v>2020</v>
      </c>
      <c r="AH354" s="220">
        <v>2020</v>
      </c>
      <c r="BZ354" s="71"/>
      <c r="CD354" s="20">
        <f t="shared" si="47"/>
        <v>309</v>
      </c>
    </row>
    <row r="355" spans="1:82" ht="61.5" x14ac:dyDescent="0.85">
      <c r="B355" s="24" t="s">
        <v>839</v>
      </c>
      <c r="C355" s="24"/>
      <c r="D355" s="31">
        <f>SUM(D356:D357)</f>
        <v>4763676.91</v>
      </c>
      <c r="E355" s="31">
        <f t="shared" ref="E355:AE355" si="57">SUM(E356:E357)</f>
        <v>0</v>
      </c>
      <c r="F355" s="31">
        <f t="shared" si="57"/>
        <v>0</v>
      </c>
      <c r="G355" s="31">
        <f t="shared" si="57"/>
        <v>0</v>
      </c>
      <c r="H355" s="31">
        <f t="shared" si="57"/>
        <v>0</v>
      </c>
      <c r="I355" s="31">
        <f t="shared" si="57"/>
        <v>0</v>
      </c>
      <c r="J355" s="31">
        <f t="shared" si="57"/>
        <v>0</v>
      </c>
      <c r="K355" s="33">
        <f t="shared" si="57"/>
        <v>0</v>
      </c>
      <c r="L355" s="31">
        <f t="shared" si="57"/>
        <v>0</v>
      </c>
      <c r="M355" s="31">
        <f t="shared" si="57"/>
        <v>0</v>
      </c>
      <c r="N355" s="31">
        <f t="shared" si="57"/>
        <v>0</v>
      </c>
      <c r="O355" s="31">
        <f t="shared" si="57"/>
        <v>0</v>
      </c>
      <c r="P355" s="31">
        <f t="shared" si="57"/>
        <v>0</v>
      </c>
      <c r="Q355" s="31">
        <f t="shared" si="57"/>
        <v>1148.74</v>
      </c>
      <c r="R355" s="31">
        <f t="shared" si="57"/>
        <v>4614797.5199999996</v>
      </c>
      <c r="S355" s="31">
        <f t="shared" si="57"/>
        <v>0</v>
      </c>
      <c r="T355" s="31">
        <f t="shared" si="57"/>
        <v>0</v>
      </c>
      <c r="U355" s="31">
        <f t="shared" si="57"/>
        <v>0</v>
      </c>
      <c r="V355" s="31">
        <f t="shared" si="57"/>
        <v>0</v>
      </c>
      <c r="W355" s="31">
        <f t="shared" si="57"/>
        <v>0</v>
      </c>
      <c r="X355" s="31">
        <f t="shared" si="57"/>
        <v>0</v>
      </c>
      <c r="Y355" s="31">
        <f t="shared" si="57"/>
        <v>0</v>
      </c>
      <c r="Z355" s="31">
        <f t="shared" si="57"/>
        <v>0</v>
      </c>
      <c r="AA355" s="31">
        <f t="shared" si="57"/>
        <v>0</v>
      </c>
      <c r="AB355" s="31">
        <f t="shared" si="57"/>
        <v>0</v>
      </c>
      <c r="AC355" s="31">
        <f t="shared" si="57"/>
        <v>69221.97</v>
      </c>
      <c r="AD355" s="31">
        <f t="shared" si="57"/>
        <v>79657.42</v>
      </c>
      <c r="AE355" s="31">
        <f t="shared" si="57"/>
        <v>0</v>
      </c>
      <c r="AF355" s="221" t="s">
        <v>764</v>
      </c>
      <c r="AG355" s="221" t="s">
        <v>764</v>
      </c>
      <c r="AH355" s="222" t="s">
        <v>764</v>
      </c>
      <c r="AT355" s="20" t="e">
        <f>VLOOKUP(C355,AW:AX,2,FALSE)</f>
        <v>#N/A</v>
      </c>
      <c r="BZ355" s="71">
        <v>5532352.54</v>
      </c>
      <c r="CB355" s="71">
        <f>BZ355-D355</f>
        <v>768675.62999999989</v>
      </c>
      <c r="CD355" s="20" t="e">
        <f t="shared" si="47"/>
        <v>#N/A</v>
      </c>
    </row>
    <row r="356" spans="1:82" ht="61.5" x14ac:dyDescent="0.85">
      <c r="A356" s="20">
        <v>1</v>
      </c>
      <c r="B356" s="66">
        <f>SUBTOTAL(103,$A$22:A356)</f>
        <v>318</v>
      </c>
      <c r="C356" s="24" t="s">
        <v>243</v>
      </c>
      <c r="D356" s="31">
        <f>E356+F356+G356+H356+I356+J356+L356+N356+P356+R356+T356+U356+V356+W356+X356+Y356+Z356+AA356+AB356+AC356+AD356+AE356</f>
        <v>2286802.33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3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490.6</v>
      </c>
      <c r="R356" s="206">
        <v>2174527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f>ROUND(R356*1.5%,2)</f>
        <v>32617.91</v>
      </c>
      <c r="AD356" s="273">
        <v>79657.42</v>
      </c>
      <c r="AE356" s="31">
        <v>0</v>
      </c>
      <c r="AF356" s="219">
        <v>2020</v>
      </c>
      <c r="AG356" s="219">
        <v>2020</v>
      </c>
      <c r="AH356" s="220">
        <v>2020</v>
      </c>
      <c r="AT356" s="20" t="e">
        <f>VLOOKUP(C356,AW:AX,2,FALSE)</f>
        <v>#N/A</v>
      </c>
      <c r="BZ356" s="71"/>
      <c r="CD356" s="20" t="e">
        <f t="shared" si="47"/>
        <v>#N/A</v>
      </c>
    </row>
    <row r="357" spans="1:82" ht="61.5" x14ac:dyDescent="0.85">
      <c r="A357" s="20">
        <v>1</v>
      </c>
      <c r="B357" s="66">
        <f>SUBTOTAL(103,$A$22:A357)</f>
        <v>319</v>
      </c>
      <c r="C357" s="24" t="s">
        <v>1233</v>
      </c>
      <c r="D357" s="31">
        <f>E357+F357+G357+H357+I357+J357+L357+N357+P357+R357+T357+U357+V357+W357+X357+Y357+Z357+AA357+AB357+AC357+AD357+AE357</f>
        <v>2476874.58</v>
      </c>
      <c r="E357" s="38">
        <v>0</v>
      </c>
      <c r="F357" s="38">
        <v>0</v>
      </c>
      <c r="G357" s="31">
        <v>0</v>
      </c>
      <c r="H357" s="38">
        <v>0</v>
      </c>
      <c r="I357" s="38">
        <v>0</v>
      </c>
      <c r="J357" s="38">
        <v>0</v>
      </c>
      <c r="K357" s="33">
        <v>0</v>
      </c>
      <c r="L357" s="31">
        <v>0</v>
      </c>
      <c r="M357" s="31">
        <v>0</v>
      </c>
      <c r="N357" s="31">
        <v>0</v>
      </c>
      <c r="O357" s="38">
        <v>0</v>
      </c>
      <c r="P357" s="38">
        <v>0</v>
      </c>
      <c r="Q357" s="31">
        <v>658.14</v>
      </c>
      <c r="R357" s="31">
        <v>2440270.52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1">
        <f>ROUND(R357*1.5%,2)</f>
        <v>36604.06</v>
      </c>
      <c r="AD357" s="31">
        <v>0</v>
      </c>
      <c r="AE357" s="31">
        <v>0</v>
      </c>
      <c r="AF357" s="219" t="s">
        <v>271</v>
      </c>
      <c r="AG357" s="219">
        <v>2020</v>
      </c>
      <c r="AH357" s="220">
        <v>2020</v>
      </c>
      <c r="BZ357" s="71"/>
      <c r="CD357" s="20" t="e">
        <f t="shared" si="47"/>
        <v>#N/A</v>
      </c>
    </row>
    <row r="358" spans="1:82" ht="61.5" x14ac:dyDescent="0.85">
      <c r="B358" s="24" t="s">
        <v>840</v>
      </c>
      <c r="C358" s="183"/>
      <c r="D358" s="30">
        <f>SUM(D359:D360)</f>
        <v>7840990.7699999996</v>
      </c>
      <c r="E358" s="30">
        <f t="shared" ref="E358:AE358" si="58">SUM(E359:E360)</f>
        <v>0</v>
      </c>
      <c r="F358" s="30">
        <f t="shared" si="58"/>
        <v>0</v>
      </c>
      <c r="G358" s="30">
        <f t="shared" si="58"/>
        <v>0</v>
      </c>
      <c r="H358" s="30">
        <f t="shared" si="58"/>
        <v>0</v>
      </c>
      <c r="I358" s="30">
        <f t="shared" si="58"/>
        <v>0</v>
      </c>
      <c r="J358" s="30">
        <f t="shared" si="58"/>
        <v>0</v>
      </c>
      <c r="K358" s="112">
        <f t="shared" si="58"/>
        <v>0</v>
      </c>
      <c r="L358" s="30">
        <f t="shared" si="58"/>
        <v>0</v>
      </c>
      <c r="M358" s="30">
        <f t="shared" si="58"/>
        <v>1340.24</v>
      </c>
      <c r="N358" s="30">
        <f t="shared" si="58"/>
        <v>7767002.5899999999</v>
      </c>
      <c r="O358" s="30">
        <f t="shared" si="58"/>
        <v>0</v>
      </c>
      <c r="P358" s="30">
        <f t="shared" si="58"/>
        <v>0</v>
      </c>
      <c r="Q358" s="30">
        <f t="shared" si="58"/>
        <v>0</v>
      </c>
      <c r="R358" s="30">
        <f t="shared" si="58"/>
        <v>0</v>
      </c>
      <c r="S358" s="30">
        <f t="shared" si="58"/>
        <v>0</v>
      </c>
      <c r="T358" s="30">
        <f t="shared" si="58"/>
        <v>0</v>
      </c>
      <c r="U358" s="30">
        <f t="shared" si="58"/>
        <v>0</v>
      </c>
      <c r="V358" s="30">
        <f t="shared" si="58"/>
        <v>0</v>
      </c>
      <c r="W358" s="30">
        <f t="shared" si="58"/>
        <v>0</v>
      </c>
      <c r="X358" s="30">
        <f t="shared" si="58"/>
        <v>0</v>
      </c>
      <c r="Y358" s="30">
        <f t="shared" si="58"/>
        <v>0</v>
      </c>
      <c r="Z358" s="30">
        <f t="shared" si="58"/>
        <v>0</v>
      </c>
      <c r="AA358" s="30">
        <f t="shared" si="58"/>
        <v>0</v>
      </c>
      <c r="AB358" s="30">
        <f t="shared" si="58"/>
        <v>0</v>
      </c>
      <c r="AC358" s="30">
        <f t="shared" si="58"/>
        <v>73988.179999999993</v>
      </c>
      <c r="AD358" s="30">
        <f t="shared" si="58"/>
        <v>0</v>
      </c>
      <c r="AE358" s="30">
        <f t="shared" si="58"/>
        <v>0</v>
      </c>
      <c r="AF358" s="221" t="s">
        <v>764</v>
      </c>
      <c r="AG358" s="221" t="s">
        <v>764</v>
      </c>
      <c r="AH358" s="222" t="s">
        <v>764</v>
      </c>
      <c r="AT358" s="20" t="e">
        <f>VLOOKUP(C358,AW:AX,2,FALSE)</f>
        <v>#N/A</v>
      </c>
      <c r="BZ358" s="71">
        <v>7838189.9699999997</v>
      </c>
      <c r="CB358" s="71">
        <f>BZ358-D358</f>
        <v>-2800.7999999998137</v>
      </c>
      <c r="CD358" s="20" t="e">
        <f t="shared" si="47"/>
        <v>#N/A</v>
      </c>
    </row>
    <row r="359" spans="1:82" ht="61.5" x14ac:dyDescent="0.85">
      <c r="A359" s="20">
        <v>1</v>
      </c>
      <c r="B359" s="66">
        <f>SUBTOTAL(103,$A$22:A359)</f>
        <v>320</v>
      </c>
      <c r="C359" s="25" t="s">
        <v>0</v>
      </c>
      <c r="D359" s="31">
        <f>E359+F359+G359+H359+I359+J359+L359+N359+P359+R359+T359+U359+V359+W359+X359+Y359+Z359+AA359+AB359+AC359+AD359+AE359</f>
        <v>2834457.48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3">
        <v>0</v>
      </c>
      <c r="L359" s="31">
        <v>0</v>
      </c>
      <c r="M359" s="31">
        <v>618.1</v>
      </c>
      <c r="N359" s="31">
        <v>2834457.48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v>0</v>
      </c>
      <c r="AD359" s="31">
        <v>0</v>
      </c>
      <c r="AE359" s="31">
        <v>0</v>
      </c>
      <c r="AF359" s="219" t="s">
        <v>271</v>
      </c>
      <c r="AG359" s="219">
        <v>2020</v>
      </c>
      <c r="AH359" s="220" t="s">
        <v>271</v>
      </c>
      <c r="AT359" s="20" t="e">
        <f>VLOOKUP(C359,AW:AX,2,FALSE)</f>
        <v>#N/A</v>
      </c>
      <c r="BZ359" s="71"/>
      <c r="CD359" s="20">
        <f t="shared" si="47"/>
        <v>618.1</v>
      </c>
    </row>
    <row r="360" spans="1:82" ht="61.5" x14ac:dyDescent="0.85">
      <c r="A360" s="20">
        <v>1</v>
      </c>
      <c r="B360" s="66">
        <f>SUBTOTAL(103,$A$22:A360)</f>
        <v>321</v>
      </c>
      <c r="C360" s="24" t="s">
        <v>5</v>
      </c>
      <c r="D360" s="31">
        <f>E360+F360+G360+H360+I360+J360+L360+N360+P360+R360+T360+U360+V360+W360+X360+Y360+Z360+AA360+AB360+AC360+AD360+AE360</f>
        <v>5006533.2899999991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3">
        <v>0</v>
      </c>
      <c r="L360" s="31">
        <v>0</v>
      </c>
      <c r="M360" s="31">
        <v>722.14</v>
      </c>
      <c r="N360" s="31">
        <f>3127494.34+147783.25+128832.61+507278.24+979268.14+41888.53</f>
        <v>4932545.1099999994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f>ROUND(N360*1.5%,2)</f>
        <v>73988.179999999993</v>
      </c>
      <c r="AD360" s="31">
        <v>0</v>
      </c>
      <c r="AE360" s="31">
        <v>0</v>
      </c>
      <c r="AF360" s="219" t="s">
        <v>271</v>
      </c>
      <c r="AG360" s="219">
        <v>2020</v>
      </c>
      <c r="AH360" s="220">
        <v>2020</v>
      </c>
      <c r="AT360" s="20" t="e">
        <f>VLOOKUP(C360,AW:AX,2,FALSE)</f>
        <v>#N/A</v>
      </c>
      <c r="BZ360" s="71"/>
      <c r="CD360" s="20">
        <f t="shared" si="47"/>
        <v>722.14</v>
      </c>
    </row>
    <row r="361" spans="1:82" ht="61.5" x14ac:dyDescent="0.85">
      <c r="B361" s="24" t="s">
        <v>841</v>
      </c>
      <c r="C361" s="114"/>
      <c r="D361" s="31">
        <f>SUM(D362:D364)</f>
        <v>8430489</v>
      </c>
      <c r="E361" s="31">
        <f t="shared" ref="E361:AE361" si="59">SUM(E362:E364)</f>
        <v>0</v>
      </c>
      <c r="F361" s="31">
        <f t="shared" si="59"/>
        <v>0</v>
      </c>
      <c r="G361" s="31">
        <f t="shared" si="59"/>
        <v>6562845.1299999999</v>
      </c>
      <c r="H361" s="31">
        <f t="shared" si="59"/>
        <v>0</v>
      </c>
      <c r="I361" s="31">
        <f t="shared" si="59"/>
        <v>0</v>
      </c>
      <c r="J361" s="31">
        <f t="shared" si="59"/>
        <v>0</v>
      </c>
      <c r="K361" s="33">
        <f t="shared" si="59"/>
        <v>0</v>
      </c>
      <c r="L361" s="31">
        <f t="shared" si="59"/>
        <v>0</v>
      </c>
      <c r="M361" s="31">
        <f t="shared" si="59"/>
        <v>406.9</v>
      </c>
      <c r="N361" s="31">
        <f t="shared" si="59"/>
        <v>1731921.7</v>
      </c>
      <c r="O361" s="31">
        <f t="shared" si="59"/>
        <v>0</v>
      </c>
      <c r="P361" s="31">
        <f t="shared" si="59"/>
        <v>0</v>
      </c>
      <c r="Q361" s="31">
        <f t="shared" si="59"/>
        <v>0</v>
      </c>
      <c r="R361" s="31">
        <f t="shared" si="59"/>
        <v>0</v>
      </c>
      <c r="S361" s="31">
        <f t="shared" si="59"/>
        <v>0</v>
      </c>
      <c r="T361" s="31">
        <f t="shared" si="59"/>
        <v>0</v>
      </c>
      <c r="U361" s="31">
        <f t="shared" si="59"/>
        <v>0</v>
      </c>
      <c r="V361" s="31">
        <f t="shared" si="59"/>
        <v>0</v>
      </c>
      <c r="W361" s="31">
        <f t="shared" si="59"/>
        <v>0</v>
      </c>
      <c r="X361" s="31">
        <f t="shared" si="59"/>
        <v>0</v>
      </c>
      <c r="Y361" s="31">
        <f t="shared" si="59"/>
        <v>0</v>
      </c>
      <c r="Z361" s="31">
        <f t="shared" si="59"/>
        <v>0</v>
      </c>
      <c r="AA361" s="31">
        <f t="shared" si="59"/>
        <v>0</v>
      </c>
      <c r="AB361" s="31">
        <f t="shared" si="59"/>
        <v>0</v>
      </c>
      <c r="AC361" s="31">
        <f t="shared" si="59"/>
        <v>25978.83</v>
      </c>
      <c r="AD361" s="31">
        <f t="shared" si="59"/>
        <v>109743.34</v>
      </c>
      <c r="AE361" s="31">
        <f t="shared" si="59"/>
        <v>0</v>
      </c>
      <c r="AF361" s="221" t="s">
        <v>764</v>
      </c>
      <c r="AG361" s="221" t="s">
        <v>764</v>
      </c>
      <c r="AH361" s="222" t="s">
        <v>764</v>
      </c>
      <c r="AT361" s="20" t="e">
        <f>VLOOKUP(C361,AW:AX,2,FALSE)</f>
        <v>#N/A</v>
      </c>
      <c r="BZ361" s="71">
        <v>11111629.25</v>
      </c>
      <c r="CB361" s="71">
        <f>BZ361-D361</f>
        <v>2681140.25</v>
      </c>
      <c r="CD361" s="20" t="e">
        <f t="shared" si="47"/>
        <v>#N/A</v>
      </c>
    </row>
    <row r="362" spans="1:82" ht="61.5" x14ac:dyDescent="0.85">
      <c r="A362" s="20">
        <v>1</v>
      </c>
      <c r="B362" s="66">
        <f>SUBTOTAL(103,$A$22:A362)</f>
        <v>322</v>
      </c>
      <c r="C362" s="24" t="s">
        <v>704</v>
      </c>
      <c r="D362" s="31">
        <f>E362+F362+G362+H362+I362+J362+L362+N362+P362+R362+T362+U362+V362+W362+X362+Y362+Z362+AA362+AB362+AC362+AD362+AE362</f>
        <v>51949.1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3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f>ROUND(N362*1.5%,2)</f>
        <v>0</v>
      </c>
      <c r="AD362" s="31">
        <v>51949.1</v>
      </c>
      <c r="AE362" s="31">
        <v>0</v>
      </c>
      <c r="AF362" s="219">
        <v>2020</v>
      </c>
      <c r="AG362" s="219" t="s">
        <v>271</v>
      </c>
      <c r="AH362" s="220" t="s">
        <v>271</v>
      </c>
      <c r="AT362" s="20" t="e">
        <f>VLOOKUP(C362,AW:AX,2,FALSE)</f>
        <v>#N/A</v>
      </c>
      <c r="BZ362" s="71"/>
      <c r="CD362" s="20" t="e">
        <f t="shared" si="47"/>
        <v>#N/A</v>
      </c>
    </row>
    <row r="363" spans="1:82" ht="61.5" x14ac:dyDescent="0.85">
      <c r="A363" s="20">
        <v>1</v>
      </c>
      <c r="B363" s="66">
        <f>SUBTOTAL(103,$A$22:A363)</f>
        <v>323</v>
      </c>
      <c r="C363" s="24" t="s">
        <v>1236</v>
      </c>
      <c r="D363" s="31">
        <f>E363+F363+G363+H363+I363+J363+L363+N363+P363+R363+T363+U363+V363+W363+X363+Y363+Z363+AA363+AB363+AC363+AD363+AE363</f>
        <v>6562845.1299999999</v>
      </c>
      <c r="E363" s="38">
        <v>0</v>
      </c>
      <c r="F363" s="38">
        <v>0</v>
      </c>
      <c r="G363" s="31">
        <v>6562845.1299999999</v>
      </c>
      <c r="H363" s="38">
        <v>0</v>
      </c>
      <c r="I363" s="38">
        <v>0</v>
      </c>
      <c r="J363" s="38">
        <v>0</v>
      </c>
      <c r="K363" s="33">
        <v>0</v>
      </c>
      <c r="L363" s="31">
        <v>0</v>
      </c>
      <c r="M363" s="31">
        <v>0</v>
      </c>
      <c r="N363" s="31">
        <v>0</v>
      </c>
      <c r="O363" s="38">
        <v>0</v>
      </c>
      <c r="P363" s="38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219" t="s">
        <v>271</v>
      </c>
      <c r="AG363" s="219">
        <v>2020</v>
      </c>
      <c r="AH363" s="220" t="s">
        <v>271</v>
      </c>
      <c r="BZ363" s="71"/>
      <c r="CD363" s="20" t="e">
        <f t="shared" si="47"/>
        <v>#N/A</v>
      </c>
    </row>
    <row r="364" spans="1:82" ht="61.5" x14ac:dyDescent="0.85">
      <c r="A364" s="20">
        <v>1</v>
      </c>
      <c r="B364" s="66">
        <f>SUBTOTAL(103,$A$22:A364)</f>
        <v>324</v>
      </c>
      <c r="C364" s="24" t="s">
        <v>1592</v>
      </c>
      <c r="D364" s="31">
        <f>E364+F364+G364+H364+I364+J364+L364+N364+P364+R364+T364+U364+V364+W364+X364+Y364+Z364+AA364+AB364+AC364+AD364+AE364</f>
        <v>1815694.77</v>
      </c>
      <c r="E364" s="38">
        <v>0</v>
      </c>
      <c r="F364" s="38">
        <v>0</v>
      </c>
      <c r="G364" s="31">
        <v>0</v>
      </c>
      <c r="H364" s="38">
        <v>0</v>
      </c>
      <c r="I364" s="38">
        <v>0</v>
      </c>
      <c r="J364" s="38">
        <v>0</v>
      </c>
      <c r="K364" s="33">
        <v>0</v>
      </c>
      <c r="L364" s="31">
        <v>0</v>
      </c>
      <c r="M364" s="339">
        <v>406.9</v>
      </c>
      <c r="N364" s="337">
        <v>1731921.7</v>
      </c>
      <c r="O364" s="38">
        <v>0</v>
      </c>
      <c r="P364" s="38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f>ROUND(N364*1.5%,2)</f>
        <v>25978.83</v>
      </c>
      <c r="AD364" s="31">
        <v>57794.239999999998</v>
      </c>
      <c r="AE364" s="31">
        <v>0</v>
      </c>
      <c r="AF364" s="219">
        <v>2020</v>
      </c>
      <c r="AG364" s="219">
        <v>2020</v>
      </c>
      <c r="AH364" s="220">
        <v>2020</v>
      </c>
      <c r="BZ364" s="71"/>
      <c r="CD364" s="20" t="e">
        <f t="shared" si="47"/>
        <v>#N/A</v>
      </c>
    </row>
    <row r="365" spans="1:82" ht="61.5" x14ac:dyDescent="0.85">
      <c r="B365" s="24" t="s">
        <v>842</v>
      </c>
      <c r="C365" s="24"/>
      <c r="D365" s="31">
        <f t="shared" ref="D365:AE365" si="60">SUM(D366:D367)</f>
        <v>9250134.5000000019</v>
      </c>
      <c r="E365" s="31">
        <f t="shared" si="60"/>
        <v>0</v>
      </c>
      <c r="F365" s="31">
        <f t="shared" si="60"/>
        <v>0</v>
      </c>
      <c r="G365" s="31">
        <f t="shared" si="60"/>
        <v>4726361.5300000012</v>
      </c>
      <c r="H365" s="31">
        <f t="shared" si="60"/>
        <v>474283.04</v>
      </c>
      <c r="I365" s="31">
        <f t="shared" si="60"/>
        <v>0</v>
      </c>
      <c r="J365" s="31">
        <f t="shared" si="60"/>
        <v>0</v>
      </c>
      <c r="K365" s="33">
        <f t="shared" si="60"/>
        <v>0</v>
      </c>
      <c r="L365" s="31">
        <f t="shared" si="60"/>
        <v>0</v>
      </c>
      <c r="M365" s="31">
        <f t="shared" si="60"/>
        <v>1241</v>
      </c>
      <c r="N365" s="31">
        <f t="shared" si="60"/>
        <v>3799713.85</v>
      </c>
      <c r="O365" s="31">
        <f t="shared" si="60"/>
        <v>0</v>
      </c>
      <c r="P365" s="31">
        <f t="shared" si="60"/>
        <v>0</v>
      </c>
      <c r="Q365" s="31">
        <f t="shared" si="60"/>
        <v>0</v>
      </c>
      <c r="R365" s="31">
        <f t="shared" si="60"/>
        <v>0</v>
      </c>
      <c r="S365" s="31">
        <f t="shared" si="60"/>
        <v>0</v>
      </c>
      <c r="T365" s="31">
        <f t="shared" si="60"/>
        <v>0</v>
      </c>
      <c r="U365" s="31">
        <f t="shared" si="60"/>
        <v>0</v>
      </c>
      <c r="V365" s="31">
        <f t="shared" si="60"/>
        <v>0</v>
      </c>
      <c r="W365" s="31">
        <f t="shared" si="60"/>
        <v>0</v>
      </c>
      <c r="X365" s="31">
        <f t="shared" si="60"/>
        <v>0</v>
      </c>
      <c r="Y365" s="31">
        <f t="shared" si="60"/>
        <v>0</v>
      </c>
      <c r="Z365" s="31">
        <f t="shared" si="60"/>
        <v>0</v>
      </c>
      <c r="AA365" s="31">
        <f t="shared" si="60"/>
        <v>0</v>
      </c>
      <c r="AB365" s="31">
        <f t="shared" si="60"/>
        <v>0</v>
      </c>
      <c r="AC365" s="31">
        <f t="shared" si="60"/>
        <v>135005.38</v>
      </c>
      <c r="AD365" s="31">
        <f t="shared" si="60"/>
        <v>114770.7</v>
      </c>
      <c r="AE365" s="31">
        <f t="shared" si="60"/>
        <v>0</v>
      </c>
      <c r="AF365" s="221" t="s">
        <v>764</v>
      </c>
      <c r="AG365" s="221" t="s">
        <v>764</v>
      </c>
      <c r="AH365" s="222" t="s">
        <v>764</v>
      </c>
      <c r="AT365" s="20" t="e">
        <f>VLOOKUP(C365,AW:AX,2,FALSE)</f>
        <v>#N/A</v>
      </c>
      <c r="BZ365" s="71">
        <v>12137858.549999999</v>
      </c>
      <c r="CB365" s="71">
        <f>BZ365-D365</f>
        <v>2887724.049999997</v>
      </c>
      <c r="CD365" s="20" t="e">
        <f t="shared" si="47"/>
        <v>#N/A</v>
      </c>
    </row>
    <row r="366" spans="1:82" ht="61.5" x14ac:dyDescent="0.85">
      <c r="A366" s="20">
        <v>1</v>
      </c>
      <c r="B366" s="66">
        <f>SUBTOTAL(103,$A$22:A366)</f>
        <v>325</v>
      </c>
      <c r="C366" s="24" t="s">
        <v>710</v>
      </c>
      <c r="D366" s="31">
        <f>E366+F366+G366+H366+I366+J366+L366+N366+P366+R366+T366+U366+V366+W366+X366+Y366+Z366+AA366+AB366+AC366+AD366+AE366</f>
        <v>3971480.2600000002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3">
        <v>0</v>
      </c>
      <c r="L366" s="31">
        <v>0</v>
      </c>
      <c r="M366" s="31">
        <v>1241</v>
      </c>
      <c r="N366" s="31">
        <f>3798474.64+1239.21</f>
        <v>3799713.85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f>ROUND(N366*1.5%,2)</f>
        <v>56995.71</v>
      </c>
      <c r="AD366" s="31">
        <v>114770.7</v>
      </c>
      <c r="AE366" s="31">
        <v>0</v>
      </c>
      <c r="AF366" s="219">
        <v>2020</v>
      </c>
      <c r="AG366" s="219">
        <v>2020</v>
      </c>
      <c r="AH366" s="220">
        <v>2020</v>
      </c>
      <c r="AT366" s="20" t="e">
        <f>VLOOKUP(C366,AW:AX,2,FALSE)</f>
        <v>#N/A</v>
      </c>
      <c r="BZ366" s="71"/>
      <c r="CD366" s="20" t="e">
        <f t="shared" si="47"/>
        <v>#N/A</v>
      </c>
    </row>
    <row r="367" spans="1:82" ht="61.5" x14ac:dyDescent="0.85">
      <c r="A367" s="20">
        <v>1</v>
      </c>
      <c r="B367" s="66">
        <f>SUBTOTAL(103,$A$22:A367)</f>
        <v>326</v>
      </c>
      <c r="C367" s="24" t="s">
        <v>1237</v>
      </c>
      <c r="D367" s="31">
        <f>E367+F367+G367+H367+I367+J367+L367+N367+P367+R367+T367+U367+V367+W367+X367+Y367+Z367+AA367+AB367+AC367+AD367+AE367</f>
        <v>5278654.2400000012</v>
      </c>
      <c r="E367" s="31">
        <v>0</v>
      </c>
      <c r="F367" s="31">
        <v>0</v>
      </c>
      <c r="G367" s="206">
        <f>1758166.01+2128230.22+ROUND(103905.18/101.5*100,2)+71149.19+456085.21+75189.03+135172.23</f>
        <v>4726361.5300000012</v>
      </c>
      <c r="H367" s="204">
        <v>474283.04</v>
      </c>
      <c r="I367" s="31">
        <v>0</v>
      </c>
      <c r="J367" s="31">
        <v>0</v>
      </c>
      <c r="K367" s="33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f>ROUND((E367+F367+G367+H367+I367+J367)*1.5%,2)</f>
        <v>78009.67</v>
      </c>
      <c r="AD367" s="31">
        <v>0</v>
      </c>
      <c r="AE367" s="31">
        <v>0</v>
      </c>
      <c r="AF367" s="219" t="s">
        <v>271</v>
      </c>
      <c r="AG367" s="219">
        <v>2020</v>
      </c>
      <c r="AH367" s="220">
        <v>2020</v>
      </c>
      <c r="BZ367" s="71"/>
      <c r="CD367" s="20" t="e">
        <f t="shared" si="47"/>
        <v>#N/A</v>
      </c>
    </row>
    <row r="368" spans="1:82" ht="61.5" x14ac:dyDescent="0.85">
      <c r="B368" s="24" t="s">
        <v>843</v>
      </c>
      <c r="C368" s="24"/>
      <c r="D368" s="31">
        <f t="shared" ref="D368:AE368" si="61">D369</f>
        <v>7261486.2599999998</v>
      </c>
      <c r="E368" s="31">
        <f t="shared" si="61"/>
        <v>0</v>
      </c>
      <c r="F368" s="31">
        <f t="shared" si="61"/>
        <v>0</v>
      </c>
      <c r="G368" s="31">
        <f t="shared" si="61"/>
        <v>0</v>
      </c>
      <c r="H368" s="31">
        <f t="shared" si="61"/>
        <v>0</v>
      </c>
      <c r="I368" s="31">
        <f t="shared" si="61"/>
        <v>0</v>
      </c>
      <c r="J368" s="31">
        <f t="shared" si="61"/>
        <v>0</v>
      </c>
      <c r="K368" s="33">
        <f t="shared" si="61"/>
        <v>0</v>
      </c>
      <c r="L368" s="31">
        <f t="shared" si="61"/>
        <v>0</v>
      </c>
      <c r="M368" s="31">
        <f t="shared" si="61"/>
        <v>552.27</v>
      </c>
      <c r="N368" s="31">
        <f t="shared" si="61"/>
        <v>3067762.84</v>
      </c>
      <c r="O368" s="31">
        <f t="shared" si="61"/>
        <v>0</v>
      </c>
      <c r="P368" s="31">
        <f t="shared" si="61"/>
        <v>0</v>
      </c>
      <c r="Q368" s="31">
        <f t="shared" si="61"/>
        <v>716.49</v>
      </c>
      <c r="R368" s="31">
        <f t="shared" si="61"/>
        <v>3965408.77</v>
      </c>
      <c r="S368" s="31">
        <f t="shared" si="61"/>
        <v>0</v>
      </c>
      <c r="T368" s="31">
        <f t="shared" si="61"/>
        <v>0</v>
      </c>
      <c r="U368" s="31">
        <f t="shared" si="61"/>
        <v>0</v>
      </c>
      <c r="V368" s="31">
        <f t="shared" si="61"/>
        <v>0</v>
      </c>
      <c r="W368" s="31">
        <f t="shared" si="61"/>
        <v>0</v>
      </c>
      <c r="X368" s="31">
        <f t="shared" si="61"/>
        <v>0</v>
      </c>
      <c r="Y368" s="31">
        <f t="shared" si="61"/>
        <v>0</v>
      </c>
      <c r="Z368" s="31">
        <f t="shared" si="61"/>
        <v>0</v>
      </c>
      <c r="AA368" s="31">
        <f t="shared" si="61"/>
        <v>0</v>
      </c>
      <c r="AB368" s="31">
        <f t="shared" si="61"/>
        <v>0</v>
      </c>
      <c r="AC368" s="31">
        <f t="shared" si="61"/>
        <v>105497.57</v>
      </c>
      <c r="AD368" s="31">
        <f t="shared" si="61"/>
        <v>122817.08</v>
      </c>
      <c r="AE368" s="31">
        <f t="shared" si="61"/>
        <v>0</v>
      </c>
      <c r="AF368" s="221" t="s">
        <v>764</v>
      </c>
      <c r="AG368" s="221" t="s">
        <v>764</v>
      </c>
      <c r="AH368" s="222" t="s">
        <v>764</v>
      </c>
      <c r="AT368" s="20" t="e">
        <f t="shared" ref="AT368:AT377" si="62">VLOOKUP(C368,AW:AX,2,FALSE)</f>
        <v>#N/A</v>
      </c>
      <c r="BZ368" s="71">
        <v>5698132.5200000005</v>
      </c>
      <c r="CD368" s="20" t="e">
        <f t="shared" si="47"/>
        <v>#N/A</v>
      </c>
    </row>
    <row r="369" spans="1:82" ht="61.5" x14ac:dyDescent="0.85">
      <c r="A369" s="20">
        <v>1</v>
      </c>
      <c r="B369" s="66">
        <f>SUBTOTAL(103,$A$22:A369)</f>
        <v>327</v>
      </c>
      <c r="C369" s="24" t="s">
        <v>808</v>
      </c>
      <c r="D369" s="31">
        <f>E369+F369+G369+H369+I369+J369+L369+N369+P369+R369+T369+U369+V369+W369+X369+Y369+Z369+AA369+AB369+AC369+AD369+AE369</f>
        <v>7261486.2599999998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3">
        <v>0</v>
      </c>
      <c r="L369" s="31">
        <v>0</v>
      </c>
      <c r="M369" s="207">
        <v>552.27</v>
      </c>
      <c r="N369" s="207">
        <v>3067762.84</v>
      </c>
      <c r="O369" s="31">
        <v>0</v>
      </c>
      <c r="P369" s="31">
        <v>0</v>
      </c>
      <c r="Q369" s="207">
        <v>716.49</v>
      </c>
      <c r="R369" s="207">
        <v>3965408.77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f>ROUND((N369+R369)*1.5%,2)</f>
        <v>105497.57</v>
      </c>
      <c r="AD369" s="204">
        <v>122817.08</v>
      </c>
      <c r="AE369" s="31">
        <v>0</v>
      </c>
      <c r="AF369" s="219">
        <v>2020</v>
      </c>
      <c r="AG369" s="219">
        <v>2020</v>
      </c>
      <c r="AH369" s="220">
        <v>2020</v>
      </c>
      <c r="AT369" s="20" t="e">
        <f t="shared" si="62"/>
        <v>#N/A</v>
      </c>
      <c r="BZ369" s="71"/>
      <c r="CD369" s="20" t="e">
        <f t="shared" si="47"/>
        <v>#N/A</v>
      </c>
    </row>
    <row r="370" spans="1:82" ht="61.5" x14ac:dyDescent="0.85">
      <c r="B370" s="24" t="s">
        <v>844</v>
      </c>
      <c r="C370" s="114"/>
      <c r="D370" s="31">
        <f>SUM(D371:D385)</f>
        <v>51632572.710000001</v>
      </c>
      <c r="E370" s="31">
        <f t="shared" ref="E370:AE370" si="63">SUM(E371:E385)</f>
        <v>598640.67999999993</v>
      </c>
      <c r="F370" s="31">
        <f t="shared" si="63"/>
        <v>0</v>
      </c>
      <c r="G370" s="31">
        <f t="shared" si="63"/>
        <v>2312364.87</v>
      </c>
      <c r="H370" s="31">
        <f t="shared" si="63"/>
        <v>629225.18000000005</v>
      </c>
      <c r="I370" s="31">
        <f t="shared" si="63"/>
        <v>0</v>
      </c>
      <c r="J370" s="31">
        <f t="shared" si="63"/>
        <v>0</v>
      </c>
      <c r="K370" s="33">
        <f t="shared" si="63"/>
        <v>0</v>
      </c>
      <c r="L370" s="31">
        <f t="shared" si="63"/>
        <v>0</v>
      </c>
      <c r="M370" s="31">
        <f t="shared" si="63"/>
        <v>9831.77</v>
      </c>
      <c r="N370" s="31">
        <f t="shared" si="63"/>
        <v>41080519.979999997</v>
      </c>
      <c r="O370" s="31">
        <f t="shared" si="63"/>
        <v>0</v>
      </c>
      <c r="P370" s="31">
        <f t="shared" si="63"/>
        <v>0</v>
      </c>
      <c r="Q370" s="31">
        <f t="shared" si="63"/>
        <v>2836.8</v>
      </c>
      <c r="R370" s="31">
        <f t="shared" si="63"/>
        <v>5956067.04</v>
      </c>
      <c r="S370" s="31">
        <f t="shared" si="63"/>
        <v>0</v>
      </c>
      <c r="T370" s="31">
        <f t="shared" si="63"/>
        <v>0</v>
      </c>
      <c r="U370" s="31">
        <f t="shared" si="63"/>
        <v>0</v>
      </c>
      <c r="V370" s="31">
        <f t="shared" si="63"/>
        <v>0</v>
      </c>
      <c r="W370" s="31">
        <f t="shared" si="63"/>
        <v>0</v>
      </c>
      <c r="X370" s="31">
        <f t="shared" si="63"/>
        <v>0</v>
      </c>
      <c r="Y370" s="31">
        <f t="shared" si="63"/>
        <v>0</v>
      </c>
      <c r="Z370" s="31">
        <f t="shared" si="63"/>
        <v>0</v>
      </c>
      <c r="AA370" s="31">
        <f t="shared" si="63"/>
        <v>0</v>
      </c>
      <c r="AB370" s="31">
        <f t="shared" si="63"/>
        <v>0</v>
      </c>
      <c r="AC370" s="31">
        <f t="shared" si="63"/>
        <v>758652.26</v>
      </c>
      <c r="AD370" s="31">
        <f t="shared" si="63"/>
        <v>297102.7</v>
      </c>
      <c r="AE370" s="31">
        <f t="shared" si="63"/>
        <v>0</v>
      </c>
      <c r="AF370" s="221" t="s">
        <v>764</v>
      </c>
      <c r="AG370" s="221" t="s">
        <v>764</v>
      </c>
      <c r="AH370" s="222" t="s">
        <v>764</v>
      </c>
      <c r="AT370" s="20" t="e">
        <f t="shared" si="62"/>
        <v>#N/A</v>
      </c>
      <c r="AV370" s="20">
        <v>20654065.649999999</v>
      </c>
      <c r="AW370" s="71">
        <f>AV370-D370</f>
        <v>-30978507.060000002</v>
      </c>
      <c r="BZ370" s="31">
        <v>56051993.530000009</v>
      </c>
      <c r="CA370" s="31"/>
      <c r="CB370" s="31">
        <f>BZ370-D370</f>
        <v>4419420.8200000077</v>
      </c>
      <c r="CD370" s="20" t="e">
        <f t="shared" si="47"/>
        <v>#N/A</v>
      </c>
    </row>
    <row r="371" spans="1:82" ht="61.5" x14ac:dyDescent="0.85">
      <c r="A371" s="20">
        <v>1</v>
      </c>
      <c r="B371" s="66">
        <f>SUBTOTAL(103,$A$22:A371)</f>
        <v>328</v>
      </c>
      <c r="C371" s="24" t="s">
        <v>114</v>
      </c>
      <c r="D371" s="31">
        <f t="shared" ref="D371:D385" si="64">E371+F371+G371+H371+I371+J371+L371+N371+P371+R371+T371+U371+V371+W371+X371+Y371+Z371+AA371+AB371+AC371+AD371+AE371</f>
        <v>54256.44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3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f t="shared" ref="AC371:AC376" si="65">ROUND(N371*1.5%,2)</f>
        <v>0</v>
      </c>
      <c r="AD371" s="204">
        <v>54256.44</v>
      </c>
      <c r="AE371" s="31">
        <v>0</v>
      </c>
      <c r="AF371" s="219">
        <v>2020</v>
      </c>
      <c r="AG371" s="219" t="s">
        <v>271</v>
      </c>
      <c r="AH371" s="219" t="s">
        <v>271</v>
      </c>
      <c r="AT371" s="20" t="e">
        <f t="shared" si="62"/>
        <v>#N/A</v>
      </c>
      <c r="BZ371" s="71"/>
      <c r="CD371" s="20" t="e">
        <f t="shared" si="47"/>
        <v>#N/A</v>
      </c>
    </row>
    <row r="372" spans="1:82" ht="61.5" x14ac:dyDescent="0.85">
      <c r="A372" s="20">
        <v>1</v>
      </c>
      <c r="B372" s="66">
        <f>SUBTOTAL(103,$A$22:A372)</f>
        <v>329</v>
      </c>
      <c r="C372" s="24" t="s">
        <v>117</v>
      </c>
      <c r="D372" s="31">
        <f t="shared" si="64"/>
        <v>3010935.87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3">
        <v>0</v>
      </c>
      <c r="L372" s="31">
        <v>0</v>
      </c>
      <c r="M372" s="210">
        <v>623</v>
      </c>
      <c r="N372" s="31">
        <v>2912807.88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f t="shared" si="65"/>
        <v>43692.12</v>
      </c>
      <c r="AD372" s="204">
        <v>54435.87</v>
      </c>
      <c r="AE372" s="31">
        <v>0</v>
      </c>
      <c r="AF372" s="219">
        <v>2020</v>
      </c>
      <c r="AG372" s="219">
        <v>2020</v>
      </c>
      <c r="AH372" s="220">
        <v>2020</v>
      </c>
      <c r="AT372" s="20" t="e">
        <f t="shared" si="62"/>
        <v>#N/A</v>
      </c>
      <c r="BZ372" s="71"/>
      <c r="CD372" s="20" t="e">
        <f t="shared" si="47"/>
        <v>#N/A</v>
      </c>
    </row>
    <row r="373" spans="1:82" ht="61.5" x14ac:dyDescent="0.85">
      <c r="A373" s="20">
        <v>1</v>
      </c>
      <c r="B373" s="66">
        <f>SUBTOTAL(103,$A$22:A373)</f>
        <v>330</v>
      </c>
      <c r="C373" s="24" t="s">
        <v>113</v>
      </c>
      <c r="D373" s="31">
        <f t="shared" si="64"/>
        <v>1749076.41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3">
        <v>0</v>
      </c>
      <c r="L373" s="31">
        <v>0</v>
      </c>
      <c r="M373" s="210">
        <v>340</v>
      </c>
      <c r="N373" s="210">
        <v>1683420.22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f t="shared" si="65"/>
        <v>25251.3</v>
      </c>
      <c r="AD373" s="204">
        <v>40404.89</v>
      </c>
      <c r="AE373" s="31">
        <v>0</v>
      </c>
      <c r="AF373" s="219">
        <v>2020</v>
      </c>
      <c r="AG373" s="219">
        <v>2020</v>
      </c>
      <c r="AH373" s="220">
        <v>2020</v>
      </c>
      <c r="AT373" s="20" t="e">
        <f t="shared" si="62"/>
        <v>#N/A</v>
      </c>
      <c r="BZ373" s="71"/>
      <c r="CD373" s="20" t="e">
        <f t="shared" si="47"/>
        <v>#N/A</v>
      </c>
    </row>
    <row r="374" spans="1:82" ht="61.5" x14ac:dyDescent="0.85">
      <c r="A374" s="20">
        <v>1</v>
      </c>
      <c r="B374" s="66">
        <f>SUBTOTAL(103,$A$22:A374)</f>
        <v>331</v>
      </c>
      <c r="C374" s="24" t="s">
        <v>115</v>
      </c>
      <c r="D374" s="31">
        <f t="shared" si="64"/>
        <v>4597872.8600000003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3">
        <v>0</v>
      </c>
      <c r="L374" s="31">
        <v>0</v>
      </c>
      <c r="M374" s="31">
        <v>1235.5</v>
      </c>
      <c r="N374" s="31">
        <v>4529924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f t="shared" si="65"/>
        <v>67948.86</v>
      </c>
      <c r="AD374" s="31">
        <v>0</v>
      </c>
      <c r="AE374" s="31">
        <v>0</v>
      </c>
      <c r="AF374" s="219" t="s">
        <v>271</v>
      </c>
      <c r="AG374" s="219">
        <v>2020</v>
      </c>
      <c r="AH374" s="220">
        <v>2020</v>
      </c>
      <c r="AT374" s="20" t="e">
        <f t="shared" si="62"/>
        <v>#N/A</v>
      </c>
      <c r="BZ374" s="71"/>
      <c r="CD374" s="20">
        <f t="shared" si="47"/>
        <v>1256.9000000000001</v>
      </c>
    </row>
    <row r="375" spans="1:82" ht="61.5" x14ac:dyDescent="0.85">
      <c r="A375" s="20">
        <v>1</v>
      </c>
      <c r="B375" s="66">
        <f>SUBTOTAL(103,$A$22:A375)</f>
        <v>332</v>
      </c>
      <c r="C375" s="24" t="s">
        <v>116</v>
      </c>
      <c r="D375" s="31">
        <f t="shared" si="64"/>
        <v>5471426.4999999991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3">
        <v>0</v>
      </c>
      <c r="L375" s="31">
        <v>0</v>
      </c>
      <c r="M375" s="215">
        <v>1109.18</v>
      </c>
      <c r="N375" s="31">
        <f>5467345.05-76777.07</f>
        <v>5390567.9799999995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f t="shared" si="65"/>
        <v>80858.52</v>
      </c>
      <c r="AD375" s="31">
        <v>0</v>
      </c>
      <c r="AE375" s="31">
        <v>0</v>
      </c>
      <c r="AF375" s="219" t="s">
        <v>271</v>
      </c>
      <c r="AG375" s="219">
        <v>2020</v>
      </c>
      <c r="AH375" s="220">
        <v>2020</v>
      </c>
      <c r="AT375" s="20" t="e">
        <f t="shared" si="62"/>
        <v>#N/A</v>
      </c>
      <c r="BZ375" s="71"/>
      <c r="CD375" s="20">
        <f t="shared" ref="CD375:CD438" si="66">VLOOKUP(C375,CE:CF,2,FALSE)</f>
        <v>1151</v>
      </c>
    </row>
    <row r="376" spans="1:82" ht="61.5" x14ac:dyDescent="0.85">
      <c r="A376" s="20">
        <v>1</v>
      </c>
      <c r="B376" s="66">
        <f>SUBTOTAL(103,$A$22:A376)</f>
        <v>333</v>
      </c>
      <c r="C376" s="24" t="s">
        <v>118</v>
      </c>
      <c r="D376" s="31">
        <f t="shared" si="64"/>
        <v>3452645.31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3">
        <v>0</v>
      </c>
      <c r="L376" s="31">
        <v>0</v>
      </c>
      <c r="M376" s="210">
        <v>635</v>
      </c>
      <c r="N376" s="210">
        <v>3347864.86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f t="shared" si="65"/>
        <v>50217.97</v>
      </c>
      <c r="AD376" s="204">
        <v>54562.48</v>
      </c>
      <c r="AE376" s="31">
        <v>0</v>
      </c>
      <c r="AF376" s="219">
        <v>2020</v>
      </c>
      <c r="AG376" s="219">
        <v>2020</v>
      </c>
      <c r="AH376" s="220">
        <v>2020</v>
      </c>
      <c r="AT376" s="20" t="e">
        <f t="shared" si="62"/>
        <v>#N/A</v>
      </c>
      <c r="BZ376" s="71"/>
      <c r="CD376" s="20" t="e">
        <f t="shared" si="66"/>
        <v>#N/A</v>
      </c>
    </row>
    <row r="377" spans="1:82" ht="61.5" x14ac:dyDescent="0.85">
      <c r="A377" s="20">
        <v>1</v>
      </c>
      <c r="B377" s="66">
        <f>SUBTOTAL(103,$A$22:A377)</f>
        <v>334</v>
      </c>
      <c r="C377" s="24" t="s">
        <v>119</v>
      </c>
      <c r="D377" s="31">
        <f t="shared" si="64"/>
        <v>2197982.44</v>
      </c>
      <c r="E377" s="31">
        <v>427797.72</v>
      </c>
      <c r="F377" s="31">
        <v>0</v>
      </c>
      <c r="G377" s="31">
        <v>1321402.94</v>
      </c>
      <c r="H377" s="31">
        <v>416299.28</v>
      </c>
      <c r="I377" s="31">
        <v>0</v>
      </c>
      <c r="J377" s="31">
        <v>0</v>
      </c>
      <c r="K377" s="33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f>ROUND((E377+F377+G377+H377+I377+J377)*1.5%,2)</f>
        <v>32482.5</v>
      </c>
      <c r="AD377" s="31">
        <v>0</v>
      </c>
      <c r="AE377" s="31">
        <v>0</v>
      </c>
      <c r="AF377" s="219" t="s">
        <v>271</v>
      </c>
      <c r="AG377" s="219">
        <v>2020</v>
      </c>
      <c r="AH377" s="220">
        <v>2020</v>
      </c>
      <c r="AT377" s="20" t="e">
        <f t="shared" si="62"/>
        <v>#N/A</v>
      </c>
      <c r="BZ377" s="71"/>
      <c r="CD377" s="20" t="e">
        <f t="shared" si="66"/>
        <v>#N/A</v>
      </c>
    </row>
    <row r="378" spans="1:82" ht="61.5" x14ac:dyDescent="0.85">
      <c r="A378" s="20">
        <v>1</v>
      </c>
      <c r="B378" s="66">
        <f>SUBTOTAL(103,$A$22:A378)</f>
        <v>335</v>
      </c>
      <c r="C378" s="24" t="s">
        <v>1238</v>
      </c>
      <c r="D378" s="31">
        <f t="shared" si="64"/>
        <v>6045408.0499999998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3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2836.8</v>
      </c>
      <c r="R378" s="31">
        <f>5944683.98+11383.06</f>
        <v>5956067.04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f>ROUND(R378*1.5%,2)</f>
        <v>89341.01</v>
      </c>
      <c r="AD378" s="31">
        <v>0</v>
      </c>
      <c r="AE378" s="31">
        <v>0</v>
      </c>
      <c r="AF378" s="219" t="s">
        <v>271</v>
      </c>
      <c r="AG378" s="219">
        <v>2020</v>
      </c>
      <c r="AH378" s="220">
        <v>2020</v>
      </c>
      <c r="BZ378" s="71"/>
      <c r="CD378" s="20" t="e">
        <f t="shared" si="66"/>
        <v>#N/A</v>
      </c>
    </row>
    <row r="379" spans="1:82" ht="61.5" x14ac:dyDescent="0.85">
      <c r="A379" s="20">
        <v>1</v>
      </c>
      <c r="B379" s="66">
        <f>SUBTOTAL(103,$A$22:A379)</f>
        <v>336</v>
      </c>
      <c r="C379" s="24" t="s">
        <v>1239</v>
      </c>
      <c r="D379" s="31">
        <f t="shared" si="64"/>
        <v>4137465.72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3">
        <v>0</v>
      </c>
      <c r="L379" s="31">
        <v>0</v>
      </c>
      <c r="M379" s="31">
        <v>1159.3699999999999</v>
      </c>
      <c r="N379" s="31">
        <v>4076320.91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f>ROUND(N379*1.5%,2)</f>
        <v>61144.81</v>
      </c>
      <c r="AD379" s="31">
        <v>0</v>
      </c>
      <c r="AE379" s="31">
        <v>0</v>
      </c>
      <c r="AF379" s="219" t="s">
        <v>271</v>
      </c>
      <c r="AG379" s="219">
        <v>2020</v>
      </c>
      <c r="AH379" s="220">
        <v>2020</v>
      </c>
      <c r="BZ379" s="71"/>
      <c r="CD379" s="20">
        <f t="shared" si="66"/>
        <v>1150.3</v>
      </c>
    </row>
    <row r="380" spans="1:82" ht="61.5" x14ac:dyDescent="0.85">
      <c r="A380" s="20">
        <v>1</v>
      </c>
      <c r="B380" s="66">
        <f>SUBTOTAL(103,$A$22:A380)</f>
        <v>337</v>
      </c>
      <c r="C380" s="24" t="s">
        <v>1240</v>
      </c>
      <c r="D380" s="31">
        <f t="shared" si="64"/>
        <v>2786924.03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3">
        <v>0</v>
      </c>
      <c r="L380" s="31">
        <v>0</v>
      </c>
      <c r="M380" s="31">
        <v>763.8</v>
      </c>
      <c r="N380" s="204">
        <v>2745737.96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f>ROUND(N380*1.5%,2)</f>
        <v>41186.07</v>
      </c>
      <c r="AD380" s="31">
        <v>0</v>
      </c>
      <c r="AE380" s="31">
        <v>0</v>
      </c>
      <c r="AF380" s="219" t="s">
        <v>271</v>
      </c>
      <c r="AG380" s="219">
        <v>2020</v>
      </c>
      <c r="AH380" s="220">
        <v>2020</v>
      </c>
      <c r="BZ380" s="71"/>
      <c r="CD380" s="20">
        <f t="shared" si="66"/>
        <v>763.8</v>
      </c>
    </row>
    <row r="381" spans="1:82" ht="61.5" x14ac:dyDescent="0.85">
      <c r="A381" s="20">
        <v>1</v>
      </c>
      <c r="B381" s="66">
        <f>SUBTOTAL(103,$A$22:A381)</f>
        <v>338</v>
      </c>
      <c r="C381" s="24" t="s">
        <v>1241</v>
      </c>
      <c r="D381" s="31">
        <f t="shared" si="64"/>
        <v>1749879.69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3">
        <v>0</v>
      </c>
      <c r="L381" s="31">
        <v>0</v>
      </c>
      <c r="M381" s="31">
        <v>456.6</v>
      </c>
      <c r="N381" s="31">
        <v>1724019.4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f>ROUND(N381*1.5%,2)</f>
        <v>25860.29</v>
      </c>
      <c r="AD381" s="31">
        <v>0</v>
      </c>
      <c r="AE381" s="31">
        <v>0</v>
      </c>
      <c r="AF381" s="219" t="s">
        <v>271</v>
      </c>
      <c r="AG381" s="219">
        <v>2020</v>
      </c>
      <c r="AH381" s="220">
        <v>2020</v>
      </c>
      <c r="BZ381" s="71"/>
      <c r="CD381" s="20">
        <f t="shared" si="66"/>
        <v>461.1</v>
      </c>
    </row>
    <row r="382" spans="1:82" ht="61.5" x14ac:dyDescent="0.85">
      <c r="A382" s="20">
        <v>1</v>
      </c>
      <c r="B382" s="66">
        <f>SUBTOTAL(103,$A$22:A382)</f>
        <v>339</v>
      </c>
      <c r="C382" s="24" t="s">
        <v>1242</v>
      </c>
      <c r="D382" s="31">
        <f t="shared" si="64"/>
        <v>1395351.75</v>
      </c>
      <c r="E382" s="31">
        <v>170842.96</v>
      </c>
      <c r="F382" s="31">
        <v>0</v>
      </c>
      <c r="G382" s="31">
        <v>990961.93</v>
      </c>
      <c r="H382" s="31">
        <v>212925.9</v>
      </c>
      <c r="I382" s="31">
        <v>0</v>
      </c>
      <c r="J382" s="31">
        <v>0</v>
      </c>
      <c r="K382" s="33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0</v>
      </c>
      <c r="AA382" s="31">
        <v>0</v>
      </c>
      <c r="AB382" s="31">
        <v>0</v>
      </c>
      <c r="AC382" s="31">
        <f>ROUND((E382+F382+G382+H382+I382+J382)*1.5%,2)</f>
        <v>20620.96</v>
      </c>
      <c r="AD382" s="31">
        <v>0</v>
      </c>
      <c r="AE382" s="31">
        <v>0</v>
      </c>
      <c r="AF382" s="219" t="s">
        <v>271</v>
      </c>
      <c r="AG382" s="219">
        <v>2020</v>
      </c>
      <c r="AH382" s="220">
        <v>2020</v>
      </c>
      <c r="BZ382" s="71"/>
      <c r="CD382" s="20" t="e">
        <f t="shared" si="66"/>
        <v>#N/A</v>
      </c>
    </row>
    <row r="383" spans="1:82" ht="61.5" x14ac:dyDescent="0.85">
      <c r="A383" s="20">
        <v>1</v>
      </c>
      <c r="B383" s="66">
        <f>SUBTOTAL(103,$A$22:A383)</f>
        <v>340</v>
      </c>
      <c r="C383" s="24" t="s">
        <v>1243</v>
      </c>
      <c r="D383" s="31">
        <f t="shared" si="64"/>
        <v>5506257.7399999993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3">
        <v>0</v>
      </c>
      <c r="L383" s="31">
        <v>0</v>
      </c>
      <c r="M383" s="31">
        <v>1528.9</v>
      </c>
      <c r="N383" s="31">
        <v>5424884.4699999997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f>ROUND(N383*1.5%,2)</f>
        <v>81373.27</v>
      </c>
      <c r="AD383" s="31">
        <v>0</v>
      </c>
      <c r="AE383" s="31">
        <v>0</v>
      </c>
      <c r="AF383" s="219" t="s">
        <v>271</v>
      </c>
      <c r="AG383" s="219">
        <v>2020</v>
      </c>
      <c r="AH383" s="220">
        <v>2020</v>
      </c>
      <c r="BZ383" s="71"/>
      <c r="CD383" s="20">
        <f t="shared" si="66"/>
        <v>1528.9</v>
      </c>
    </row>
    <row r="384" spans="1:82" ht="61.5" x14ac:dyDescent="0.85">
      <c r="A384" s="20">
        <v>1</v>
      </c>
      <c r="B384" s="66">
        <f>SUBTOTAL(103,$A$22:A384)</f>
        <v>341</v>
      </c>
      <c r="C384" s="24" t="s">
        <v>1579</v>
      </c>
      <c r="D384" s="31">
        <f t="shared" si="64"/>
        <v>4498868.8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3">
        <v>0</v>
      </c>
      <c r="L384" s="31">
        <v>0</v>
      </c>
      <c r="M384" s="31">
        <v>870</v>
      </c>
      <c r="N384" s="31">
        <f>4328045.32+12275.65</f>
        <v>4340320.9700000007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f>ROUND(N384*1.5%,2)</f>
        <v>65104.81</v>
      </c>
      <c r="AD384" s="337">
        <v>93443.02</v>
      </c>
      <c r="AE384" s="31">
        <v>0</v>
      </c>
      <c r="AF384" s="219">
        <v>2020</v>
      </c>
      <c r="AG384" s="219">
        <v>2020</v>
      </c>
      <c r="AH384" s="220">
        <v>2020</v>
      </c>
      <c r="BZ384" s="71"/>
      <c r="CD384" s="20">
        <f t="shared" si="66"/>
        <v>870</v>
      </c>
    </row>
    <row r="385" spans="1:82" ht="61.5" x14ac:dyDescent="0.85">
      <c r="A385" s="20">
        <v>1</v>
      </c>
      <c r="B385" s="66">
        <f>SUBTOTAL(103,$A$22:A385)</f>
        <v>342</v>
      </c>
      <c r="C385" s="156" t="s">
        <v>135</v>
      </c>
      <c r="D385" s="31">
        <f t="shared" si="64"/>
        <v>4978221.0999999996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3">
        <v>0</v>
      </c>
      <c r="L385" s="31">
        <v>0</v>
      </c>
      <c r="M385" s="215">
        <v>1110.42</v>
      </c>
      <c r="N385" s="31">
        <v>4904651.33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f>ROUND(N385*1.5%,2)</f>
        <v>73569.77</v>
      </c>
      <c r="AD385" s="31">
        <v>0</v>
      </c>
      <c r="AE385" s="31">
        <v>0</v>
      </c>
      <c r="AF385" s="219" t="s">
        <v>271</v>
      </c>
      <c r="AG385" s="219">
        <v>2020</v>
      </c>
      <c r="AH385" s="220">
        <v>2020</v>
      </c>
      <c r="BZ385" s="71"/>
      <c r="CD385" s="20">
        <f t="shared" si="66"/>
        <v>1229.9000000000001</v>
      </c>
    </row>
    <row r="386" spans="1:82" ht="61.5" x14ac:dyDescent="0.85">
      <c r="B386" s="24" t="s">
        <v>845</v>
      </c>
      <c r="C386" s="24"/>
      <c r="D386" s="31">
        <f>D387+D388</f>
        <v>2913286.51</v>
      </c>
      <c r="E386" s="31">
        <f t="shared" ref="E386:AE386" si="67">E387+E388</f>
        <v>120832.23</v>
      </c>
      <c r="F386" s="31">
        <f t="shared" si="67"/>
        <v>0</v>
      </c>
      <c r="G386" s="31">
        <f t="shared" si="67"/>
        <v>0</v>
      </c>
      <c r="H386" s="31">
        <f t="shared" si="67"/>
        <v>109660.45000000001</v>
      </c>
      <c r="I386" s="31">
        <f t="shared" si="67"/>
        <v>295538.62</v>
      </c>
      <c r="J386" s="31">
        <f t="shared" si="67"/>
        <v>0</v>
      </c>
      <c r="K386" s="33">
        <f t="shared" si="67"/>
        <v>0</v>
      </c>
      <c r="L386" s="31">
        <f t="shared" si="67"/>
        <v>0</v>
      </c>
      <c r="M386" s="31">
        <f t="shared" si="67"/>
        <v>541.1</v>
      </c>
      <c r="N386" s="31">
        <f t="shared" si="67"/>
        <v>2344240.58</v>
      </c>
      <c r="O386" s="31">
        <f t="shared" si="67"/>
        <v>0</v>
      </c>
      <c r="P386" s="31">
        <f t="shared" si="67"/>
        <v>0</v>
      </c>
      <c r="Q386" s="31">
        <f t="shared" si="67"/>
        <v>0</v>
      </c>
      <c r="R386" s="31">
        <f t="shared" si="67"/>
        <v>0</v>
      </c>
      <c r="S386" s="31">
        <f t="shared" si="67"/>
        <v>0</v>
      </c>
      <c r="T386" s="31">
        <f t="shared" si="67"/>
        <v>0</v>
      </c>
      <c r="U386" s="31">
        <f t="shared" si="67"/>
        <v>0</v>
      </c>
      <c r="V386" s="31">
        <f t="shared" si="67"/>
        <v>0</v>
      </c>
      <c r="W386" s="31">
        <f t="shared" si="67"/>
        <v>0</v>
      </c>
      <c r="X386" s="31">
        <f t="shared" si="67"/>
        <v>0</v>
      </c>
      <c r="Y386" s="31">
        <f t="shared" si="67"/>
        <v>0</v>
      </c>
      <c r="Z386" s="31">
        <f t="shared" si="67"/>
        <v>0</v>
      </c>
      <c r="AA386" s="31">
        <f t="shared" si="67"/>
        <v>0</v>
      </c>
      <c r="AB386" s="31">
        <f t="shared" si="67"/>
        <v>0</v>
      </c>
      <c r="AC386" s="31">
        <f t="shared" si="67"/>
        <v>43014.630000000005</v>
      </c>
      <c r="AD386" s="31">
        <f t="shared" si="67"/>
        <v>0</v>
      </c>
      <c r="AE386" s="31">
        <f t="shared" si="67"/>
        <v>0</v>
      </c>
      <c r="AF386" s="221" t="s">
        <v>764</v>
      </c>
      <c r="AG386" s="221" t="s">
        <v>764</v>
      </c>
      <c r="AH386" s="222" t="s">
        <v>764</v>
      </c>
      <c r="AT386" s="20" t="e">
        <f>VLOOKUP(C386,AW:AX,2,FALSE)</f>
        <v>#N/A</v>
      </c>
      <c r="BZ386" s="31">
        <v>2913286.51</v>
      </c>
      <c r="CA386" s="31"/>
      <c r="CB386" s="31">
        <f>BZ386-D386</f>
        <v>0</v>
      </c>
      <c r="CD386" s="20" t="e">
        <f t="shared" si="66"/>
        <v>#N/A</v>
      </c>
    </row>
    <row r="387" spans="1:82" ht="61.5" x14ac:dyDescent="0.85">
      <c r="A387" s="20">
        <v>1</v>
      </c>
      <c r="B387" s="66">
        <f>SUBTOTAL(103,$A$22:A387)</f>
        <v>343</v>
      </c>
      <c r="C387" s="24" t="s">
        <v>120</v>
      </c>
      <c r="D387" s="31">
        <f>E387+F387+G387+H387+I387+J387+L387+N387+P387+R387+T387+U387+V387+W387+X387+Y387+Z387+AA387+AB387+AC387+AD387+AE387</f>
        <v>2379404.19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3">
        <v>0</v>
      </c>
      <c r="L387" s="31">
        <v>0</v>
      </c>
      <c r="M387" s="31">
        <v>541.1</v>
      </c>
      <c r="N387" s="31">
        <v>2344240.58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f>ROUND(N387*1.5%,2)</f>
        <v>35163.61</v>
      </c>
      <c r="AD387" s="31">
        <v>0</v>
      </c>
      <c r="AE387" s="31">
        <v>0</v>
      </c>
      <c r="AF387" s="219" t="s">
        <v>271</v>
      </c>
      <c r="AG387" s="219">
        <v>2020</v>
      </c>
      <c r="AH387" s="220">
        <v>2020</v>
      </c>
      <c r="AT387" s="20" t="e">
        <f>VLOOKUP(C387,AW:AX,2,FALSE)</f>
        <v>#N/A</v>
      </c>
      <c r="BZ387" s="71"/>
      <c r="CD387" s="20">
        <f t="shared" si="66"/>
        <v>541.1</v>
      </c>
    </row>
    <row r="388" spans="1:82" ht="61.5" x14ac:dyDescent="0.85">
      <c r="A388" s="20">
        <v>1</v>
      </c>
      <c r="B388" s="66">
        <f>SUBTOTAL(103,$A$22:A388)</f>
        <v>344</v>
      </c>
      <c r="C388" s="24" t="s">
        <v>1244</v>
      </c>
      <c r="D388" s="31">
        <f>E388+F388+G388+H388+I388+J388+L388+N388+P388+R388+T388+U388+V388+W388+X388+Y388+Z388+AA388+AB388+AC388+AD388+AE388</f>
        <v>533882.32000000007</v>
      </c>
      <c r="E388" s="31">
        <v>120832.23</v>
      </c>
      <c r="F388" s="31">
        <v>0</v>
      </c>
      <c r="G388" s="31">
        <v>0</v>
      </c>
      <c r="H388" s="31">
        <f>47331.59+62324.26+4.6</f>
        <v>109660.45000000001</v>
      </c>
      <c r="I388" s="31">
        <v>295538.62</v>
      </c>
      <c r="J388" s="31">
        <v>0</v>
      </c>
      <c r="K388" s="33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f>ROUND((E388+F388+G388+H388+I388+J388)*1.4925%,2)</f>
        <v>7851.02</v>
      </c>
      <c r="AD388" s="31">
        <v>0</v>
      </c>
      <c r="AE388" s="31">
        <v>0</v>
      </c>
      <c r="AF388" s="219" t="s">
        <v>271</v>
      </c>
      <c r="AG388" s="219">
        <v>2020</v>
      </c>
      <c r="AH388" s="220">
        <v>2020</v>
      </c>
      <c r="BZ388" s="71"/>
      <c r="CD388" s="20" t="e">
        <f t="shared" si="66"/>
        <v>#N/A</v>
      </c>
    </row>
    <row r="389" spans="1:82" ht="61.5" x14ac:dyDescent="0.85">
      <c r="B389" s="24" t="s">
        <v>904</v>
      </c>
      <c r="C389" s="24"/>
      <c r="D389" s="31">
        <f t="shared" ref="D389:AE389" si="68">D390</f>
        <v>2727875.44</v>
      </c>
      <c r="E389" s="31">
        <f t="shared" si="68"/>
        <v>0</v>
      </c>
      <c r="F389" s="31">
        <f t="shared" si="68"/>
        <v>0</v>
      </c>
      <c r="G389" s="31">
        <f t="shared" si="68"/>
        <v>0</v>
      </c>
      <c r="H389" s="31">
        <f t="shared" si="68"/>
        <v>0</v>
      </c>
      <c r="I389" s="31">
        <f t="shared" si="68"/>
        <v>0</v>
      </c>
      <c r="J389" s="31">
        <f t="shared" si="68"/>
        <v>0</v>
      </c>
      <c r="K389" s="33">
        <f t="shared" si="68"/>
        <v>0</v>
      </c>
      <c r="L389" s="31">
        <f t="shared" si="68"/>
        <v>0</v>
      </c>
      <c r="M389" s="31">
        <f t="shared" si="68"/>
        <v>313.10000000000002</v>
      </c>
      <c r="N389" s="31">
        <f t="shared" si="68"/>
        <v>1467770.01</v>
      </c>
      <c r="O389" s="31">
        <f t="shared" si="68"/>
        <v>0</v>
      </c>
      <c r="P389" s="31">
        <f t="shared" si="68"/>
        <v>0</v>
      </c>
      <c r="Q389" s="31">
        <f t="shared" si="68"/>
        <v>400.6</v>
      </c>
      <c r="R389" s="31">
        <f t="shared" si="68"/>
        <v>1219792</v>
      </c>
      <c r="S389" s="31">
        <f t="shared" si="68"/>
        <v>0</v>
      </c>
      <c r="T389" s="31">
        <f t="shared" si="68"/>
        <v>0</v>
      </c>
      <c r="U389" s="31">
        <f t="shared" si="68"/>
        <v>0</v>
      </c>
      <c r="V389" s="31">
        <f t="shared" si="68"/>
        <v>0</v>
      </c>
      <c r="W389" s="31">
        <f t="shared" si="68"/>
        <v>0</v>
      </c>
      <c r="X389" s="31">
        <f t="shared" si="68"/>
        <v>0</v>
      </c>
      <c r="Y389" s="31">
        <f t="shared" si="68"/>
        <v>0</v>
      </c>
      <c r="Z389" s="31">
        <f t="shared" si="68"/>
        <v>0</v>
      </c>
      <c r="AA389" s="31">
        <f t="shared" si="68"/>
        <v>0</v>
      </c>
      <c r="AB389" s="31">
        <f t="shared" si="68"/>
        <v>0</v>
      </c>
      <c r="AC389" s="31">
        <f t="shared" si="68"/>
        <v>40313.43</v>
      </c>
      <c r="AD389" s="31">
        <f t="shared" si="68"/>
        <v>0</v>
      </c>
      <c r="AE389" s="31">
        <f t="shared" si="68"/>
        <v>0</v>
      </c>
      <c r="AF389" s="221" t="s">
        <v>764</v>
      </c>
      <c r="AG389" s="221" t="s">
        <v>764</v>
      </c>
      <c r="AH389" s="222" t="s">
        <v>764</v>
      </c>
      <c r="AT389" s="20" t="e">
        <f t="shared" ref="AT389:AT396" si="69">VLOOKUP(C389,AW:AX,2,FALSE)</f>
        <v>#N/A</v>
      </c>
      <c r="BZ389" s="71">
        <v>2727875.44</v>
      </c>
      <c r="CD389" s="20" t="e">
        <f t="shared" si="66"/>
        <v>#N/A</v>
      </c>
    </row>
    <row r="390" spans="1:82" ht="61.5" x14ac:dyDescent="0.85">
      <c r="A390" s="20">
        <v>1</v>
      </c>
      <c r="B390" s="66">
        <f>SUBTOTAL(103,$A$22:A390)</f>
        <v>345</v>
      </c>
      <c r="C390" s="24" t="s">
        <v>121</v>
      </c>
      <c r="D390" s="31">
        <f>E390+F390+G390+H390+I390+J390+L390+N390+P390+R390+T390+U390+V390+W390+X390+Y390+Z390+AA390+AB390+AC390+AD390+AE390</f>
        <v>2727875.44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3">
        <v>0</v>
      </c>
      <c r="L390" s="31">
        <v>0</v>
      </c>
      <c r="M390" s="31">
        <v>313.10000000000002</v>
      </c>
      <c r="N390" s="31">
        <f>1339691.19+128078.82</f>
        <v>1467770.01</v>
      </c>
      <c r="O390" s="31">
        <v>0</v>
      </c>
      <c r="P390" s="31">
        <v>0</v>
      </c>
      <c r="Q390" s="31">
        <v>400.6</v>
      </c>
      <c r="R390" s="31">
        <v>1219792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f>ROUND((N390+R390)*1.5%,2)</f>
        <v>40313.43</v>
      </c>
      <c r="AD390" s="31">
        <v>0</v>
      </c>
      <c r="AE390" s="31">
        <v>0</v>
      </c>
      <c r="AF390" s="219" t="s">
        <v>271</v>
      </c>
      <c r="AG390" s="219">
        <v>2020</v>
      </c>
      <c r="AH390" s="220">
        <v>2020</v>
      </c>
      <c r="AT390" s="20" t="e">
        <f t="shared" si="69"/>
        <v>#N/A</v>
      </c>
      <c r="BZ390" s="71"/>
      <c r="CD390" s="20">
        <f t="shared" si="66"/>
        <v>313.10000000000002</v>
      </c>
    </row>
    <row r="391" spans="1:82" ht="61.5" x14ac:dyDescent="0.85">
      <c r="B391" s="24" t="s">
        <v>846</v>
      </c>
      <c r="C391" s="24"/>
      <c r="D391" s="31">
        <f t="shared" ref="D391:AE391" si="70">D392</f>
        <v>3866903.76</v>
      </c>
      <c r="E391" s="31">
        <f t="shared" si="70"/>
        <v>0</v>
      </c>
      <c r="F391" s="31">
        <f t="shared" si="70"/>
        <v>0</v>
      </c>
      <c r="G391" s="31">
        <f t="shared" si="70"/>
        <v>0</v>
      </c>
      <c r="H391" s="31">
        <f t="shared" si="70"/>
        <v>0</v>
      </c>
      <c r="I391" s="31">
        <f t="shared" si="70"/>
        <v>0</v>
      </c>
      <c r="J391" s="31">
        <f t="shared" si="70"/>
        <v>0</v>
      </c>
      <c r="K391" s="33">
        <f t="shared" si="70"/>
        <v>0</v>
      </c>
      <c r="L391" s="31">
        <f t="shared" si="70"/>
        <v>0</v>
      </c>
      <c r="M391" s="31">
        <f t="shared" si="70"/>
        <v>807.46</v>
      </c>
      <c r="N391" s="31">
        <f t="shared" si="70"/>
        <v>3749036.68</v>
      </c>
      <c r="O391" s="31">
        <f t="shared" si="70"/>
        <v>0</v>
      </c>
      <c r="P391" s="31">
        <f t="shared" si="70"/>
        <v>0</v>
      </c>
      <c r="Q391" s="31">
        <f t="shared" si="70"/>
        <v>0</v>
      </c>
      <c r="R391" s="31">
        <f t="shared" si="70"/>
        <v>0</v>
      </c>
      <c r="S391" s="31">
        <f t="shared" si="70"/>
        <v>0</v>
      </c>
      <c r="T391" s="31">
        <f t="shared" si="70"/>
        <v>0</v>
      </c>
      <c r="U391" s="31">
        <f t="shared" si="70"/>
        <v>0</v>
      </c>
      <c r="V391" s="31">
        <f t="shared" si="70"/>
        <v>0</v>
      </c>
      <c r="W391" s="31">
        <f t="shared" si="70"/>
        <v>0</v>
      </c>
      <c r="X391" s="31">
        <f t="shared" si="70"/>
        <v>0</v>
      </c>
      <c r="Y391" s="31">
        <f t="shared" si="70"/>
        <v>0</v>
      </c>
      <c r="Z391" s="31">
        <f t="shared" si="70"/>
        <v>0</v>
      </c>
      <c r="AA391" s="31">
        <f t="shared" si="70"/>
        <v>0</v>
      </c>
      <c r="AB391" s="31">
        <f t="shared" si="70"/>
        <v>0</v>
      </c>
      <c r="AC391" s="31">
        <f t="shared" si="70"/>
        <v>56235.55</v>
      </c>
      <c r="AD391" s="31">
        <f t="shared" si="70"/>
        <v>61631.53</v>
      </c>
      <c r="AE391" s="31">
        <f t="shared" si="70"/>
        <v>0</v>
      </c>
      <c r="AF391" s="221" t="s">
        <v>764</v>
      </c>
      <c r="AG391" s="221" t="s">
        <v>764</v>
      </c>
      <c r="AH391" s="222" t="s">
        <v>764</v>
      </c>
      <c r="AT391" s="20" t="e">
        <f t="shared" si="69"/>
        <v>#N/A</v>
      </c>
      <c r="BZ391" s="71">
        <v>3866903.76</v>
      </c>
      <c r="CD391" s="20" t="e">
        <f t="shared" si="66"/>
        <v>#N/A</v>
      </c>
    </row>
    <row r="392" spans="1:82" ht="61.5" x14ac:dyDescent="0.85">
      <c r="A392" s="20">
        <v>1</v>
      </c>
      <c r="B392" s="66">
        <f>SUBTOTAL(103,$A$22:A392)</f>
        <v>346</v>
      </c>
      <c r="C392" s="24" t="s">
        <v>122</v>
      </c>
      <c r="D392" s="31">
        <f>E392+F392+G392+H392+I392+J392+L392+N392+P392+R392+T392+U392+V392+W392+X392+Y392+Z392+AA392+AB392+AC392+AD392+AE392</f>
        <v>3866903.76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3">
        <v>0</v>
      </c>
      <c r="L392" s="31">
        <v>0</v>
      </c>
      <c r="M392" s="210">
        <v>807.46</v>
      </c>
      <c r="N392" s="210">
        <f>3740078.64+8958.04</f>
        <v>3749036.68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f>ROUND(N392*1.5%,2)</f>
        <v>56235.55</v>
      </c>
      <c r="AD392" s="204">
        <v>61631.53</v>
      </c>
      <c r="AE392" s="31">
        <v>0</v>
      </c>
      <c r="AF392" s="219">
        <v>2020</v>
      </c>
      <c r="AG392" s="219">
        <v>2020</v>
      </c>
      <c r="AH392" s="220">
        <v>2020</v>
      </c>
      <c r="AT392" s="20" t="e">
        <f t="shared" si="69"/>
        <v>#N/A</v>
      </c>
      <c r="BZ392" s="71"/>
      <c r="CD392" s="20" t="e">
        <f t="shared" si="66"/>
        <v>#N/A</v>
      </c>
    </row>
    <row r="393" spans="1:82" ht="61.5" x14ac:dyDescent="0.85">
      <c r="B393" s="24" t="s">
        <v>847</v>
      </c>
      <c r="C393" s="114"/>
      <c r="D393" s="31">
        <f>SUM(D394:D397)</f>
        <v>11324422.880000001</v>
      </c>
      <c r="E393" s="31">
        <f t="shared" ref="E393:AE393" si="71">SUM(E394:E397)</f>
        <v>0</v>
      </c>
      <c r="F393" s="31">
        <f t="shared" si="71"/>
        <v>0</v>
      </c>
      <c r="G393" s="31">
        <f t="shared" si="71"/>
        <v>0</v>
      </c>
      <c r="H393" s="31">
        <f t="shared" si="71"/>
        <v>0</v>
      </c>
      <c r="I393" s="31">
        <f t="shared" si="71"/>
        <v>0</v>
      </c>
      <c r="J393" s="31">
        <f t="shared" si="71"/>
        <v>0</v>
      </c>
      <c r="K393" s="33">
        <f t="shared" si="71"/>
        <v>0</v>
      </c>
      <c r="L393" s="31">
        <f t="shared" si="71"/>
        <v>0</v>
      </c>
      <c r="M393" s="31">
        <f t="shared" si="71"/>
        <v>850.3</v>
      </c>
      <c r="N393" s="31">
        <f t="shared" si="71"/>
        <v>3537063.82</v>
      </c>
      <c r="O393" s="31">
        <f t="shared" si="71"/>
        <v>0</v>
      </c>
      <c r="P393" s="31">
        <f t="shared" si="71"/>
        <v>0</v>
      </c>
      <c r="Q393" s="31">
        <f t="shared" si="71"/>
        <v>568.86</v>
      </c>
      <c r="R393" s="31">
        <f t="shared" si="71"/>
        <v>2804299.36</v>
      </c>
      <c r="S393" s="31">
        <f t="shared" si="71"/>
        <v>0</v>
      </c>
      <c r="T393" s="31">
        <f t="shared" si="71"/>
        <v>0</v>
      </c>
      <c r="U393" s="31">
        <f t="shared" si="71"/>
        <v>4693271.34</v>
      </c>
      <c r="V393" s="31">
        <f t="shared" si="71"/>
        <v>0</v>
      </c>
      <c r="W393" s="31">
        <f t="shared" si="71"/>
        <v>0</v>
      </c>
      <c r="X393" s="31">
        <f t="shared" si="71"/>
        <v>0</v>
      </c>
      <c r="Y393" s="31">
        <f t="shared" si="71"/>
        <v>0</v>
      </c>
      <c r="Z393" s="31">
        <f t="shared" si="71"/>
        <v>0</v>
      </c>
      <c r="AA393" s="31">
        <f t="shared" si="71"/>
        <v>0</v>
      </c>
      <c r="AB393" s="31">
        <f t="shared" si="71"/>
        <v>0</v>
      </c>
      <c r="AC393" s="31">
        <f t="shared" si="71"/>
        <v>130694.01999999999</v>
      </c>
      <c r="AD393" s="31">
        <f t="shared" si="71"/>
        <v>159094.34</v>
      </c>
      <c r="AE393" s="31">
        <f t="shared" si="71"/>
        <v>0</v>
      </c>
      <c r="AF393" s="221" t="s">
        <v>764</v>
      </c>
      <c r="AG393" s="221" t="s">
        <v>764</v>
      </c>
      <c r="AH393" s="222" t="s">
        <v>764</v>
      </c>
      <c r="AT393" s="20" t="e">
        <f t="shared" si="69"/>
        <v>#N/A</v>
      </c>
      <c r="BZ393" s="71">
        <v>11389569.279999999</v>
      </c>
      <c r="CC393" s="31">
        <v>10475726.369999999</v>
      </c>
      <c r="CD393" s="20" t="e">
        <f t="shared" si="66"/>
        <v>#N/A</v>
      </c>
    </row>
    <row r="394" spans="1:82" ht="61.5" x14ac:dyDescent="0.85">
      <c r="A394" s="20">
        <v>1</v>
      </c>
      <c r="B394" s="66">
        <f>SUBTOTAL(103,$A$22:A394)</f>
        <v>347</v>
      </c>
      <c r="C394" s="24" t="s">
        <v>172</v>
      </c>
      <c r="D394" s="31">
        <f>E394+F394+G394+H394+I394+J394+L394+N394+P394+R394+T394+U394+V394+W394+X394+Y394+Z394+AA394+AB394+AC394+AD394+AE394</f>
        <v>2321700.09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3">
        <v>0</v>
      </c>
      <c r="L394" s="31">
        <v>0</v>
      </c>
      <c r="M394" s="31">
        <v>678.3</v>
      </c>
      <c r="N394" s="31">
        <v>2321700.09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219" t="s">
        <v>271</v>
      </c>
      <c r="AG394" s="219">
        <v>2020</v>
      </c>
      <c r="AH394" s="220" t="s">
        <v>271</v>
      </c>
      <c r="AT394" s="20" t="e">
        <f t="shared" si="69"/>
        <v>#N/A</v>
      </c>
      <c r="BZ394" s="71"/>
      <c r="CD394" s="20">
        <f t="shared" si="66"/>
        <v>678.3</v>
      </c>
    </row>
    <row r="395" spans="1:82" ht="61.5" x14ac:dyDescent="0.85">
      <c r="A395" s="20">
        <v>1</v>
      </c>
      <c r="B395" s="66">
        <f>SUBTOTAL(103,$A$22:A395)</f>
        <v>348</v>
      </c>
      <c r="C395" s="24" t="s">
        <v>173</v>
      </c>
      <c r="D395" s="31">
        <f>E395+F395+G395+H395+I395+J395+L395+N395+P395+R395+T395+U395+V395+W395+X395+Y395+Z395+AA395+AB395+AC395+AD395+AE395</f>
        <v>2846363.85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3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568.86</v>
      </c>
      <c r="R395" s="31">
        <f>2465520.05+9042.79+329736.52</f>
        <v>2804299.36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f>ROUND(R395*1.5%,2)</f>
        <v>42064.49</v>
      </c>
      <c r="AD395" s="31">
        <v>0</v>
      </c>
      <c r="AE395" s="31">
        <v>0</v>
      </c>
      <c r="AF395" s="219" t="s">
        <v>271</v>
      </c>
      <c r="AG395" s="219">
        <v>2020</v>
      </c>
      <c r="AH395" s="220">
        <v>2020</v>
      </c>
      <c r="AT395" s="20" t="e">
        <f t="shared" si="69"/>
        <v>#N/A</v>
      </c>
      <c r="BZ395" s="71"/>
      <c r="CD395" s="20" t="e">
        <f t="shared" si="66"/>
        <v>#N/A</v>
      </c>
    </row>
    <row r="396" spans="1:82" ht="61.5" x14ac:dyDescent="0.85">
      <c r="A396" s="20">
        <v>1</v>
      </c>
      <c r="B396" s="66">
        <f>SUBTOTAL(103,$A$22:A396)</f>
        <v>349</v>
      </c>
      <c r="C396" s="24" t="s">
        <v>171</v>
      </c>
      <c r="D396" s="31">
        <f>E396+F396+G396+H396+I396+J396+L396+N396+P396+R396+T396+U396+V396+W396+X396+Y396+Z396+AA396+AB396+AC396+AD396+AE396</f>
        <v>4867698.0200000005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3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f>4178507.88-47969.83+550395.9+12337.39</f>
        <v>4693271.34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f>ROUND(U396*1.5%,2)</f>
        <v>70399.070000000007</v>
      </c>
      <c r="AD396" s="272">
        <v>104027.61</v>
      </c>
      <c r="AE396" s="31">
        <v>0</v>
      </c>
      <c r="AF396" s="219">
        <v>2020</v>
      </c>
      <c r="AG396" s="219">
        <v>2020</v>
      </c>
      <c r="AH396" s="220">
        <v>2020</v>
      </c>
      <c r="AT396" s="20" t="e">
        <f t="shared" si="69"/>
        <v>#N/A</v>
      </c>
      <c r="BZ396" s="71"/>
      <c r="CD396" s="20" t="e">
        <f t="shared" si="66"/>
        <v>#N/A</v>
      </c>
    </row>
    <row r="397" spans="1:82" ht="61.5" x14ac:dyDescent="0.85">
      <c r="A397" s="20">
        <v>1</v>
      </c>
      <c r="B397" s="66">
        <f>SUBTOTAL(103,$A$22:A397)</f>
        <v>350</v>
      </c>
      <c r="C397" s="24" t="s">
        <v>1594</v>
      </c>
      <c r="D397" s="31">
        <f>E397+F397+G397+H397+I397+J397+L397+N397+P397+R397+T397+U397+V397+W397+X397+Y397+Z397+AA397+AB397+AC397+AD397+AE397</f>
        <v>1288660.92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3">
        <v>0</v>
      </c>
      <c r="L397" s="31">
        <v>0</v>
      </c>
      <c r="M397" s="31">
        <v>172</v>
      </c>
      <c r="N397" s="31">
        <f>898149.6+144032.15+138871.15+34310.83</f>
        <v>1215363.73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1">
        <f>ROUND(N397*1.5%,2)</f>
        <v>18230.46</v>
      </c>
      <c r="AD397" s="31">
        <v>55066.73</v>
      </c>
      <c r="AE397" s="31">
        <v>0</v>
      </c>
      <c r="AF397" s="219">
        <v>2020</v>
      </c>
      <c r="AG397" s="219">
        <v>2020</v>
      </c>
      <c r="AH397" s="220">
        <v>2020</v>
      </c>
      <c r="BZ397" s="71"/>
      <c r="CD397" s="20" t="e">
        <f t="shared" si="66"/>
        <v>#N/A</v>
      </c>
    </row>
    <row r="398" spans="1:82" ht="61.5" x14ac:dyDescent="0.85">
      <c r="B398" s="24" t="s">
        <v>848</v>
      </c>
      <c r="C398" s="24"/>
      <c r="D398" s="31">
        <f>SUM(D399:D400)</f>
        <v>4615005.4700000007</v>
      </c>
      <c r="E398" s="31">
        <f t="shared" ref="E398:AE398" si="72">SUM(E399:E400)</f>
        <v>269822.40000000002</v>
      </c>
      <c r="F398" s="31">
        <f t="shared" si="72"/>
        <v>0</v>
      </c>
      <c r="G398" s="31">
        <f t="shared" si="72"/>
        <v>1632000</v>
      </c>
      <c r="H398" s="31">
        <f t="shared" si="72"/>
        <v>0</v>
      </c>
      <c r="I398" s="31">
        <f t="shared" si="72"/>
        <v>368959.81</v>
      </c>
      <c r="J398" s="31">
        <f t="shared" si="72"/>
        <v>0</v>
      </c>
      <c r="K398" s="33">
        <f t="shared" si="72"/>
        <v>0</v>
      </c>
      <c r="L398" s="31">
        <f t="shared" si="72"/>
        <v>0</v>
      </c>
      <c r="M398" s="31">
        <f t="shared" si="72"/>
        <v>412.82</v>
      </c>
      <c r="N398" s="31">
        <f t="shared" si="72"/>
        <v>2232562.8400000003</v>
      </c>
      <c r="O398" s="31">
        <f t="shared" si="72"/>
        <v>0</v>
      </c>
      <c r="P398" s="31">
        <f t="shared" si="72"/>
        <v>0</v>
      </c>
      <c r="Q398" s="31">
        <f t="shared" si="72"/>
        <v>0</v>
      </c>
      <c r="R398" s="31">
        <f t="shared" si="72"/>
        <v>0</v>
      </c>
      <c r="S398" s="31">
        <f t="shared" si="72"/>
        <v>0</v>
      </c>
      <c r="T398" s="31">
        <f t="shared" si="72"/>
        <v>0</v>
      </c>
      <c r="U398" s="31">
        <f t="shared" si="72"/>
        <v>0</v>
      </c>
      <c r="V398" s="31">
        <f t="shared" si="72"/>
        <v>0</v>
      </c>
      <c r="W398" s="31">
        <f t="shared" si="72"/>
        <v>0</v>
      </c>
      <c r="X398" s="31">
        <f t="shared" si="72"/>
        <v>0</v>
      </c>
      <c r="Y398" s="31">
        <f t="shared" si="72"/>
        <v>0</v>
      </c>
      <c r="Z398" s="31">
        <f t="shared" si="72"/>
        <v>0</v>
      </c>
      <c r="AA398" s="31">
        <f t="shared" si="72"/>
        <v>0</v>
      </c>
      <c r="AB398" s="31">
        <f t="shared" si="72"/>
        <v>0</v>
      </c>
      <c r="AC398" s="31">
        <f t="shared" si="72"/>
        <v>67550.170000000013</v>
      </c>
      <c r="AD398" s="31">
        <f t="shared" si="72"/>
        <v>44110.25</v>
      </c>
      <c r="AE398" s="31">
        <f t="shared" si="72"/>
        <v>0</v>
      </c>
      <c r="AF398" s="221" t="s">
        <v>764</v>
      </c>
      <c r="AG398" s="221" t="s">
        <v>764</v>
      </c>
      <c r="AH398" s="222" t="s">
        <v>764</v>
      </c>
      <c r="AT398" s="20" t="e">
        <f>VLOOKUP(C398,AW:AX,2,FALSE)</f>
        <v>#N/A</v>
      </c>
      <c r="BZ398" s="71">
        <v>4635021.79</v>
      </c>
      <c r="CC398" s="31">
        <v>3960937.4299999997</v>
      </c>
      <c r="CD398" s="20" t="e">
        <f t="shared" si="66"/>
        <v>#N/A</v>
      </c>
    </row>
    <row r="399" spans="1:82" ht="61.5" x14ac:dyDescent="0.85">
      <c r="A399" s="20">
        <v>1</v>
      </c>
      <c r="B399" s="66">
        <f>SUBTOTAL(103,$A$22:A399)</f>
        <v>351</v>
      </c>
      <c r="C399" s="24" t="s">
        <v>170</v>
      </c>
      <c r="D399" s="31">
        <f>E399+F399+G399+H399+I399+J399+L399+N399+P399+R399+T399+U399+V399+W399+X399+Y399+Z399+AA399+AB399+AC399+AD399+AE399</f>
        <v>2310161.5300000003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3">
        <v>0</v>
      </c>
      <c r="L399" s="31">
        <v>0</v>
      </c>
      <c r="M399" s="31">
        <v>412.82</v>
      </c>
      <c r="N399" s="31">
        <f>2177515.12+55047.72</f>
        <v>2232562.8400000003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f>ROUND(N399*1.5%,2)</f>
        <v>33488.44</v>
      </c>
      <c r="AD399" s="31">
        <v>44110.25</v>
      </c>
      <c r="AE399" s="31">
        <v>0</v>
      </c>
      <c r="AF399" s="219">
        <v>2020</v>
      </c>
      <c r="AG399" s="219">
        <v>2020</v>
      </c>
      <c r="AH399" s="220">
        <v>2020</v>
      </c>
      <c r="AT399" s="20" t="e">
        <f>VLOOKUP(C399,AW:AX,2,FALSE)</f>
        <v>#N/A</v>
      </c>
      <c r="BZ399" s="71"/>
      <c r="CD399" s="20">
        <f t="shared" si="66"/>
        <v>412.82</v>
      </c>
    </row>
    <row r="400" spans="1:82" ht="61.5" x14ac:dyDescent="0.85">
      <c r="A400" s="20">
        <v>1</v>
      </c>
      <c r="B400" s="66">
        <f>SUBTOTAL(103,$A$22:A400)</f>
        <v>352</v>
      </c>
      <c r="C400" s="24" t="s">
        <v>1247</v>
      </c>
      <c r="D400" s="31">
        <f>E400+F400+G400+H400+I400+J400+L400+N400+P400+R400+T400+U400+V400+W400+X400+Y400+Z400+AA400+AB400+AC400+AD400+AE400</f>
        <v>2304843.94</v>
      </c>
      <c r="E400" s="31">
        <v>269822.40000000002</v>
      </c>
      <c r="F400" s="31">
        <v>0</v>
      </c>
      <c r="G400" s="31">
        <v>1632000</v>
      </c>
      <c r="H400" s="31">
        <v>0</v>
      </c>
      <c r="I400" s="31">
        <v>368959.81</v>
      </c>
      <c r="J400" s="31">
        <v>0</v>
      </c>
      <c r="K400" s="33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f>ROUND((E400+F400+G400+H400+I400+J400)*1.5%,2)</f>
        <v>34061.730000000003</v>
      </c>
      <c r="AD400" s="31">
        <v>0</v>
      </c>
      <c r="AE400" s="31">
        <v>0</v>
      </c>
      <c r="AF400" s="219" t="s">
        <v>271</v>
      </c>
      <c r="AG400" s="219">
        <v>2020</v>
      </c>
      <c r="AH400" s="220">
        <v>2020</v>
      </c>
      <c r="BZ400" s="71"/>
      <c r="CD400" s="20" t="e">
        <f t="shared" si="66"/>
        <v>#N/A</v>
      </c>
    </row>
    <row r="401" spans="1:82" ht="61.5" x14ac:dyDescent="0.85">
      <c r="B401" s="24" t="s">
        <v>850</v>
      </c>
      <c r="C401" s="24"/>
      <c r="D401" s="31">
        <f>D402</f>
        <v>1491809.6800000002</v>
      </c>
      <c r="E401" s="31">
        <f t="shared" ref="E401:AE401" si="73">E402</f>
        <v>0</v>
      </c>
      <c r="F401" s="31">
        <f t="shared" si="73"/>
        <v>0</v>
      </c>
      <c r="G401" s="31">
        <f t="shared" si="73"/>
        <v>0</v>
      </c>
      <c r="H401" s="31">
        <f t="shared" si="73"/>
        <v>0</v>
      </c>
      <c r="I401" s="31">
        <f t="shared" si="73"/>
        <v>0</v>
      </c>
      <c r="J401" s="31">
        <f t="shared" si="73"/>
        <v>0</v>
      </c>
      <c r="K401" s="33">
        <f t="shared" si="73"/>
        <v>0</v>
      </c>
      <c r="L401" s="31">
        <f t="shared" si="73"/>
        <v>0</v>
      </c>
      <c r="M401" s="31">
        <f t="shared" si="73"/>
        <v>336.14</v>
      </c>
      <c r="N401" s="31">
        <f t="shared" si="73"/>
        <v>1426840.6300000001</v>
      </c>
      <c r="O401" s="31">
        <f t="shared" si="73"/>
        <v>0</v>
      </c>
      <c r="P401" s="31">
        <f t="shared" si="73"/>
        <v>0</v>
      </c>
      <c r="Q401" s="31">
        <f t="shared" si="73"/>
        <v>0</v>
      </c>
      <c r="R401" s="31">
        <f t="shared" si="73"/>
        <v>0</v>
      </c>
      <c r="S401" s="31">
        <f t="shared" si="73"/>
        <v>0</v>
      </c>
      <c r="T401" s="31">
        <f t="shared" si="73"/>
        <v>0</v>
      </c>
      <c r="U401" s="31">
        <f t="shared" si="73"/>
        <v>0</v>
      </c>
      <c r="V401" s="31">
        <f t="shared" si="73"/>
        <v>0</v>
      </c>
      <c r="W401" s="31">
        <f t="shared" si="73"/>
        <v>0</v>
      </c>
      <c r="X401" s="31">
        <f t="shared" si="73"/>
        <v>0</v>
      </c>
      <c r="Y401" s="31">
        <f t="shared" si="73"/>
        <v>0</v>
      </c>
      <c r="Z401" s="31">
        <f t="shared" si="73"/>
        <v>0</v>
      </c>
      <c r="AA401" s="31">
        <f t="shared" si="73"/>
        <v>0</v>
      </c>
      <c r="AB401" s="31">
        <f t="shared" si="73"/>
        <v>0</v>
      </c>
      <c r="AC401" s="31">
        <f t="shared" si="73"/>
        <v>21402.61</v>
      </c>
      <c r="AD401" s="31">
        <f t="shared" si="73"/>
        <v>43566.44</v>
      </c>
      <c r="AE401" s="31">
        <f t="shared" si="73"/>
        <v>0</v>
      </c>
      <c r="AF401" s="221" t="s">
        <v>764</v>
      </c>
      <c r="AG401" s="221" t="s">
        <v>764</v>
      </c>
      <c r="AH401" s="222" t="s">
        <v>764</v>
      </c>
      <c r="AT401" s="20" t="e">
        <f>VLOOKUP(C401,AW:AX,2,FALSE)</f>
        <v>#N/A</v>
      </c>
      <c r="BZ401" s="71">
        <v>1547699.36</v>
      </c>
      <c r="CD401" s="20" t="e">
        <f t="shared" si="66"/>
        <v>#N/A</v>
      </c>
    </row>
    <row r="402" spans="1:82" ht="61.5" x14ac:dyDescent="0.85">
      <c r="A402" s="20">
        <v>1</v>
      </c>
      <c r="B402" s="66">
        <f>SUBTOTAL(103,$A$22:A402)</f>
        <v>353</v>
      </c>
      <c r="C402" s="24" t="s">
        <v>169</v>
      </c>
      <c r="D402" s="31">
        <f>E402+F402+G402+H402+I402+J402+L402+N402+P402+R402+T402+U402+V402+W402+X402+Y402+Z402+AA402+AB402+AC402+AD402+AE402</f>
        <v>1491809.6800000002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3">
        <v>0</v>
      </c>
      <c r="L402" s="31">
        <v>0</v>
      </c>
      <c r="M402" s="31">
        <v>336.14</v>
      </c>
      <c r="N402" s="31">
        <f>1395449.26+11151.09+20240.28</f>
        <v>1426840.6300000001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f>ROUND(N402*1.5%,2)</f>
        <v>21402.61</v>
      </c>
      <c r="AD402" s="31">
        <v>43566.44</v>
      </c>
      <c r="AE402" s="31">
        <v>0</v>
      </c>
      <c r="AF402" s="219">
        <v>2020</v>
      </c>
      <c r="AG402" s="219">
        <v>2020</v>
      </c>
      <c r="AH402" s="220">
        <v>2020</v>
      </c>
      <c r="AT402" s="20" t="e">
        <f>VLOOKUP(C402,AW:AX,2,FALSE)</f>
        <v>#N/A</v>
      </c>
      <c r="BZ402" s="71"/>
      <c r="CD402" s="20">
        <f t="shared" si="66"/>
        <v>336.14</v>
      </c>
    </row>
    <row r="403" spans="1:82" ht="61.5" x14ac:dyDescent="0.85">
      <c r="B403" s="24" t="s">
        <v>849</v>
      </c>
      <c r="C403" s="24"/>
      <c r="D403" s="31">
        <f>SUM(D404:D407)</f>
        <v>7263579.6499999994</v>
      </c>
      <c r="E403" s="31">
        <f t="shared" ref="E403:AE403" si="74">SUM(E404:E407)</f>
        <v>0</v>
      </c>
      <c r="F403" s="31">
        <f t="shared" si="74"/>
        <v>0</v>
      </c>
      <c r="G403" s="31">
        <f t="shared" si="74"/>
        <v>0</v>
      </c>
      <c r="H403" s="31">
        <f t="shared" si="74"/>
        <v>0</v>
      </c>
      <c r="I403" s="31">
        <f t="shared" si="74"/>
        <v>0</v>
      </c>
      <c r="J403" s="31">
        <f t="shared" si="74"/>
        <v>0</v>
      </c>
      <c r="K403" s="33">
        <f t="shared" si="74"/>
        <v>0</v>
      </c>
      <c r="L403" s="31">
        <f t="shared" si="74"/>
        <v>0</v>
      </c>
      <c r="M403" s="31">
        <f t="shared" si="74"/>
        <v>542.66</v>
      </c>
      <c r="N403" s="31">
        <f t="shared" si="74"/>
        <v>2207932.36</v>
      </c>
      <c r="O403" s="31">
        <f t="shared" si="74"/>
        <v>0</v>
      </c>
      <c r="P403" s="31">
        <f t="shared" si="74"/>
        <v>0</v>
      </c>
      <c r="Q403" s="31">
        <f t="shared" si="74"/>
        <v>840.7</v>
      </c>
      <c r="R403" s="31">
        <f t="shared" si="74"/>
        <v>3438866.1</v>
      </c>
      <c r="S403" s="31">
        <f t="shared" si="74"/>
        <v>0</v>
      </c>
      <c r="T403" s="31">
        <f t="shared" si="74"/>
        <v>0</v>
      </c>
      <c r="U403" s="31">
        <f t="shared" si="74"/>
        <v>1400883.03</v>
      </c>
      <c r="V403" s="31">
        <f t="shared" si="74"/>
        <v>0</v>
      </c>
      <c r="W403" s="31">
        <f t="shared" si="74"/>
        <v>0</v>
      </c>
      <c r="X403" s="31">
        <f t="shared" si="74"/>
        <v>0</v>
      </c>
      <c r="Y403" s="31">
        <f t="shared" si="74"/>
        <v>0</v>
      </c>
      <c r="Z403" s="31">
        <f t="shared" si="74"/>
        <v>0</v>
      </c>
      <c r="AA403" s="31">
        <f t="shared" si="74"/>
        <v>0</v>
      </c>
      <c r="AB403" s="31">
        <f t="shared" si="74"/>
        <v>0</v>
      </c>
      <c r="AC403" s="31">
        <f t="shared" si="74"/>
        <v>72596.240000000005</v>
      </c>
      <c r="AD403" s="31">
        <f t="shared" si="74"/>
        <v>143301.92000000001</v>
      </c>
      <c r="AE403" s="31">
        <f t="shared" si="74"/>
        <v>0</v>
      </c>
      <c r="AF403" s="221" t="s">
        <v>764</v>
      </c>
      <c r="AG403" s="221" t="s">
        <v>764</v>
      </c>
      <c r="AH403" s="222" t="s">
        <v>764</v>
      </c>
      <c r="AT403" s="20" t="e">
        <f>VLOOKUP(C403,AW:AX,2,FALSE)</f>
        <v>#N/A</v>
      </c>
      <c r="BZ403" s="71">
        <v>7290181.6600000001</v>
      </c>
      <c r="CC403" s="31">
        <v>6271514.3100000005</v>
      </c>
      <c r="CD403" s="20" t="e">
        <f t="shared" si="66"/>
        <v>#N/A</v>
      </c>
    </row>
    <row r="404" spans="1:82" ht="61.5" x14ac:dyDescent="0.85">
      <c r="A404" s="20">
        <v>1</v>
      </c>
      <c r="B404" s="66">
        <f>SUBTOTAL(103,$A$22:A404)</f>
        <v>354</v>
      </c>
      <c r="C404" s="24" t="s">
        <v>183</v>
      </c>
      <c r="D404" s="31">
        <f>E404+F404+G404+H404+I404+J404+L404+N404+P404+R404+T404+U404+V404+W404+X404+Y404+Z404+AA404+AB404+AC404+AD404+AE404</f>
        <v>1730485.3000000003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3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403.2</v>
      </c>
      <c r="R404" s="31">
        <f>1546816.85+78057.02</f>
        <v>1624873.87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f>ROUND(R404*1.5%,2)</f>
        <v>24373.11</v>
      </c>
      <c r="AD404" s="278">
        <v>81238.320000000007</v>
      </c>
      <c r="AE404" s="31">
        <v>0</v>
      </c>
      <c r="AF404" s="219">
        <v>2020</v>
      </c>
      <c r="AG404" s="219">
        <v>2020</v>
      </c>
      <c r="AH404" s="220">
        <v>2020</v>
      </c>
      <c r="AT404" s="20" t="e">
        <f>VLOOKUP(C404,AW:AX,2,FALSE)</f>
        <v>#N/A</v>
      </c>
      <c r="BZ404" s="71"/>
      <c r="CD404" s="20" t="e">
        <f t="shared" si="66"/>
        <v>#N/A</v>
      </c>
    </row>
    <row r="405" spans="1:82" ht="61.5" x14ac:dyDescent="0.85">
      <c r="A405" s="20">
        <v>1</v>
      </c>
      <c r="B405" s="66">
        <f>SUBTOTAL(103,$A$22:A405)</f>
        <v>355</v>
      </c>
      <c r="C405" s="24" t="s">
        <v>1245</v>
      </c>
      <c r="D405" s="31">
        <f>E405+F405+G405+H405+I405+J405+L405+N405+P405+R405+T405+U405+V405+W405+X405+Y405+Z405+AA405+AB405+AC405+AD405+AE405</f>
        <v>1841202.1099999999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3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437.5</v>
      </c>
      <c r="R405" s="31">
        <v>1813992.23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f>ROUND(R405*1.5%,2)</f>
        <v>27209.88</v>
      </c>
      <c r="AD405" s="31">
        <v>0</v>
      </c>
      <c r="AE405" s="31">
        <v>0</v>
      </c>
      <c r="AF405" s="219" t="s">
        <v>271</v>
      </c>
      <c r="AG405" s="219">
        <v>2020</v>
      </c>
      <c r="AH405" s="220">
        <v>2020</v>
      </c>
      <c r="BZ405" s="71"/>
      <c r="CD405" s="20" t="e">
        <f t="shared" si="66"/>
        <v>#N/A</v>
      </c>
    </row>
    <row r="406" spans="1:82" ht="61.5" x14ac:dyDescent="0.85">
      <c r="A406" s="20">
        <v>1</v>
      </c>
      <c r="B406" s="66">
        <f>SUBTOTAL(103,$A$22:A406)</f>
        <v>356</v>
      </c>
      <c r="C406" s="24" t="s">
        <v>1246</v>
      </c>
      <c r="D406" s="31">
        <f>E406+F406+G406+H406+I406+J406+L406+N406+P406+R406+T406+U406+V406+W406+X406+Y406+Z406+AA406+AB406+AC406+AD406+AE406</f>
        <v>2207932.36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3">
        <v>0</v>
      </c>
      <c r="L406" s="31">
        <v>0</v>
      </c>
      <c r="M406" s="31">
        <v>542.66</v>
      </c>
      <c r="N406" s="31">
        <v>2207932.36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219" t="s">
        <v>271</v>
      </c>
      <c r="AG406" s="219">
        <v>2020</v>
      </c>
      <c r="AH406" s="220" t="s">
        <v>271</v>
      </c>
      <c r="BZ406" s="71"/>
      <c r="CD406" s="20">
        <f t="shared" si="66"/>
        <v>542.66</v>
      </c>
    </row>
    <row r="407" spans="1:82" ht="61.5" x14ac:dyDescent="0.85">
      <c r="A407" s="20">
        <v>1</v>
      </c>
      <c r="B407" s="66">
        <f>SUBTOTAL(103,$A$22:A407)</f>
        <v>357</v>
      </c>
      <c r="C407" s="24" t="s">
        <v>1593</v>
      </c>
      <c r="D407" s="31">
        <f>E407+F407+G407+H407+I407+J407+L407+N407+P407+R407+T407+U407+V407+W407+X407+Y407+Z407+AA407+AB407+AC407+AD407+AE407</f>
        <v>1483959.8800000001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3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f>1266000+134883.03</f>
        <v>1400883.03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f>ROUND(U407*1.5%,2)</f>
        <v>21013.25</v>
      </c>
      <c r="AD407" s="278">
        <v>62063.6</v>
      </c>
      <c r="AE407" s="31">
        <v>0</v>
      </c>
      <c r="AF407" s="219">
        <v>2020</v>
      </c>
      <c r="AG407" s="219">
        <v>2020</v>
      </c>
      <c r="AH407" s="220">
        <v>2020</v>
      </c>
      <c r="BZ407" s="71"/>
      <c r="CD407" s="20" t="e">
        <f t="shared" si="66"/>
        <v>#N/A</v>
      </c>
    </row>
    <row r="408" spans="1:82" ht="61.5" x14ac:dyDescent="0.85">
      <c r="B408" s="24" t="s">
        <v>884</v>
      </c>
      <c r="C408" s="24"/>
      <c r="D408" s="31">
        <f>D409</f>
        <v>3281480.1</v>
      </c>
      <c r="E408" s="31">
        <f t="shared" ref="E408:AE408" si="75">E409</f>
        <v>0</v>
      </c>
      <c r="F408" s="31">
        <f t="shared" si="75"/>
        <v>0</v>
      </c>
      <c r="G408" s="31">
        <f t="shared" si="75"/>
        <v>0</v>
      </c>
      <c r="H408" s="31">
        <f t="shared" si="75"/>
        <v>0</v>
      </c>
      <c r="I408" s="31">
        <f t="shared" si="75"/>
        <v>0</v>
      </c>
      <c r="J408" s="31">
        <f t="shared" si="75"/>
        <v>0</v>
      </c>
      <c r="K408" s="33">
        <f t="shared" si="75"/>
        <v>0</v>
      </c>
      <c r="L408" s="31">
        <f t="shared" si="75"/>
        <v>0</v>
      </c>
      <c r="M408" s="31">
        <f t="shared" si="75"/>
        <v>0</v>
      </c>
      <c r="N408" s="31">
        <f t="shared" si="75"/>
        <v>0</v>
      </c>
      <c r="O408" s="31">
        <f t="shared" si="75"/>
        <v>0</v>
      </c>
      <c r="P408" s="31">
        <f t="shared" si="75"/>
        <v>0</v>
      </c>
      <c r="Q408" s="31">
        <f t="shared" si="75"/>
        <v>702.56</v>
      </c>
      <c r="R408" s="31">
        <f t="shared" si="75"/>
        <v>3233224.23</v>
      </c>
      <c r="S408" s="31">
        <f t="shared" si="75"/>
        <v>0</v>
      </c>
      <c r="T408" s="31">
        <f t="shared" si="75"/>
        <v>0</v>
      </c>
      <c r="U408" s="31">
        <f t="shared" si="75"/>
        <v>0</v>
      </c>
      <c r="V408" s="31">
        <f t="shared" si="75"/>
        <v>0</v>
      </c>
      <c r="W408" s="31">
        <f t="shared" si="75"/>
        <v>0</v>
      </c>
      <c r="X408" s="31">
        <f t="shared" si="75"/>
        <v>0</v>
      </c>
      <c r="Y408" s="31">
        <f t="shared" si="75"/>
        <v>0</v>
      </c>
      <c r="Z408" s="31">
        <f t="shared" si="75"/>
        <v>0</v>
      </c>
      <c r="AA408" s="31">
        <f t="shared" si="75"/>
        <v>0</v>
      </c>
      <c r="AB408" s="31">
        <f t="shared" si="75"/>
        <v>0</v>
      </c>
      <c r="AC408" s="31">
        <f t="shared" si="75"/>
        <v>48255.87</v>
      </c>
      <c r="AD408" s="31">
        <f t="shared" si="75"/>
        <v>0</v>
      </c>
      <c r="AE408" s="31">
        <f t="shared" si="75"/>
        <v>0</v>
      </c>
      <c r="AF408" s="221" t="s">
        <v>764</v>
      </c>
      <c r="AG408" s="221" t="s">
        <v>764</v>
      </c>
      <c r="AH408" s="222" t="s">
        <v>764</v>
      </c>
      <c r="BZ408" s="71">
        <v>3230853.85</v>
      </c>
      <c r="CC408" s="31">
        <v>3334643.9899999998</v>
      </c>
      <c r="CD408" s="20" t="e">
        <f t="shared" si="66"/>
        <v>#N/A</v>
      </c>
    </row>
    <row r="409" spans="1:82" ht="61.5" x14ac:dyDescent="0.85">
      <c r="A409" s="20">
        <v>1</v>
      </c>
      <c r="B409" s="66">
        <f>SUBTOTAL(103,$A$22:A409)</f>
        <v>358</v>
      </c>
      <c r="C409" s="24" t="s">
        <v>1248</v>
      </c>
      <c r="D409" s="31">
        <f>E409+F409+G409+H409+I409+J409+L409+N409+P409+R409+T409+U409+V409+W409+X409+Y409+Z409+AA409+AB409+AC409+AD409+AE409</f>
        <v>3281480.1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3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702.56</v>
      </c>
      <c r="R409" s="31">
        <f>3183342.46+49878.08+3.69</f>
        <v>3233224.23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f>ROUND(R409*1.4925%,2)</f>
        <v>48255.87</v>
      </c>
      <c r="AD409" s="31">
        <v>0</v>
      </c>
      <c r="AE409" s="31">
        <v>0</v>
      </c>
      <c r="AF409" s="219" t="s">
        <v>271</v>
      </c>
      <c r="AG409" s="219">
        <v>2020</v>
      </c>
      <c r="AH409" s="220">
        <v>2020</v>
      </c>
      <c r="BZ409" s="71"/>
      <c r="CD409" s="20" t="e">
        <f t="shared" si="66"/>
        <v>#N/A</v>
      </c>
    </row>
    <row r="410" spans="1:82" ht="61.5" x14ac:dyDescent="0.85">
      <c r="B410" s="24" t="s">
        <v>851</v>
      </c>
      <c r="C410" s="114"/>
      <c r="D410" s="31">
        <f t="shared" ref="D410:AE410" si="76">SUM(D411:D415)</f>
        <v>18773024.589999996</v>
      </c>
      <c r="E410" s="31">
        <f t="shared" si="76"/>
        <v>0</v>
      </c>
      <c r="F410" s="31">
        <f t="shared" si="76"/>
        <v>0</v>
      </c>
      <c r="G410" s="31">
        <f t="shared" si="76"/>
        <v>0</v>
      </c>
      <c r="H410" s="31">
        <f t="shared" si="76"/>
        <v>0</v>
      </c>
      <c r="I410" s="31">
        <f t="shared" si="76"/>
        <v>0</v>
      </c>
      <c r="J410" s="31">
        <f t="shared" si="76"/>
        <v>0</v>
      </c>
      <c r="K410" s="33">
        <f t="shared" si="76"/>
        <v>0</v>
      </c>
      <c r="L410" s="31">
        <f t="shared" si="76"/>
        <v>0</v>
      </c>
      <c r="M410" s="31">
        <f t="shared" si="76"/>
        <v>3658.2</v>
      </c>
      <c r="N410" s="31">
        <f t="shared" si="76"/>
        <v>18136353.93</v>
      </c>
      <c r="O410" s="31">
        <f t="shared" si="76"/>
        <v>0</v>
      </c>
      <c r="P410" s="31">
        <f t="shared" si="76"/>
        <v>0</v>
      </c>
      <c r="Q410" s="31">
        <f t="shared" si="76"/>
        <v>0</v>
      </c>
      <c r="R410" s="31">
        <f t="shared" si="76"/>
        <v>0</v>
      </c>
      <c r="S410" s="31">
        <f t="shared" si="76"/>
        <v>0</v>
      </c>
      <c r="T410" s="31">
        <f t="shared" si="76"/>
        <v>0</v>
      </c>
      <c r="U410" s="31">
        <f t="shared" si="76"/>
        <v>0</v>
      </c>
      <c r="V410" s="31">
        <f t="shared" si="76"/>
        <v>0</v>
      </c>
      <c r="W410" s="31">
        <f t="shared" si="76"/>
        <v>0</v>
      </c>
      <c r="X410" s="31">
        <f t="shared" si="76"/>
        <v>0</v>
      </c>
      <c r="Y410" s="31">
        <f t="shared" si="76"/>
        <v>0</v>
      </c>
      <c r="Z410" s="31">
        <f t="shared" si="76"/>
        <v>0</v>
      </c>
      <c r="AA410" s="31">
        <f t="shared" si="76"/>
        <v>0</v>
      </c>
      <c r="AB410" s="31">
        <f t="shared" si="76"/>
        <v>0</v>
      </c>
      <c r="AC410" s="31">
        <f t="shared" si="76"/>
        <v>272045.32</v>
      </c>
      <c r="AD410" s="31">
        <f t="shared" si="76"/>
        <v>364625.33999999997</v>
      </c>
      <c r="AE410" s="31">
        <f t="shared" si="76"/>
        <v>0</v>
      </c>
      <c r="AF410" s="221" t="s">
        <v>764</v>
      </c>
      <c r="AG410" s="221" t="s">
        <v>764</v>
      </c>
      <c r="AH410" s="222" t="s">
        <v>764</v>
      </c>
      <c r="AT410" s="20" t="e">
        <f>VLOOKUP(C410,AW:AX,2,FALSE)</f>
        <v>#N/A</v>
      </c>
      <c r="BZ410" s="71">
        <v>22440468.149999999</v>
      </c>
      <c r="CD410" s="20" t="e">
        <f t="shared" si="66"/>
        <v>#N/A</v>
      </c>
    </row>
    <row r="411" spans="1:82" ht="61.5" x14ac:dyDescent="0.85">
      <c r="A411" s="20">
        <v>1</v>
      </c>
      <c r="B411" s="66">
        <f>SUBTOTAL(103,$A$22:A411)</f>
        <v>359</v>
      </c>
      <c r="C411" s="24" t="s">
        <v>75</v>
      </c>
      <c r="D411" s="31">
        <f>E411+F411+G411+H411+I411+J411+L411+N411+P411+R411+T411+U411+V411+W411+X411+Y411+Z411+AA411+AB411+AC411+AD411+AE411</f>
        <v>3531435.05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3">
        <v>0</v>
      </c>
      <c r="L411" s="31">
        <v>0</v>
      </c>
      <c r="M411" s="31">
        <v>625</v>
      </c>
      <c r="N411" s="31">
        <v>3380848.56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f>ROUND(N411*1.5%,2)</f>
        <v>50712.73</v>
      </c>
      <c r="AD411" s="184">
        <v>99873.76</v>
      </c>
      <c r="AE411" s="31">
        <v>0</v>
      </c>
      <c r="AF411" s="219">
        <v>2020</v>
      </c>
      <c r="AG411" s="219">
        <v>2020</v>
      </c>
      <c r="AH411" s="220">
        <v>2020</v>
      </c>
      <c r="AT411" s="20" t="e">
        <f>VLOOKUP(C411,AW:AX,2,FALSE)</f>
        <v>#N/A</v>
      </c>
      <c r="BZ411" s="71"/>
      <c r="CD411" s="20" t="e">
        <f t="shared" si="66"/>
        <v>#N/A</v>
      </c>
    </row>
    <row r="412" spans="1:82" ht="61.5" x14ac:dyDescent="0.85">
      <c r="A412" s="20">
        <v>1</v>
      </c>
      <c r="B412" s="66">
        <f>SUBTOTAL(103,$A$22:A412)</f>
        <v>360</v>
      </c>
      <c r="C412" s="24" t="s">
        <v>74</v>
      </c>
      <c r="D412" s="31">
        <f>E412+F412+G412+H412+I412+J412+L412+N412+P412+R412+T412+U412+V412+W412+X412+Y412+Z412+AA412+AB412+AC412+AD412+AE412</f>
        <v>3130874.1599999997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3">
        <v>0</v>
      </c>
      <c r="L412" s="31">
        <v>0</v>
      </c>
      <c r="M412" s="31">
        <v>504</v>
      </c>
      <c r="N412" s="31">
        <v>2954310.6599999997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f>ROUND(N412*1.5%,2)</f>
        <v>44314.66</v>
      </c>
      <c r="AD412" s="184">
        <v>132248.84</v>
      </c>
      <c r="AE412" s="31">
        <v>0</v>
      </c>
      <c r="AF412" s="219">
        <v>2020</v>
      </c>
      <c r="AG412" s="219">
        <v>2020</v>
      </c>
      <c r="AH412" s="220">
        <v>2020</v>
      </c>
      <c r="AT412" s="20" t="e">
        <f>VLOOKUP(C412,AW:AX,2,FALSE)</f>
        <v>#N/A</v>
      </c>
      <c r="BZ412" s="71"/>
      <c r="CD412" s="20" t="e">
        <f t="shared" si="66"/>
        <v>#N/A</v>
      </c>
    </row>
    <row r="413" spans="1:82" ht="61.5" x14ac:dyDescent="0.85">
      <c r="A413" s="20">
        <v>1</v>
      </c>
      <c r="B413" s="66">
        <f>SUBTOTAL(103,$A$22:A413)</f>
        <v>361</v>
      </c>
      <c r="C413" s="24" t="s">
        <v>76</v>
      </c>
      <c r="D413" s="31">
        <f>E413+F413+G413+H413+I413+J413+L413+N413+P413+R413+T413+U413+V413+W413+X413+Y413+Z413+AA413+AB413+AC413+AD413+AE413</f>
        <v>5554456.5600000005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3">
        <v>0</v>
      </c>
      <c r="L413" s="31">
        <v>0</v>
      </c>
      <c r="M413" s="31">
        <v>954</v>
      </c>
      <c r="N413" s="31">
        <v>5341826.42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f>ROUND(N413*1.5%,2)</f>
        <v>80127.399999999994</v>
      </c>
      <c r="AD413" s="184">
        <v>132502.74</v>
      </c>
      <c r="AE413" s="31">
        <v>0</v>
      </c>
      <c r="AF413" s="219">
        <v>2020</v>
      </c>
      <c r="AG413" s="219">
        <v>2020</v>
      </c>
      <c r="AH413" s="220">
        <v>2020</v>
      </c>
      <c r="AT413" s="20" t="e">
        <f>VLOOKUP(C413,AW:AX,2,FALSE)</f>
        <v>#N/A</v>
      </c>
      <c r="BZ413" s="71"/>
      <c r="CD413" s="20" t="e">
        <f t="shared" si="66"/>
        <v>#N/A</v>
      </c>
    </row>
    <row r="414" spans="1:82" ht="61.5" x14ac:dyDescent="0.85">
      <c r="A414" s="20">
        <v>1</v>
      </c>
      <c r="B414" s="66">
        <f>SUBTOTAL(103,$A$22:A414)</f>
        <v>362</v>
      </c>
      <c r="C414" s="24" t="s">
        <v>1249</v>
      </c>
      <c r="D414" s="31">
        <f>E414+F414+G414+H414+I414+J414+L414+N414+P414+R414+T414+U414+V414+W414+X414+Y414+Z414+AA414+AB414+AC414+AD414+AE414</f>
        <v>4162144.7199999997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3">
        <v>0</v>
      </c>
      <c r="L414" s="31">
        <v>0</v>
      </c>
      <c r="M414" s="31">
        <v>975.2</v>
      </c>
      <c r="N414" s="31">
        <v>4100635.19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f>ROUND(N414*1.5%,2)</f>
        <v>61509.53</v>
      </c>
      <c r="AD414" s="31">
        <v>0</v>
      </c>
      <c r="AE414" s="31">
        <v>0</v>
      </c>
      <c r="AF414" s="219" t="s">
        <v>271</v>
      </c>
      <c r="AG414" s="219">
        <v>2020</v>
      </c>
      <c r="AH414" s="220">
        <v>2020</v>
      </c>
      <c r="BZ414" s="71"/>
      <c r="CD414" s="20">
        <f t="shared" si="66"/>
        <v>975.2</v>
      </c>
    </row>
    <row r="415" spans="1:82" ht="61.5" x14ac:dyDescent="0.85">
      <c r="A415" s="20">
        <v>1</v>
      </c>
      <c r="B415" s="66">
        <f>SUBTOTAL(103,$A$22:A415)</f>
        <v>363</v>
      </c>
      <c r="C415" s="24" t="s">
        <v>1250</v>
      </c>
      <c r="D415" s="31">
        <f>E415+F415+G415+H415+I415+J415+L415+N415+P415+R415+T415+U415+V415+W415+X415+Y415+Z415+AA415+AB415+AC415+AD415+AE415</f>
        <v>2394114.0999999996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3">
        <v>0</v>
      </c>
      <c r="L415" s="31">
        <v>0</v>
      </c>
      <c r="M415" s="31">
        <v>600</v>
      </c>
      <c r="N415" s="31">
        <f>2297468.55+61264.55</f>
        <v>2358733.0999999996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f>ROUND(N415*1.5%,2)</f>
        <v>35381</v>
      </c>
      <c r="AD415" s="31">
        <v>0</v>
      </c>
      <c r="AE415" s="31">
        <v>0</v>
      </c>
      <c r="AF415" s="219" t="s">
        <v>271</v>
      </c>
      <c r="AG415" s="219">
        <v>2020</v>
      </c>
      <c r="AH415" s="220">
        <v>2020</v>
      </c>
      <c r="BZ415" s="71"/>
      <c r="CD415" s="20">
        <f t="shared" si="66"/>
        <v>600</v>
      </c>
    </row>
    <row r="416" spans="1:82" ht="61.5" x14ac:dyDescent="0.85">
      <c r="B416" s="24" t="s">
        <v>852</v>
      </c>
      <c r="C416" s="24"/>
      <c r="D416" s="31">
        <f>D417</f>
        <v>3182125.22</v>
      </c>
      <c r="E416" s="31">
        <f t="shared" ref="E416:AE416" si="77">E417</f>
        <v>0</v>
      </c>
      <c r="F416" s="31">
        <f t="shared" si="77"/>
        <v>0</v>
      </c>
      <c r="G416" s="31">
        <f t="shared" si="77"/>
        <v>0</v>
      </c>
      <c r="H416" s="31">
        <f t="shared" si="77"/>
        <v>0</v>
      </c>
      <c r="I416" s="31">
        <f t="shared" si="77"/>
        <v>0</v>
      </c>
      <c r="J416" s="31">
        <f t="shared" si="77"/>
        <v>0</v>
      </c>
      <c r="K416" s="33">
        <f t="shared" si="77"/>
        <v>0</v>
      </c>
      <c r="L416" s="31">
        <f t="shared" si="77"/>
        <v>0</v>
      </c>
      <c r="M416" s="31">
        <f t="shared" si="77"/>
        <v>598</v>
      </c>
      <c r="N416" s="31">
        <f t="shared" si="77"/>
        <v>3053010.16</v>
      </c>
      <c r="O416" s="31">
        <f t="shared" si="77"/>
        <v>0</v>
      </c>
      <c r="P416" s="31">
        <f t="shared" si="77"/>
        <v>0</v>
      </c>
      <c r="Q416" s="31">
        <f t="shared" si="77"/>
        <v>0</v>
      </c>
      <c r="R416" s="31">
        <f t="shared" si="77"/>
        <v>0</v>
      </c>
      <c r="S416" s="31">
        <f t="shared" si="77"/>
        <v>0</v>
      </c>
      <c r="T416" s="31">
        <f t="shared" si="77"/>
        <v>0</v>
      </c>
      <c r="U416" s="31">
        <f t="shared" si="77"/>
        <v>0</v>
      </c>
      <c r="V416" s="31">
        <f t="shared" si="77"/>
        <v>0</v>
      </c>
      <c r="W416" s="31">
        <f t="shared" si="77"/>
        <v>0</v>
      </c>
      <c r="X416" s="31">
        <f t="shared" si="77"/>
        <v>0</v>
      </c>
      <c r="Y416" s="31">
        <f t="shared" si="77"/>
        <v>0</v>
      </c>
      <c r="Z416" s="31">
        <f t="shared" si="77"/>
        <v>0</v>
      </c>
      <c r="AA416" s="31">
        <f t="shared" si="77"/>
        <v>0</v>
      </c>
      <c r="AB416" s="31">
        <f t="shared" si="77"/>
        <v>0</v>
      </c>
      <c r="AC416" s="31">
        <f t="shared" si="77"/>
        <v>45795.15</v>
      </c>
      <c r="AD416" s="31">
        <f t="shared" si="77"/>
        <v>83319.91</v>
      </c>
      <c r="AE416" s="31">
        <f t="shared" si="77"/>
        <v>0</v>
      </c>
      <c r="AF416" s="221" t="s">
        <v>764</v>
      </c>
      <c r="AG416" s="221" t="s">
        <v>764</v>
      </c>
      <c r="AH416" s="222" t="s">
        <v>764</v>
      </c>
      <c r="AT416" s="20" t="e">
        <f>VLOOKUP(C416,AW:AX,2,FALSE)</f>
        <v>#N/A</v>
      </c>
      <c r="BZ416" s="71">
        <v>3182125.2199999997</v>
      </c>
      <c r="CD416" s="20" t="e">
        <f t="shared" si="66"/>
        <v>#N/A</v>
      </c>
    </row>
    <row r="417" spans="1:82" ht="61.5" x14ac:dyDescent="0.85">
      <c r="A417" s="20">
        <v>1</v>
      </c>
      <c r="B417" s="66">
        <f>SUBTOTAL(103,$A$22:A417)</f>
        <v>364</v>
      </c>
      <c r="C417" s="24" t="s">
        <v>77</v>
      </c>
      <c r="D417" s="31">
        <f>E417+F417+G417+H417+I417+J417+L417+N417+P417+R417+T417+U417+V417+W417+X417+Y417+Z417+AA417+AB417+AC417+AD417+AE417</f>
        <v>3182125.22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3">
        <v>0</v>
      </c>
      <c r="L417" s="31">
        <v>0</v>
      </c>
      <c r="M417" s="31">
        <v>598</v>
      </c>
      <c r="N417" s="31">
        <f>2882285.69+104876.81+65847.66</f>
        <v>3053010.16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f>ROUND(N417*1.5%,2)</f>
        <v>45795.15</v>
      </c>
      <c r="AD417" s="31">
        <v>83319.91</v>
      </c>
      <c r="AE417" s="31">
        <v>0</v>
      </c>
      <c r="AF417" s="219">
        <v>2020</v>
      </c>
      <c r="AG417" s="219">
        <v>2020</v>
      </c>
      <c r="AH417" s="220">
        <v>2020</v>
      </c>
      <c r="AT417" s="20" t="e">
        <f>VLOOKUP(C417,AW:AX,2,FALSE)</f>
        <v>#N/A</v>
      </c>
      <c r="BZ417" s="71"/>
      <c r="CD417" s="20" t="e">
        <f t="shared" si="66"/>
        <v>#N/A</v>
      </c>
    </row>
    <row r="418" spans="1:82" ht="61.5" x14ac:dyDescent="0.85">
      <c r="B418" s="24" t="s">
        <v>885</v>
      </c>
      <c r="C418" s="24"/>
      <c r="D418" s="31">
        <f>D419</f>
        <v>522383.64</v>
      </c>
      <c r="E418" s="31">
        <f t="shared" ref="E418:AE418" si="78">E419</f>
        <v>0</v>
      </c>
      <c r="F418" s="31">
        <f t="shared" si="78"/>
        <v>0</v>
      </c>
      <c r="G418" s="31">
        <f t="shared" si="78"/>
        <v>0</v>
      </c>
      <c r="H418" s="31">
        <f t="shared" si="78"/>
        <v>514663.67999999999</v>
      </c>
      <c r="I418" s="31">
        <f t="shared" si="78"/>
        <v>0</v>
      </c>
      <c r="J418" s="31">
        <f t="shared" si="78"/>
        <v>0</v>
      </c>
      <c r="K418" s="33">
        <f t="shared" si="78"/>
        <v>0</v>
      </c>
      <c r="L418" s="31">
        <f t="shared" si="78"/>
        <v>0</v>
      </c>
      <c r="M418" s="31">
        <f t="shared" si="78"/>
        <v>0</v>
      </c>
      <c r="N418" s="31">
        <f t="shared" si="78"/>
        <v>0</v>
      </c>
      <c r="O418" s="31">
        <f t="shared" si="78"/>
        <v>0</v>
      </c>
      <c r="P418" s="31">
        <f t="shared" si="78"/>
        <v>0</v>
      </c>
      <c r="Q418" s="31">
        <f t="shared" si="78"/>
        <v>0</v>
      </c>
      <c r="R418" s="31">
        <f t="shared" si="78"/>
        <v>0</v>
      </c>
      <c r="S418" s="31">
        <f t="shared" si="78"/>
        <v>0</v>
      </c>
      <c r="T418" s="31">
        <f t="shared" si="78"/>
        <v>0</v>
      </c>
      <c r="U418" s="31">
        <f t="shared" si="78"/>
        <v>0</v>
      </c>
      <c r="V418" s="31">
        <f t="shared" si="78"/>
        <v>0</v>
      </c>
      <c r="W418" s="31">
        <f t="shared" si="78"/>
        <v>0</v>
      </c>
      <c r="X418" s="31">
        <f t="shared" si="78"/>
        <v>0</v>
      </c>
      <c r="Y418" s="31">
        <f t="shared" si="78"/>
        <v>0</v>
      </c>
      <c r="Z418" s="31">
        <f t="shared" si="78"/>
        <v>0</v>
      </c>
      <c r="AA418" s="31">
        <f t="shared" si="78"/>
        <v>0</v>
      </c>
      <c r="AB418" s="31">
        <f t="shared" si="78"/>
        <v>0</v>
      </c>
      <c r="AC418" s="31">
        <f t="shared" si="78"/>
        <v>7719.96</v>
      </c>
      <c r="AD418" s="31">
        <f t="shared" si="78"/>
        <v>0</v>
      </c>
      <c r="AE418" s="31">
        <f t="shared" si="78"/>
        <v>0</v>
      </c>
      <c r="AF418" s="221" t="s">
        <v>764</v>
      </c>
      <c r="AG418" s="221" t="s">
        <v>764</v>
      </c>
      <c r="AH418" s="222" t="s">
        <v>764</v>
      </c>
      <c r="BZ418" s="71">
        <v>522383.64</v>
      </c>
      <c r="CD418" s="20" t="e">
        <f t="shared" si="66"/>
        <v>#N/A</v>
      </c>
    </row>
    <row r="419" spans="1:82" ht="61.5" x14ac:dyDescent="0.85">
      <c r="A419" s="20">
        <v>1</v>
      </c>
      <c r="B419" s="66">
        <f>SUBTOTAL(103,$A$22:A419)</f>
        <v>365</v>
      </c>
      <c r="C419" s="24" t="s">
        <v>1251</v>
      </c>
      <c r="D419" s="31">
        <f>E419+F419+G419+H419+I419+J419+L419+N419+P419+R419+T419+U419+V419+W419+X419+Y419+Z419+AA419+AB419+AC419+AD419+AE419</f>
        <v>522383.64</v>
      </c>
      <c r="E419" s="31">
        <v>0</v>
      </c>
      <c r="F419" s="31">
        <v>0</v>
      </c>
      <c r="G419" s="31">
        <v>0</v>
      </c>
      <c r="H419" s="31">
        <v>514663.67999999999</v>
      </c>
      <c r="I419" s="31">
        <v>0</v>
      </c>
      <c r="J419" s="31">
        <v>0</v>
      </c>
      <c r="K419" s="33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f>ROUND((E419+F419+G419+H419+I419+J419)*1.5%,2)</f>
        <v>7719.96</v>
      </c>
      <c r="AD419" s="31">
        <v>0</v>
      </c>
      <c r="AE419" s="31">
        <v>0</v>
      </c>
      <c r="AF419" s="219" t="s">
        <v>271</v>
      </c>
      <c r="AG419" s="219">
        <v>2020</v>
      </c>
      <c r="AH419" s="220">
        <v>2020</v>
      </c>
      <c r="BZ419" s="71"/>
      <c r="CD419" s="20" t="e">
        <f t="shared" si="66"/>
        <v>#N/A</v>
      </c>
    </row>
    <row r="420" spans="1:82" ht="61.5" x14ac:dyDescent="0.85">
      <c r="B420" s="24" t="s">
        <v>853</v>
      </c>
      <c r="C420" s="114"/>
      <c r="D420" s="31">
        <f t="shared" ref="D420:AE420" si="79">SUM(D421:D424)</f>
        <v>18167495.66</v>
      </c>
      <c r="E420" s="31">
        <f t="shared" si="79"/>
        <v>0</v>
      </c>
      <c r="F420" s="31">
        <f t="shared" si="79"/>
        <v>0</v>
      </c>
      <c r="G420" s="31">
        <f t="shared" si="79"/>
        <v>0</v>
      </c>
      <c r="H420" s="31">
        <f t="shared" si="79"/>
        <v>0</v>
      </c>
      <c r="I420" s="31">
        <f t="shared" si="79"/>
        <v>0</v>
      </c>
      <c r="J420" s="31">
        <f t="shared" si="79"/>
        <v>0</v>
      </c>
      <c r="K420" s="33">
        <f t="shared" si="79"/>
        <v>0</v>
      </c>
      <c r="L420" s="31">
        <f t="shared" si="79"/>
        <v>0</v>
      </c>
      <c r="M420" s="31">
        <f t="shared" si="79"/>
        <v>2296.96</v>
      </c>
      <c r="N420" s="31">
        <f t="shared" si="79"/>
        <v>8569425.0999999996</v>
      </c>
      <c r="O420" s="31">
        <f t="shared" si="79"/>
        <v>0</v>
      </c>
      <c r="P420" s="31">
        <f t="shared" si="79"/>
        <v>0</v>
      </c>
      <c r="Q420" s="31">
        <f t="shared" si="79"/>
        <v>0</v>
      </c>
      <c r="R420" s="31">
        <f t="shared" si="79"/>
        <v>0</v>
      </c>
      <c r="S420" s="31">
        <f t="shared" si="79"/>
        <v>0</v>
      </c>
      <c r="T420" s="31">
        <f t="shared" si="79"/>
        <v>0</v>
      </c>
      <c r="U420" s="31">
        <f t="shared" si="79"/>
        <v>9292419.6600000001</v>
      </c>
      <c r="V420" s="31">
        <f t="shared" si="79"/>
        <v>0</v>
      </c>
      <c r="W420" s="31">
        <f t="shared" si="79"/>
        <v>0</v>
      </c>
      <c r="X420" s="31">
        <f t="shared" si="79"/>
        <v>0</v>
      </c>
      <c r="Y420" s="31">
        <f t="shared" si="79"/>
        <v>0</v>
      </c>
      <c r="Z420" s="31">
        <f t="shared" si="79"/>
        <v>0</v>
      </c>
      <c r="AA420" s="31">
        <f t="shared" si="79"/>
        <v>0</v>
      </c>
      <c r="AB420" s="31">
        <f t="shared" si="79"/>
        <v>0</v>
      </c>
      <c r="AC420" s="31">
        <f t="shared" si="79"/>
        <v>221218.23000000004</v>
      </c>
      <c r="AD420" s="31">
        <f t="shared" si="79"/>
        <v>84432.67</v>
      </c>
      <c r="AE420" s="31">
        <f t="shared" si="79"/>
        <v>0</v>
      </c>
      <c r="AF420" s="221" t="s">
        <v>764</v>
      </c>
      <c r="AG420" s="221" t="s">
        <v>764</v>
      </c>
      <c r="AH420" s="222" t="s">
        <v>764</v>
      </c>
      <c r="AT420" s="20" t="e">
        <f>VLOOKUP(C420,AW:AX,2,FALSE)</f>
        <v>#N/A</v>
      </c>
      <c r="BZ420" s="71">
        <v>18514841.960000001</v>
      </c>
      <c r="CD420" s="20" t="e">
        <f t="shared" si="66"/>
        <v>#N/A</v>
      </c>
    </row>
    <row r="421" spans="1:82" ht="61.5" x14ac:dyDescent="0.85">
      <c r="A421" s="20">
        <v>1</v>
      </c>
      <c r="B421" s="66">
        <f>SUBTOTAL(103,$A$22:A421)</f>
        <v>366</v>
      </c>
      <c r="C421" s="24" t="s">
        <v>107</v>
      </c>
      <c r="D421" s="31">
        <f>E421+F421+G421+H421+I421+J421+L421+N421+P421+R421+T421+U421+V421+W421+X421+Y421+Z421+AA421+AB421+AC421+AD421+AE421</f>
        <v>1883595.76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3">
        <v>0</v>
      </c>
      <c r="L421" s="31">
        <v>0</v>
      </c>
      <c r="M421" s="272">
        <v>549.33000000000004</v>
      </c>
      <c r="N421" s="328">
        <v>1871524.43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272">
        <v>12071.33</v>
      </c>
      <c r="AD421" s="31">
        <v>0</v>
      </c>
      <c r="AE421" s="31">
        <v>0</v>
      </c>
      <c r="AF421" s="219" t="s">
        <v>271</v>
      </c>
      <c r="AG421" s="219">
        <v>2020</v>
      </c>
      <c r="AH421" s="220">
        <v>2020</v>
      </c>
      <c r="AT421" s="20" t="e">
        <f>VLOOKUP(C421,AW:AX,2,FALSE)</f>
        <v>#N/A</v>
      </c>
      <c r="BZ421" s="71"/>
      <c r="CD421" s="20">
        <f t="shared" si="66"/>
        <v>596.4</v>
      </c>
    </row>
    <row r="422" spans="1:82" ht="61.5" x14ac:dyDescent="0.85">
      <c r="A422" s="20">
        <v>1</v>
      </c>
      <c r="B422" s="66">
        <f>SUBTOTAL(103,$A$22:A422)</f>
        <v>367</v>
      </c>
      <c r="C422" s="24" t="s">
        <v>109</v>
      </c>
      <c r="D422" s="31">
        <f>E422+F422+G422+H422+I422+J422+L422+N422+P422+R422+T422+U422+V422+W422+X422+Y422+Z422+AA422+AB422+AC422+AD422+AE422</f>
        <v>3584544.9999999995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3">
        <v>0</v>
      </c>
      <c r="L422" s="31">
        <v>0</v>
      </c>
      <c r="M422" s="327">
        <v>940.23</v>
      </c>
      <c r="N422" s="337">
        <v>3448386.53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f>ROUND(N422*1.5%,2)</f>
        <v>51725.8</v>
      </c>
      <c r="AD422" s="273">
        <v>84432.67</v>
      </c>
      <c r="AE422" s="31">
        <v>0</v>
      </c>
      <c r="AF422" s="219">
        <v>2020</v>
      </c>
      <c r="AG422" s="219">
        <v>2020</v>
      </c>
      <c r="AH422" s="220">
        <v>2020</v>
      </c>
      <c r="AT422" s="20" t="e">
        <f>VLOOKUP(C422,AW:AX,2,FALSE)</f>
        <v>#N/A</v>
      </c>
      <c r="BZ422" s="71"/>
      <c r="CD422" s="20">
        <f t="shared" si="66"/>
        <v>936.1</v>
      </c>
    </row>
    <row r="423" spans="1:82" ht="61.5" x14ac:dyDescent="0.85">
      <c r="A423" s="20">
        <v>1</v>
      </c>
      <c r="B423" s="66">
        <f>SUBTOTAL(103,$A$22:A423)</f>
        <v>368</v>
      </c>
      <c r="C423" s="24" t="s">
        <v>1252</v>
      </c>
      <c r="D423" s="31">
        <f>E423+F423+G423+H423+I423+J423+L423+N423+P423+R423+T423+U423+V423+W423+X423+Y423+Z423+AA423+AB423+AC423+AD423+AE423</f>
        <v>3267548.94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3">
        <v>0</v>
      </c>
      <c r="L423" s="31">
        <v>0</v>
      </c>
      <c r="M423" s="272">
        <v>807.4</v>
      </c>
      <c r="N423" s="273">
        <v>3249514.14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273">
        <v>18034.8</v>
      </c>
      <c r="AD423" s="31">
        <v>0</v>
      </c>
      <c r="AE423" s="31">
        <v>0</v>
      </c>
      <c r="AF423" s="219" t="s">
        <v>271</v>
      </c>
      <c r="AG423" s="219">
        <v>2020</v>
      </c>
      <c r="AH423" s="220">
        <v>2020</v>
      </c>
      <c r="BZ423" s="71"/>
      <c r="CD423" s="20">
        <f t="shared" si="66"/>
        <v>807.4</v>
      </c>
    </row>
    <row r="424" spans="1:82" ht="61.5" x14ac:dyDescent="0.85">
      <c r="A424" s="20">
        <v>1</v>
      </c>
      <c r="B424" s="66">
        <f>SUBTOTAL(103,$A$22:A424)</f>
        <v>369</v>
      </c>
      <c r="C424" s="24" t="s">
        <v>1253</v>
      </c>
      <c r="D424" s="31">
        <f>E424+F424+G424+H424+I424+J424+L424+N424+P424+R424+T424+U424+V424+W424+X424+Y424+Z424+AA424+AB424+AC424+AD424+AE424</f>
        <v>9431805.9600000009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3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f>5582000+10675.67+ROUND(836106.34/101.5*100,2)+2875993.9</f>
        <v>9292419.6600000001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f>ROUND(U424*1.5%,2)+0.01</f>
        <v>139386.30000000002</v>
      </c>
      <c r="AD424" s="31">
        <v>0</v>
      </c>
      <c r="AE424" s="31">
        <v>0</v>
      </c>
      <c r="AF424" s="219" t="s">
        <v>271</v>
      </c>
      <c r="AG424" s="219">
        <v>2020</v>
      </c>
      <c r="AH424" s="220">
        <v>2020</v>
      </c>
      <c r="BZ424" s="71"/>
      <c r="CD424" s="20">
        <f t="shared" si="66"/>
        <v>901.42</v>
      </c>
    </row>
    <row r="425" spans="1:82" ht="61.5" x14ac:dyDescent="0.85">
      <c r="B425" s="24" t="s">
        <v>854</v>
      </c>
      <c r="C425" s="114"/>
      <c r="D425" s="31">
        <f>D426</f>
        <v>5141890.1999999993</v>
      </c>
      <c r="E425" s="31">
        <f t="shared" ref="E425:AE425" si="80">E426</f>
        <v>0</v>
      </c>
      <c r="F425" s="31">
        <f t="shared" si="80"/>
        <v>0</v>
      </c>
      <c r="G425" s="31">
        <f t="shared" si="80"/>
        <v>0</v>
      </c>
      <c r="H425" s="31">
        <f t="shared" si="80"/>
        <v>0</v>
      </c>
      <c r="I425" s="31">
        <f t="shared" si="80"/>
        <v>0</v>
      </c>
      <c r="J425" s="31">
        <f t="shared" si="80"/>
        <v>0</v>
      </c>
      <c r="K425" s="33">
        <f t="shared" si="80"/>
        <v>0</v>
      </c>
      <c r="L425" s="31">
        <f t="shared" si="80"/>
        <v>0</v>
      </c>
      <c r="M425" s="31">
        <f t="shared" si="80"/>
        <v>1110</v>
      </c>
      <c r="N425" s="31">
        <f t="shared" si="80"/>
        <v>4910492.5599999996</v>
      </c>
      <c r="O425" s="31">
        <f t="shared" si="80"/>
        <v>0</v>
      </c>
      <c r="P425" s="31">
        <f t="shared" si="80"/>
        <v>0</v>
      </c>
      <c r="Q425" s="31">
        <f t="shared" si="80"/>
        <v>0</v>
      </c>
      <c r="R425" s="31">
        <f t="shared" si="80"/>
        <v>0</v>
      </c>
      <c r="S425" s="31">
        <f t="shared" si="80"/>
        <v>0</v>
      </c>
      <c r="T425" s="31">
        <f t="shared" si="80"/>
        <v>0</v>
      </c>
      <c r="U425" s="31">
        <f t="shared" si="80"/>
        <v>0</v>
      </c>
      <c r="V425" s="31">
        <f t="shared" si="80"/>
        <v>0</v>
      </c>
      <c r="W425" s="31">
        <f t="shared" si="80"/>
        <v>0</v>
      </c>
      <c r="X425" s="31">
        <f t="shared" si="80"/>
        <v>0</v>
      </c>
      <c r="Y425" s="31">
        <f t="shared" si="80"/>
        <v>0</v>
      </c>
      <c r="Z425" s="31">
        <f t="shared" si="80"/>
        <v>0</v>
      </c>
      <c r="AA425" s="31">
        <f t="shared" si="80"/>
        <v>0</v>
      </c>
      <c r="AB425" s="31">
        <f t="shared" si="80"/>
        <v>0</v>
      </c>
      <c r="AC425" s="31">
        <f t="shared" si="80"/>
        <v>73657.39</v>
      </c>
      <c r="AD425" s="31">
        <f t="shared" si="80"/>
        <v>157740.25</v>
      </c>
      <c r="AE425" s="31">
        <f t="shared" si="80"/>
        <v>0</v>
      </c>
      <c r="AF425" s="221" t="s">
        <v>764</v>
      </c>
      <c r="AG425" s="221" t="s">
        <v>764</v>
      </c>
      <c r="AH425" s="222" t="s">
        <v>764</v>
      </c>
      <c r="AT425" s="20" t="e">
        <f>VLOOKUP(C425,AW:AX,2,FALSE)</f>
        <v>#N/A</v>
      </c>
      <c r="BZ425" s="71">
        <v>5141890.2</v>
      </c>
      <c r="CD425" s="20" t="e">
        <f t="shared" si="66"/>
        <v>#N/A</v>
      </c>
    </row>
    <row r="426" spans="1:82" ht="61.5" x14ac:dyDescent="0.85">
      <c r="A426" s="20">
        <v>1</v>
      </c>
      <c r="B426" s="66">
        <f>SUBTOTAL(103,$A$22:A426)</f>
        <v>370</v>
      </c>
      <c r="C426" s="24" t="s">
        <v>40</v>
      </c>
      <c r="D426" s="31">
        <f>E426+F426+G426+H426+I426+J426+L426+N426+P426+R426+T426+U426+V426+W426+X426+Y426+Z426+AA426+AB426+AC426+AD426+AE426</f>
        <v>5141890.1999999993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3">
        <v>0</v>
      </c>
      <c r="L426" s="31">
        <v>0</v>
      </c>
      <c r="M426" s="31">
        <v>1110</v>
      </c>
      <c r="N426" s="206">
        <f>4569884.04-985.22+311781.18+29812.56</f>
        <v>4910492.5599999996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0</v>
      </c>
      <c r="AC426" s="31">
        <f>ROUND(N426*1.5%,2)</f>
        <v>73657.39</v>
      </c>
      <c r="AD426" s="272">
        <v>157740.25</v>
      </c>
      <c r="AE426" s="31">
        <v>0</v>
      </c>
      <c r="AF426" s="219">
        <v>2020</v>
      </c>
      <c r="AG426" s="219">
        <v>2020</v>
      </c>
      <c r="AH426" s="220">
        <v>2020</v>
      </c>
      <c r="AT426" s="20" t="e">
        <f>VLOOKUP(C426,AW:AX,2,FALSE)</f>
        <v>#N/A</v>
      </c>
      <c r="BZ426" s="71"/>
      <c r="CD426" s="20" t="e">
        <f t="shared" si="66"/>
        <v>#N/A</v>
      </c>
    </row>
    <row r="427" spans="1:82" ht="61.5" x14ac:dyDescent="0.85">
      <c r="B427" s="24" t="s">
        <v>855</v>
      </c>
      <c r="C427" s="24"/>
      <c r="D427" s="31">
        <f>SUM(D428:D430)</f>
        <v>15983757.409999998</v>
      </c>
      <c r="E427" s="31">
        <f t="shared" ref="E427:AE427" si="81">SUM(E428:E430)</f>
        <v>617239.29</v>
      </c>
      <c r="F427" s="31">
        <f t="shared" si="81"/>
        <v>492637.49</v>
      </c>
      <c r="G427" s="31">
        <f t="shared" si="81"/>
        <v>2246215.7799999998</v>
      </c>
      <c r="H427" s="31">
        <f t="shared" si="81"/>
        <v>377296.73</v>
      </c>
      <c r="I427" s="31">
        <f t="shared" si="81"/>
        <v>0</v>
      </c>
      <c r="J427" s="31">
        <f t="shared" si="81"/>
        <v>0</v>
      </c>
      <c r="K427" s="33">
        <f t="shared" si="81"/>
        <v>0</v>
      </c>
      <c r="L427" s="31">
        <f t="shared" si="81"/>
        <v>0</v>
      </c>
      <c r="M427" s="31">
        <f t="shared" si="81"/>
        <v>2781</v>
      </c>
      <c r="N427" s="31">
        <f t="shared" si="81"/>
        <v>11689945.399999999</v>
      </c>
      <c r="O427" s="31">
        <f t="shared" si="81"/>
        <v>0</v>
      </c>
      <c r="P427" s="31">
        <f t="shared" si="81"/>
        <v>0</v>
      </c>
      <c r="Q427" s="31">
        <f t="shared" si="81"/>
        <v>0</v>
      </c>
      <c r="R427" s="31">
        <f t="shared" si="81"/>
        <v>0</v>
      </c>
      <c r="S427" s="31">
        <f t="shared" si="81"/>
        <v>0</v>
      </c>
      <c r="T427" s="31">
        <f t="shared" si="81"/>
        <v>0</v>
      </c>
      <c r="U427" s="31">
        <f t="shared" si="81"/>
        <v>0</v>
      </c>
      <c r="V427" s="31">
        <f t="shared" si="81"/>
        <v>0</v>
      </c>
      <c r="W427" s="31">
        <f t="shared" si="81"/>
        <v>0</v>
      </c>
      <c r="X427" s="31">
        <f t="shared" si="81"/>
        <v>0</v>
      </c>
      <c r="Y427" s="31">
        <f t="shared" si="81"/>
        <v>0</v>
      </c>
      <c r="Z427" s="31">
        <f t="shared" si="81"/>
        <v>0</v>
      </c>
      <c r="AA427" s="31">
        <f t="shared" si="81"/>
        <v>0</v>
      </c>
      <c r="AB427" s="31">
        <f t="shared" si="81"/>
        <v>0</v>
      </c>
      <c r="AC427" s="31">
        <f t="shared" si="81"/>
        <v>231350.02</v>
      </c>
      <c r="AD427" s="31">
        <f t="shared" si="81"/>
        <v>329072.69999999995</v>
      </c>
      <c r="AE427" s="31">
        <f t="shared" si="81"/>
        <v>0</v>
      </c>
      <c r="AF427" s="221" t="s">
        <v>764</v>
      </c>
      <c r="AG427" s="221" t="s">
        <v>764</v>
      </c>
      <c r="AH427" s="222" t="s">
        <v>764</v>
      </c>
      <c r="AT427" s="20" t="e">
        <f>VLOOKUP(C427,AW:AX,2,FALSE)</f>
        <v>#N/A</v>
      </c>
      <c r="BZ427" s="71">
        <v>21864677.539999999</v>
      </c>
      <c r="CD427" s="20" t="e">
        <f t="shared" si="66"/>
        <v>#N/A</v>
      </c>
    </row>
    <row r="428" spans="1:82" ht="61.5" x14ac:dyDescent="0.85">
      <c r="A428" s="20">
        <v>1</v>
      </c>
      <c r="B428" s="66">
        <f>SUBTOTAL(103,$A$22:A428)</f>
        <v>371</v>
      </c>
      <c r="C428" s="24" t="s">
        <v>63</v>
      </c>
      <c r="D428" s="31">
        <f>E428+F428+G428+H428+I428+J428+L428+N428+P428+R428+T428+U428+V428+W428+X428+Y428+Z428+AA428+AB428+AC428+AD428+AE428</f>
        <v>6351854.879999999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3">
        <v>0</v>
      </c>
      <c r="L428" s="31">
        <v>0</v>
      </c>
      <c r="M428" s="31">
        <v>1420</v>
      </c>
      <c r="N428" s="31">
        <f>5786396.52+295738.38</f>
        <v>6082134.8999999994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f>ROUND(N428*1.5%,2)</f>
        <v>91232.02</v>
      </c>
      <c r="AD428" s="31">
        <v>178487.96</v>
      </c>
      <c r="AE428" s="31">
        <v>0</v>
      </c>
      <c r="AF428" s="219">
        <v>2020</v>
      </c>
      <c r="AG428" s="219">
        <v>2020</v>
      </c>
      <c r="AH428" s="220">
        <v>2020</v>
      </c>
      <c r="AT428" s="20" t="e">
        <f>VLOOKUP(C428,AW:AX,2,FALSE)</f>
        <v>#N/A</v>
      </c>
      <c r="BZ428" s="71"/>
      <c r="CD428" s="20" t="e">
        <f t="shared" si="66"/>
        <v>#N/A</v>
      </c>
    </row>
    <row r="429" spans="1:82" ht="61.5" x14ac:dyDescent="0.85">
      <c r="A429" s="20">
        <v>1</v>
      </c>
      <c r="B429" s="66">
        <f>SUBTOTAL(103,$A$22:A429)</f>
        <v>372</v>
      </c>
      <c r="C429" s="24" t="s">
        <v>1267</v>
      </c>
      <c r="D429" s="31">
        <f>E429+F429+G429+H429+I429+J429+L429+N429+P429+R429+T429+U429+V429+W429+X429+Y429+Z429+AA429+AB429+AC429+AD429+AE429</f>
        <v>3789390.1299999994</v>
      </c>
      <c r="E429" s="31">
        <f>561649.39+55589.9</f>
        <v>617239.29</v>
      </c>
      <c r="F429" s="31">
        <v>492637.49</v>
      </c>
      <c r="G429" s="31">
        <v>2246215.7799999998</v>
      </c>
      <c r="H429" s="335">
        <v>377296.73</v>
      </c>
      <c r="I429" s="31">
        <v>0</v>
      </c>
      <c r="J429" s="31">
        <v>0</v>
      </c>
      <c r="K429" s="33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f>ROUND((E429+F429+G429+H429+I429+J429)*1.5%,2)</f>
        <v>56000.84</v>
      </c>
      <c r="AD429" s="31">
        <v>0</v>
      </c>
      <c r="AE429" s="31">
        <v>0</v>
      </c>
      <c r="AF429" s="219" t="s">
        <v>271</v>
      </c>
      <c r="AG429" s="219">
        <v>2020</v>
      </c>
      <c r="AH429" s="220">
        <v>2020</v>
      </c>
      <c r="BZ429" s="71"/>
      <c r="CD429" s="20" t="e">
        <f t="shared" si="66"/>
        <v>#N/A</v>
      </c>
    </row>
    <row r="430" spans="1:82" ht="61.5" x14ac:dyDescent="0.85">
      <c r="A430" s="20">
        <v>1</v>
      </c>
      <c r="B430" s="66">
        <f>SUBTOTAL(103,$A$22:A430)</f>
        <v>373</v>
      </c>
      <c r="C430" s="24" t="s">
        <v>52</v>
      </c>
      <c r="D430" s="31">
        <f>E430+F430+G430+H430+I430+J430+L430+N430+P430+R430+T430+U430+V430+W430+X430+Y430+Z430+AA430+AB430+AC430+AD430+AE430</f>
        <v>5842512.4000000004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3">
        <v>0</v>
      </c>
      <c r="L430" s="31">
        <v>0</v>
      </c>
      <c r="M430" s="31">
        <v>1361</v>
      </c>
      <c r="N430" s="31">
        <v>5607810.5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f>ROUND(N430*1.5%,2)</f>
        <v>84117.16</v>
      </c>
      <c r="AD430" s="31">
        <v>150584.74</v>
      </c>
      <c r="AE430" s="31">
        <v>0</v>
      </c>
      <c r="AF430" s="219">
        <v>2020</v>
      </c>
      <c r="AG430" s="219">
        <v>2020</v>
      </c>
      <c r="AH430" s="220">
        <v>2020</v>
      </c>
      <c r="AT430" s="20" t="e">
        <f>VLOOKUP(C430,AW:AX,2,FALSE)</f>
        <v>#N/A</v>
      </c>
      <c r="BZ430" s="71"/>
      <c r="CD430" s="20" t="e">
        <f t="shared" si="66"/>
        <v>#N/A</v>
      </c>
    </row>
    <row r="431" spans="1:82" ht="61.5" x14ac:dyDescent="0.85">
      <c r="B431" s="24" t="s">
        <v>856</v>
      </c>
      <c r="C431" s="24"/>
      <c r="D431" s="31">
        <f t="shared" ref="D431:AE431" si="82">SUM(D432:D438)</f>
        <v>33530692.979999997</v>
      </c>
      <c r="E431" s="31">
        <f t="shared" si="82"/>
        <v>1808322.75</v>
      </c>
      <c r="F431" s="31">
        <f t="shared" si="82"/>
        <v>3961209.92</v>
      </c>
      <c r="G431" s="31">
        <f t="shared" si="82"/>
        <v>12231471.289999999</v>
      </c>
      <c r="H431" s="31">
        <f t="shared" si="82"/>
        <v>2331370.5</v>
      </c>
      <c r="I431" s="31">
        <f t="shared" si="82"/>
        <v>2823224.32</v>
      </c>
      <c r="J431" s="31">
        <f t="shared" si="82"/>
        <v>0</v>
      </c>
      <c r="K431" s="33">
        <f t="shared" si="82"/>
        <v>0</v>
      </c>
      <c r="L431" s="31">
        <f t="shared" si="82"/>
        <v>0</v>
      </c>
      <c r="M431" s="31">
        <f t="shared" si="82"/>
        <v>1270.7</v>
      </c>
      <c r="N431" s="31">
        <f t="shared" si="82"/>
        <v>6187231.6299999999</v>
      </c>
      <c r="O431" s="31">
        <f t="shared" si="82"/>
        <v>0</v>
      </c>
      <c r="P431" s="31">
        <f t="shared" si="82"/>
        <v>0</v>
      </c>
      <c r="Q431" s="31">
        <f t="shared" si="82"/>
        <v>858.98</v>
      </c>
      <c r="R431" s="31">
        <f t="shared" si="82"/>
        <v>3617645.64</v>
      </c>
      <c r="S431" s="31">
        <f t="shared" si="82"/>
        <v>0</v>
      </c>
      <c r="T431" s="31">
        <f t="shared" si="82"/>
        <v>0</v>
      </c>
      <c r="U431" s="31">
        <f t="shared" si="82"/>
        <v>0</v>
      </c>
      <c r="V431" s="31">
        <f t="shared" si="82"/>
        <v>0</v>
      </c>
      <c r="W431" s="31">
        <f t="shared" si="82"/>
        <v>0</v>
      </c>
      <c r="X431" s="31">
        <f t="shared" si="82"/>
        <v>0</v>
      </c>
      <c r="Y431" s="31">
        <f t="shared" si="82"/>
        <v>0</v>
      </c>
      <c r="Z431" s="31">
        <f t="shared" si="82"/>
        <v>0</v>
      </c>
      <c r="AA431" s="31">
        <f t="shared" si="82"/>
        <v>0</v>
      </c>
      <c r="AB431" s="31">
        <f t="shared" si="82"/>
        <v>0</v>
      </c>
      <c r="AC431" s="31">
        <f t="shared" si="82"/>
        <v>357038.67</v>
      </c>
      <c r="AD431" s="31">
        <f t="shared" si="82"/>
        <v>213178.26</v>
      </c>
      <c r="AE431" s="31">
        <f t="shared" si="82"/>
        <v>0</v>
      </c>
      <c r="AF431" s="221" t="s">
        <v>764</v>
      </c>
      <c r="AG431" s="221" t="s">
        <v>764</v>
      </c>
      <c r="AH431" s="222" t="s">
        <v>764</v>
      </c>
      <c r="AT431" s="20" t="e">
        <f>VLOOKUP(C431,AW:AX,2,FALSE)</f>
        <v>#N/A</v>
      </c>
      <c r="BZ431" s="71">
        <v>34570625.039999999</v>
      </c>
      <c r="CD431" s="20" t="e">
        <f t="shared" si="66"/>
        <v>#N/A</v>
      </c>
    </row>
    <row r="432" spans="1:82" ht="61.5" x14ac:dyDescent="0.85">
      <c r="A432" s="20">
        <v>1</v>
      </c>
      <c r="B432" s="66">
        <f>SUBTOTAL(103,$A$22:A432)</f>
        <v>374</v>
      </c>
      <c r="C432" s="24" t="s">
        <v>47</v>
      </c>
      <c r="D432" s="31">
        <f t="shared" ref="D432:D438" si="83">E432+F432+G432+H432+I432+J432+L432+N432+P432+R432+T432+U432+V432+W432+X432+Y432+Z432+AA432+AB432+AC432+AD432+AE432</f>
        <v>3249292.7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3">
        <v>0</v>
      </c>
      <c r="L432" s="31">
        <v>0</v>
      </c>
      <c r="M432" s="31">
        <v>626.70000000000005</v>
      </c>
      <c r="N432" s="31">
        <v>3096061.14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f>ROUND(N432*1.5%,2)</f>
        <v>46440.92</v>
      </c>
      <c r="AD432" s="31">
        <v>106790.64</v>
      </c>
      <c r="AE432" s="31">
        <v>0</v>
      </c>
      <c r="AF432" s="219">
        <v>2020</v>
      </c>
      <c r="AG432" s="219">
        <v>2020</v>
      </c>
      <c r="AH432" s="220">
        <v>2020</v>
      </c>
      <c r="AT432" s="20" t="e">
        <f>VLOOKUP(C432,AW:AX,2,FALSE)</f>
        <v>#N/A</v>
      </c>
      <c r="BZ432" s="71"/>
      <c r="CD432" s="20" t="e">
        <f t="shared" si="66"/>
        <v>#N/A</v>
      </c>
    </row>
    <row r="433" spans="1:82" ht="61.5" x14ac:dyDescent="0.85">
      <c r="A433" s="20">
        <v>1</v>
      </c>
      <c r="B433" s="66">
        <f>SUBTOTAL(103,$A$22:A433)</f>
        <v>375</v>
      </c>
      <c r="C433" s="24" t="s">
        <v>809</v>
      </c>
      <c r="D433" s="31">
        <f t="shared" si="83"/>
        <v>3243925.67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3">
        <v>0</v>
      </c>
      <c r="L433" s="31">
        <v>0</v>
      </c>
      <c r="M433" s="31">
        <v>644</v>
      </c>
      <c r="N433" s="31">
        <v>3091170.4899999998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f>ROUND(N433*1.5%,2)</f>
        <v>46367.56</v>
      </c>
      <c r="AD433" s="31">
        <v>106387.62</v>
      </c>
      <c r="AE433" s="31">
        <v>0</v>
      </c>
      <c r="AF433" s="219">
        <v>2020</v>
      </c>
      <c r="AG433" s="219">
        <v>2020</v>
      </c>
      <c r="AH433" s="220">
        <v>2020</v>
      </c>
      <c r="AT433" s="20" t="e">
        <f>VLOOKUP(C433,AW:AX,2,FALSE)</f>
        <v>#N/A</v>
      </c>
      <c r="BZ433" s="71"/>
      <c r="CD433" s="20" t="e">
        <f t="shared" si="66"/>
        <v>#N/A</v>
      </c>
    </row>
    <row r="434" spans="1:82" ht="61.5" x14ac:dyDescent="0.85">
      <c r="A434" s="20">
        <v>1</v>
      </c>
      <c r="B434" s="66">
        <f>SUBTOTAL(103,$A$22:A434)</f>
        <v>376</v>
      </c>
      <c r="C434" s="24" t="s">
        <v>1255</v>
      </c>
      <c r="D434" s="31">
        <f t="shared" si="83"/>
        <v>5055398.59</v>
      </c>
      <c r="E434" s="273">
        <v>420192.57</v>
      </c>
      <c r="F434" s="273">
        <v>698894.43</v>
      </c>
      <c r="G434" s="273">
        <v>3335941.54</v>
      </c>
      <c r="H434" s="273">
        <v>526027.78</v>
      </c>
      <c r="I434" s="31">
        <v>0</v>
      </c>
      <c r="J434" s="31">
        <v>0</v>
      </c>
      <c r="K434" s="33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0</v>
      </c>
      <c r="AC434" s="31">
        <f>ROUND((E434+F434+G434+H434+I434+J434)*1.4925%,2)</f>
        <v>74342.27</v>
      </c>
      <c r="AD434" s="31">
        <v>0</v>
      </c>
      <c r="AE434" s="31">
        <v>0</v>
      </c>
      <c r="AF434" s="219" t="s">
        <v>271</v>
      </c>
      <c r="AG434" s="219">
        <v>2020</v>
      </c>
      <c r="AH434" s="220">
        <v>2020</v>
      </c>
      <c r="BZ434" s="71"/>
      <c r="CD434" s="20" t="e">
        <f t="shared" si="66"/>
        <v>#N/A</v>
      </c>
    </row>
    <row r="435" spans="1:82" ht="61.5" x14ac:dyDescent="0.85">
      <c r="A435" s="20">
        <v>1</v>
      </c>
      <c r="B435" s="66">
        <f>SUBTOTAL(103,$A$22:A435)</f>
        <v>377</v>
      </c>
      <c r="C435" s="24" t="s">
        <v>1256</v>
      </c>
      <c r="D435" s="31">
        <f t="shared" si="83"/>
        <v>5685725.29</v>
      </c>
      <c r="E435" s="273">
        <v>580158.97</v>
      </c>
      <c r="F435" s="273">
        <v>1111647.94</v>
      </c>
      <c r="G435" s="273">
        <v>3450030.95</v>
      </c>
      <c r="H435" s="273">
        <v>460275.88</v>
      </c>
      <c r="I435" s="31">
        <v>0</v>
      </c>
      <c r="J435" s="31">
        <v>0</v>
      </c>
      <c r="K435" s="33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f>ROUND((E435+F435+G435+H435+I435+J435)*1.4925%,2)</f>
        <v>83611.55</v>
      </c>
      <c r="AD435" s="31">
        <v>0</v>
      </c>
      <c r="AE435" s="31">
        <v>0</v>
      </c>
      <c r="AF435" s="219" t="s">
        <v>271</v>
      </c>
      <c r="AG435" s="219">
        <v>2020</v>
      </c>
      <c r="AH435" s="220">
        <v>2020</v>
      </c>
      <c r="BZ435" s="71"/>
      <c r="CD435" s="20" t="e">
        <f t="shared" si="66"/>
        <v>#N/A</v>
      </c>
    </row>
    <row r="436" spans="1:82" ht="61.5" x14ac:dyDescent="0.85">
      <c r="A436" s="20">
        <v>1</v>
      </c>
      <c r="B436" s="66">
        <f>SUBTOTAL(103,$A$22:A436)</f>
        <v>378</v>
      </c>
      <c r="C436" s="24" t="s">
        <v>1257</v>
      </c>
      <c r="D436" s="31">
        <f t="shared" si="83"/>
        <v>3267591.73</v>
      </c>
      <c r="E436" s="31">
        <v>0</v>
      </c>
      <c r="F436" s="31">
        <v>0</v>
      </c>
      <c r="G436" s="31">
        <v>3219540.09</v>
      </c>
      <c r="H436" s="31">
        <v>0</v>
      </c>
      <c r="I436" s="31">
        <v>0</v>
      </c>
      <c r="J436" s="31">
        <v>0</v>
      </c>
      <c r="K436" s="33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f>ROUND((E436+F436+G436+H436+I436+J436)*1.4925%,2)</f>
        <v>48051.64</v>
      </c>
      <c r="AD436" s="31">
        <v>0</v>
      </c>
      <c r="AE436" s="31">
        <v>0</v>
      </c>
      <c r="AF436" s="219" t="s">
        <v>271</v>
      </c>
      <c r="AG436" s="219">
        <v>2020</v>
      </c>
      <c r="AH436" s="220">
        <v>2020</v>
      </c>
      <c r="BZ436" s="71"/>
      <c r="CD436" s="20" t="e">
        <f t="shared" si="66"/>
        <v>#N/A</v>
      </c>
    </row>
    <row r="437" spans="1:82" ht="61.5" x14ac:dyDescent="0.85">
      <c r="A437" s="20">
        <v>1</v>
      </c>
      <c r="B437" s="66">
        <f>SUBTOTAL(103,$A$22:A437)</f>
        <v>379</v>
      </c>
      <c r="C437" s="24" t="s">
        <v>1258</v>
      </c>
      <c r="D437" s="31">
        <f>E437+F437+G437+H437+I437+J437+L437+N437+P437+R437+T437+U437+V437+W437+X437+Y437+Z437+AA437+AB437+AC437+AD437+AE437</f>
        <v>9394873.7499999981</v>
      </c>
      <c r="E437" s="31">
        <v>807971.21</v>
      </c>
      <c r="F437" s="31">
        <v>2150667.5499999998</v>
      </c>
      <c r="G437" s="31">
        <f>2197143.37+28815.34</f>
        <v>2225958.71</v>
      </c>
      <c r="H437" s="31">
        <v>1345066.84</v>
      </c>
      <c r="I437" s="31">
        <v>2823224.32</v>
      </c>
      <c r="J437" s="31">
        <v>0</v>
      </c>
      <c r="K437" s="33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f>ROUND((E437+F437+G437+H437+I437+J437)*0.4489%,2)</f>
        <v>41985.120000000003</v>
      </c>
      <c r="AD437" s="31">
        <v>0</v>
      </c>
      <c r="AE437" s="31">
        <v>0</v>
      </c>
      <c r="AF437" s="219" t="s">
        <v>271</v>
      </c>
      <c r="AG437" s="219">
        <v>2020</v>
      </c>
      <c r="AH437" s="220">
        <v>2020</v>
      </c>
      <c r="BZ437" s="71"/>
      <c r="CD437" s="20" t="e">
        <f t="shared" si="66"/>
        <v>#N/A</v>
      </c>
    </row>
    <row r="438" spans="1:82" ht="61.5" x14ac:dyDescent="0.85">
      <c r="A438" s="20">
        <v>1</v>
      </c>
      <c r="B438" s="66">
        <f>SUBTOTAL(103,$A$22:A438)</f>
        <v>380</v>
      </c>
      <c r="C438" s="24" t="s">
        <v>1259</v>
      </c>
      <c r="D438" s="31">
        <f t="shared" si="83"/>
        <v>3633885.25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3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858.98</v>
      </c>
      <c r="R438" s="273">
        <v>3617645.64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f>ROUND(R438*0.4489%,2)</f>
        <v>16239.61</v>
      </c>
      <c r="AD438" s="31">
        <v>0</v>
      </c>
      <c r="AE438" s="31">
        <v>0</v>
      </c>
      <c r="AF438" s="219" t="s">
        <v>271</v>
      </c>
      <c r="AG438" s="219">
        <v>2020</v>
      </c>
      <c r="AH438" s="220">
        <v>2020</v>
      </c>
      <c r="BZ438" s="71"/>
      <c r="CD438" s="20" t="e">
        <f t="shared" si="66"/>
        <v>#N/A</v>
      </c>
    </row>
    <row r="439" spans="1:82" ht="61.5" x14ac:dyDescent="0.85">
      <c r="B439" s="24" t="s">
        <v>857</v>
      </c>
      <c r="C439" s="24"/>
      <c r="D439" s="31">
        <f>SUM(D440:D444)</f>
        <v>9403284.9900000002</v>
      </c>
      <c r="E439" s="31">
        <f t="shared" ref="E439:AE439" si="84">SUM(E440:E444)</f>
        <v>167835.45</v>
      </c>
      <c r="F439" s="31">
        <f t="shared" si="84"/>
        <v>0</v>
      </c>
      <c r="G439" s="31">
        <f t="shared" si="84"/>
        <v>658789.53</v>
      </c>
      <c r="H439" s="31">
        <f t="shared" si="84"/>
        <v>0</v>
      </c>
      <c r="I439" s="31">
        <f t="shared" si="84"/>
        <v>618954.18000000005</v>
      </c>
      <c r="J439" s="31">
        <f t="shared" si="84"/>
        <v>0</v>
      </c>
      <c r="K439" s="33">
        <f t="shared" si="84"/>
        <v>0</v>
      </c>
      <c r="L439" s="31">
        <f t="shared" si="84"/>
        <v>0</v>
      </c>
      <c r="M439" s="31">
        <f t="shared" si="84"/>
        <v>2201.9</v>
      </c>
      <c r="N439" s="31">
        <f t="shared" si="84"/>
        <v>7825011.9399999995</v>
      </c>
      <c r="O439" s="31">
        <f t="shared" si="84"/>
        <v>0</v>
      </c>
      <c r="P439" s="31">
        <f t="shared" si="84"/>
        <v>0</v>
      </c>
      <c r="Q439" s="31">
        <f t="shared" si="84"/>
        <v>0</v>
      </c>
      <c r="R439" s="31">
        <f t="shared" si="84"/>
        <v>0</v>
      </c>
      <c r="S439" s="31">
        <f t="shared" si="84"/>
        <v>0</v>
      </c>
      <c r="T439" s="31">
        <f t="shared" si="84"/>
        <v>0</v>
      </c>
      <c r="U439" s="31">
        <f t="shared" si="84"/>
        <v>0</v>
      </c>
      <c r="V439" s="31">
        <f t="shared" si="84"/>
        <v>0</v>
      </c>
      <c r="W439" s="31">
        <f t="shared" si="84"/>
        <v>0</v>
      </c>
      <c r="X439" s="31">
        <f t="shared" si="84"/>
        <v>0</v>
      </c>
      <c r="Y439" s="31">
        <f t="shared" si="84"/>
        <v>0</v>
      </c>
      <c r="Z439" s="31">
        <f t="shared" si="84"/>
        <v>0</v>
      </c>
      <c r="AA439" s="31">
        <f t="shared" si="84"/>
        <v>0</v>
      </c>
      <c r="AB439" s="31">
        <f t="shared" si="84"/>
        <v>0</v>
      </c>
      <c r="AC439" s="31">
        <f t="shared" si="84"/>
        <v>132693.88999999998</v>
      </c>
      <c r="AD439" s="31">
        <f t="shared" si="84"/>
        <v>0</v>
      </c>
      <c r="AE439" s="31">
        <f t="shared" si="84"/>
        <v>0</v>
      </c>
      <c r="AF439" s="221" t="s">
        <v>764</v>
      </c>
      <c r="AG439" s="221" t="s">
        <v>764</v>
      </c>
      <c r="AH439" s="222" t="s">
        <v>764</v>
      </c>
      <c r="AT439" s="20" t="e">
        <f>VLOOKUP(C439,AW:AX,2,FALSE)</f>
        <v>#N/A</v>
      </c>
      <c r="BZ439" s="71">
        <v>12742956.99</v>
      </c>
      <c r="CB439" s="71">
        <f>BZ439-D439</f>
        <v>3339672</v>
      </c>
      <c r="CD439" s="20" t="e">
        <f t="shared" ref="CD439:CD502" si="85">VLOOKUP(C439,CE:CF,2,FALSE)</f>
        <v>#N/A</v>
      </c>
    </row>
    <row r="440" spans="1:82" ht="61.5" x14ac:dyDescent="0.85">
      <c r="A440" s="20">
        <v>1</v>
      </c>
      <c r="B440" s="66">
        <f>SUBTOTAL(103,$A$22:A440)</f>
        <v>381</v>
      </c>
      <c r="C440" s="24" t="s">
        <v>44</v>
      </c>
      <c r="D440" s="31">
        <f>E440+F440+G440+H440+I440+J440+L440+N440+P440+R440+T440+U440+V440+W440+X440+Y440+Z440+AA440+AB440+AC440+AD440+AE440</f>
        <v>2250143.48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3">
        <v>0</v>
      </c>
      <c r="L440" s="31">
        <v>0</v>
      </c>
      <c r="M440" s="278">
        <v>631</v>
      </c>
      <c r="N440" s="273">
        <v>2219021.7000000002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31121.78</v>
      </c>
      <c r="AD440" s="31">
        <v>0</v>
      </c>
      <c r="AE440" s="31">
        <v>0</v>
      </c>
      <c r="AF440" s="219" t="s">
        <v>271</v>
      </c>
      <c r="AG440" s="219">
        <v>2020</v>
      </c>
      <c r="AH440" s="220">
        <v>2020</v>
      </c>
      <c r="AT440" s="20" t="e">
        <f>VLOOKUP(C440,AW:AX,2,FALSE)</f>
        <v>#N/A</v>
      </c>
      <c r="BZ440" s="71"/>
      <c r="CD440" s="20">
        <f t="shared" si="85"/>
        <v>631</v>
      </c>
    </row>
    <row r="441" spans="1:82" ht="61.5" x14ac:dyDescent="0.85">
      <c r="A441" s="20">
        <v>1</v>
      </c>
      <c r="B441" s="66">
        <f>SUBTOTAL(103,$A$22:A441)</f>
        <v>382</v>
      </c>
      <c r="C441" s="24" t="s">
        <v>43</v>
      </c>
      <c r="D441" s="31">
        <f>E441+F441+G441+H441+I441+J441+L441+N441+P441+R441+T441+U441+V441+W441+X441+Y441+Z441+AA441+AB441+AC441+AD441+AE441</f>
        <v>2167263.7000000002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3">
        <v>0</v>
      </c>
      <c r="L441" s="31">
        <v>0</v>
      </c>
      <c r="M441" s="272">
        <v>554.9</v>
      </c>
      <c r="N441" s="273">
        <v>2137288.23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v>29975.47</v>
      </c>
      <c r="AD441" s="31">
        <v>0</v>
      </c>
      <c r="AE441" s="31">
        <v>0</v>
      </c>
      <c r="AF441" s="219" t="s">
        <v>271</v>
      </c>
      <c r="AG441" s="219">
        <v>2020</v>
      </c>
      <c r="AH441" s="220">
        <v>2020</v>
      </c>
      <c r="AT441" s="20" t="e">
        <f>VLOOKUP(C441,AW:AX,2,FALSE)</f>
        <v>#N/A</v>
      </c>
      <c r="BZ441" s="71"/>
      <c r="CD441" s="20">
        <f t="shared" si="85"/>
        <v>566</v>
      </c>
    </row>
    <row r="442" spans="1:82" ht="61.5" x14ac:dyDescent="0.85">
      <c r="A442" s="20">
        <v>1</v>
      </c>
      <c r="B442" s="66">
        <f>SUBTOTAL(103,$A$22:A442)</f>
        <v>383</v>
      </c>
      <c r="C442" s="24" t="s">
        <v>45</v>
      </c>
      <c r="D442" s="31">
        <f>E442+F442+G442+H442+I442+J442+L442+N442+P442+R442+T442+U442+V442+W442+X442+Y442+Z442+AA442+AB442+AC442+AD442+AE442</f>
        <v>2202329.54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3">
        <v>0</v>
      </c>
      <c r="L442" s="31">
        <v>0</v>
      </c>
      <c r="M442" s="272">
        <v>562</v>
      </c>
      <c r="N442" s="273">
        <v>2171869.08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30460.46</v>
      </c>
      <c r="AD442" s="31">
        <v>0</v>
      </c>
      <c r="AE442" s="31">
        <v>0</v>
      </c>
      <c r="AF442" s="219" t="s">
        <v>271</v>
      </c>
      <c r="AG442" s="219">
        <v>2020</v>
      </c>
      <c r="AH442" s="220">
        <v>2020</v>
      </c>
      <c r="AT442" s="20" t="e">
        <f>VLOOKUP(C442,AW:AX,2,FALSE)</f>
        <v>#N/A</v>
      </c>
      <c r="BZ442" s="71"/>
      <c r="CD442" s="20">
        <f t="shared" si="85"/>
        <v>562</v>
      </c>
    </row>
    <row r="443" spans="1:82" ht="61.5" x14ac:dyDescent="0.85">
      <c r="A443" s="20">
        <v>1</v>
      </c>
      <c r="B443" s="66">
        <f>SUBTOTAL(103,$A$22:A443)</f>
        <v>384</v>
      </c>
      <c r="C443" s="24" t="s">
        <v>1265</v>
      </c>
      <c r="D443" s="31">
        <f>E443+F443+G443+H443+I443+J443+L443+N443+P443+R443+T443+U443+V443+W443+X443+Y443+Z443+AA443+AB443+AC443+AD443+AE443</f>
        <v>1467262.85</v>
      </c>
      <c r="E443" s="31">
        <v>167835.45</v>
      </c>
      <c r="F443" s="31">
        <v>0</v>
      </c>
      <c r="G443" s="335">
        <v>658789.53</v>
      </c>
      <c r="H443" s="31">
        <v>0</v>
      </c>
      <c r="I443" s="31">
        <v>618954.18000000005</v>
      </c>
      <c r="J443" s="31">
        <v>0</v>
      </c>
      <c r="K443" s="33">
        <v>0</v>
      </c>
      <c r="L443" s="31">
        <v>0</v>
      </c>
      <c r="M443" s="338">
        <v>0</v>
      </c>
      <c r="N443" s="338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f>ROUND((E443+F443+G443+H443+I443+J443)*1.5%,2)</f>
        <v>21683.69</v>
      </c>
      <c r="AD443" s="31">
        <v>0</v>
      </c>
      <c r="AE443" s="31">
        <v>0</v>
      </c>
      <c r="AF443" s="219" t="s">
        <v>271</v>
      </c>
      <c r="AG443" s="219">
        <v>2020</v>
      </c>
      <c r="AH443" s="220">
        <v>2020</v>
      </c>
      <c r="BZ443" s="71"/>
      <c r="CD443" s="20" t="e">
        <f t="shared" si="85"/>
        <v>#N/A</v>
      </c>
    </row>
    <row r="444" spans="1:82" ht="61.5" x14ac:dyDescent="0.85">
      <c r="A444" s="20">
        <v>1</v>
      </c>
      <c r="B444" s="66">
        <f>SUBTOTAL(103,$A$22:A444)</f>
        <v>385</v>
      </c>
      <c r="C444" s="24" t="s">
        <v>1266</v>
      </c>
      <c r="D444" s="31">
        <f>E444+F444+G444+H444+I444+J444+L444+N444+P444+R444+T444+U444+V444+W444+X444+Y444+Z444+AA444+AB444+AC444+AD444+AE444</f>
        <v>1316285.42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3">
        <v>0</v>
      </c>
      <c r="L444" s="31">
        <v>0</v>
      </c>
      <c r="M444" s="278">
        <v>454</v>
      </c>
      <c r="N444" s="273">
        <v>1296832.93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f>ROUND(N444*1.5%,2)</f>
        <v>19452.490000000002</v>
      </c>
      <c r="AD444" s="31">
        <v>0</v>
      </c>
      <c r="AE444" s="31">
        <v>0</v>
      </c>
      <c r="AF444" s="219" t="s">
        <v>271</v>
      </c>
      <c r="AG444" s="219">
        <v>2020</v>
      </c>
      <c r="AH444" s="220">
        <v>2020</v>
      </c>
      <c r="BZ444" s="71"/>
      <c r="CD444" s="20">
        <f t="shared" si="85"/>
        <v>454</v>
      </c>
    </row>
    <row r="445" spans="1:82" ht="61.5" x14ac:dyDescent="0.85">
      <c r="B445" s="24" t="s">
        <v>858</v>
      </c>
      <c r="C445" s="24"/>
      <c r="D445" s="31">
        <f>D446+D447</f>
        <v>5174634.9800000004</v>
      </c>
      <c r="E445" s="31">
        <f t="shared" ref="E445:AE445" si="86">E446+E447</f>
        <v>0</v>
      </c>
      <c r="F445" s="31">
        <f t="shared" si="86"/>
        <v>0</v>
      </c>
      <c r="G445" s="31">
        <f t="shared" si="86"/>
        <v>0</v>
      </c>
      <c r="H445" s="31">
        <f t="shared" si="86"/>
        <v>0</v>
      </c>
      <c r="I445" s="31">
        <f t="shared" si="86"/>
        <v>0</v>
      </c>
      <c r="J445" s="31">
        <f t="shared" si="86"/>
        <v>0</v>
      </c>
      <c r="K445" s="33">
        <f t="shared" si="86"/>
        <v>0</v>
      </c>
      <c r="L445" s="31">
        <f t="shared" si="86"/>
        <v>0</v>
      </c>
      <c r="M445" s="31">
        <f t="shared" si="86"/>
        <v>1342.3899999999999</v>
      </c>
      <c r="N445" s="31">
        <f t="shared" si="86"/>
        <v>5095125.3600000003</v>
      </c>
      <c r="O445" s="31">
        <f t="shared" si="86"/>
        <v>0</v>
      </c>
      <c r="P445" s="31">
        <f t="shared" si="86"/>
        <v>0</v>
      </c>
      <c r="Q445" s="31">
        <f t="shared" si="86"/>
        <v>0</v>
      </c>
      <c r="R445" s="31">
        <f t="shared" si="86"/>
        <v>0</v>
      </c>
      <c r="S445" s="31">
        <f t="shared" si="86"/>
        <v>0</v>
      </c>
      <c r="T445" s="31">
        <f t="shared" si="86"/>
        <v>0</v>
      </c>
      <c r="U445" s="31">
        <f t="shared" si="86"/>
        <v>0</v>
      </c>
      <c r="V445" s="31">
        <f t="shared" si="86"/>
        <v>0</v>
      </c>
      <c r="W445" s="31">
        <f t="shared" si="86"/>
        <v>0</v>
      </c>
      <c r="X445" s="31">
        <f t="shared" si="86"/>
        <v>0</v>
      </c>
      <c r="Y445" s="31">
        <f t="shared" si="86"/>
        <v>0</v>
      </c>
      <c r="Z445" s="31">
        <f t="shared" si="86"/>
        <v>0</v>
      </c>
      <c r="AA445" s="31">
        <f t="shared" si="86"/>
        <v>0</v>
      </c>
      <c r="AB445" s="31">
        <f t="shared" si="86"/>
        <v>0</v>
      </c>
      <c r="AC445" s="31">
        <f t="shared" si="86"/>
        <v>79509.62</v>
      </c>
      <c r="AD445" s="31">
        <f t="shared" si="86"/>
        <v>0</v>
      </c>
      <c r="AE445" s="31">
        <f t="shared" si="86"/>
        <v>0</v>
      </c>
      <c r="AF445" s="221" t="s">
        <v>764</v>
      </c>
      <c r="AG445" s="221" t="s">
        <v>764</v>
      </c>
      <c r="AH445" s="222" t="s">
        <v>764</v>
      </c>
      <c r="AT445" s="20" t="e">
        <f>VLOOKUP(C445,AW:AX,2,FALSE)</f>
        <v>#N/A</v>
      </c>
      <c r="BZ445" s="71">
        <v>6025381.3300000001</v>
      </c>
      <c r="CD445" s="20" t="e">
        <f t="shared" si="85"/>
        <v>#N/A</v>
      </c>
    </row>
    <row r="446" spans="1:82" ht="61.5" x14ac:dyDescent="0.85">
      <c r="A446" s="20">
        <v>1</v>
      </c>
      <c r="B446" s="66">
        <f>SUBTOTAL(103,$A$22:A446)</f>
        <v>386</v>
      </c>
      <c r="C446" s="24" t="s">
        <v>42</v>
      </c>
      <c r="D446" s="31">
        <f>E446+F446+G446+H446+I446+J446+L446+N446+P446+R446+T446+U446+V446+W446+X446+Y446+Z446+AA446+AB446+AC446+AD446+AE446</f>
        <v>2210436.8400000003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3">
        <v>0</v>
      </c>
      <c r="L446" s="31">
        <v>0</v>
      </c>
      <c r="M446" s="272">
        <v>595.09</v>
      </c>
      <c r="N446" s="273">
        <v>2179864.2400000002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30572.6</v>
      </c>
      <c r="AD446" s="31">
        <v>0</v>
      </c>
      <c r="AE446" s="31">
        <v>0</v>
      </c>
      <c r="AF446" s="219" t="s">
        <v>271</v>
      </c>
      <c r="AG446" s="219">
        <v>2020</v>
      </c>
      <c r="AH446" s="220">
        <v>2020</v>
      </c>
      <c r="AT446" s="20" t="e">
        <f>VLOOKUP(C446,AW:AX,2,FALSE)</f>
        <v>#N/A</v>
      </c>
      <c r="BZ446" s="71"/>
      <c r="CD446" s="20">
        <f t="shared" si="85"/>
        <v>595</v>
      </c>
    </row>
    <row r="447" spans="1:82" ht="61.5" x14ac:dyDescent="0.85">
      <c r="A447" s="20">
        <v>1</v>
      </c>
      <c r="B447" s="66">
        <f>SUBTOTAL(103,$A$22:A447)</f>
        <v>387</v>
      </c>
      <c r="C447" s="24" t="s">
        <v>1574</v>
      </c>
      <c r="D447" s="31">
        <f>E447+F447+G447+H447+I447+J447+L447+N447+P447+R447+T447+U447+V447+W447+X447+Y447+Z447+AA447+AB447+AC447+AD447+AE447</f>
        <v>2964198.14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3">
        <v>0</v>
      </c>
      <c r="L447" s="31">
        <v>0</v>
      </c>
      <c r="M447" s="278">
        <v>747.3</v>
      </c>
      <c r="N447" s="273">
        <v>2915261.12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f>46811.66+2125.36</f>
        <v>48937.020000000004</v>
      </c>
      <c r="AD447" s="31">
        <v>0</v>
      </c>
      <c r="AE447" s="31">
        <v>0</v>
      </c>
      <c r="AF447" s="219" t="s">
        <v>271</v>
      </c>
      <c r="AG447" s="219">
        <v>2020</v>
      </c>
      <c r="AH447" s="220">
        <v>2020</v>
      </c>
      <c r="BZ447" s="71"/>
      <c r="CD447" s="20">
        <f t="shared" si="85"/>
        <v>747.3</v>
      </c>
    </row>
    <row r="448" spans="1:82" ht="61.5" x14ac:dyDescent="0.85">
      <c r="B448" s="24" t="s">
        <v>859</v>
      </c>
      <c r="C448" s="24"/>
      <c r="D448" s="31">
        <f>SUM(D449:D457)</f>
        <v>28248063.09</v>
      </c>
      <c r="E448" s="31">
        <f t="shared" ref="E448:AE448" si="87">SUM(E449:E457)</f>
        <v>0</v>
      </c>
      <c r="F448" s="31">
        <f t="shared" si="87"/>
        <v>0</v>
      </c>
      <c r="G448" s="31">
        <f t="shared" si="87"/>
        <v>0</v>
      </c>
      <c r="H448" s="31">
        <f t="shared" si="87"/>
        <v>0</v>
      </c>
      <c r="I448" s="31">
        <f t="shared" si="87"/>
        <v>0</v>
      </c>
      <c r="J448" s="31">
        <f t="shared" si="87"/>
        <v>0</v>
      </c>
      <c r="K448" s="33">
        <f t="shared" si="87"/>
        <v>0</v>
      </c>
      <c r="L448" s="31">
        <f t="shared" si="87"/>
        <v>0</v>
      </c>
      <c r="M448" s="31">
        <f t="shared" si="87"/>
        <v>5631.85</v>
      </c>
      <c r="N448" s="31">
        <f t="shared" si="87"/>
        <v>23103115.189999998</v>
      </c>
      <c r="O448" s="31">
        <f t="shared" si="87"/>
        <v>0</v>
      </c>
      <c r="P448" s="31">
        <f t="shared" si="87"/>
        <v>0</v>
      </c>
      <c r="Q448" s="31">
        <f t="shared" si="87"/>
        <v>2886.45</v>
      </c>
      <c r="R448" s="31">
        <f t="shared" si="87"/>
        <v>4308518.51</v>
      </c>
      <c r="S448" s="31">
        <f t="shared" si="87"/>
        <v>0</v>
      </c>
      <c r="T448" s="31">
        <f t="shared" si="87"/>
        <v>0</v>
      </c>
      <c r="U448" s="31">
        <f t="shared" si="87"/>
        <v>0</v>
      </c>
      <c r="V448" s="31">
        <f t="shared" si="87"/>
        <v>0</v>
      </c>
      <c r="W448" s="31">
        <f t="shared" si="87"/>
        <v>0</v>
      </c>
      <c r="X448" s="31">
        <f t="shared" si="87"/>
        <v>0</v>
      </c>
      <c r="Y448" s="31">
        <f t="shared" si="87"/>
        <v>0</v>
      </c>
      <c r="Z448" s="31">
        <f t="shared" si="87"/>
        <v>0</v>
      </c>
      <c r="AA448" s="31">
        <f t="shared" si="87"/>
        <v>0</v>
      </c>
      <c r="AB448" s="31">
        <f t="shared" si="87"/>
        <v>0</v>
      </c>
      <c r="AC448" s="31">
        <f t="shared" si="87"/>
        <v>405808.33000000007</v>
      </c>
      <c r="AD448" s="31">
        <f t="shared" si="87"/>
        <v>430621.06</v>
      </c>
      <c r="AE448" s="31">
        <f t="shared" si="87"/>
        <v>0</v>
      </c>
      <c r="AF448" s="221" t="s">
        <v>764</v>
      </c>
      <c r="AG448" s="221" t="s">
        <v>764</v>
      </c>
      <c r="AH448" s="222" t="s">
        <v>764</v>
      </c>
      <c r="AT448" s="20" t="e">
        <f>VLOOKUP(C448,AW:AX,2,FALSE)</f>
        <v>#N/A</v>
      </c>
      <c r="BZ448" s="71">
        <v>29961094.709999993</v>
      </c>
      <c r="CD448" s="20" t="e">
        <f t="shared" si="85"/>
        <v>#N/A</v>
      </c>
    </row>
    <row r="449" spans="1:82" ht="61.5" x14ac:dyDescent="0.85">
      <c r="A449" s="20">
        <v>1</v>
      </c>
      <c r="B449" s="66">
        <f>SUBTOTAL(103,$A$22:A449)</f>
        <v>388</v>
      </c>
      <c r="C449" s="24" t="s">
        <v>50</v>
      </c>
      <c r="D449" s="31">
        <f t="shared" ref="D449:D457" si="88">E449+F449+G449+H449+I449+J449+L449+N449+P449+R449+T449+U449+V449+W449+X449+Y449+Z449+AA449+AB449+AC449+AD449+AE449</f>
        <v>5017460.6800000006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3">
        <v>0</v>
      </c>
      <c r="L449" s="31">
        <v>0</v>
      </c>
      <c r="M449" s="31">
        <v>867.3</v>
      </c>
      <c r="N449" s="31">
        <f>4314154.82+500000</f>
        <v>4814154.82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f t="shared" ref="AC449:AC454" si="89">ROUND(N449*1.5%,2)</f>
        <v>72212.320000000007</v>
      </c>
      <c r="AD449" s="273">
        <v>131093.54</v>
      </c>
      <c r="AE449" s="31">
        <v>0</v>
      </c>
      <c r="AF449" s="219">
        <v>2020</v>
      </c>
      <c r="AG449" s="219">
        <v>2020</v>
      </c>
      <c r="AH449" s="220">
        <v>2020</v>
      </c>
      <c r="AT449" s="20" t="e">
        <f>VLOOKUP(C449,AW:AX,2,FALSE)</f>
        <v>#N/A</v>
      </c>
      <c r="BZ449" s="71"/>
      <c r="CD449" s="20" t="e">
        <f t="shared" si="85"/>
        <v>#N/A</v>
      </c>
    </row>
    <row r="450" spans="1:82" ht="61.5" x14ac:dyDescent="0.85">
      <c r="A450" s="20">
        <v>1</v>
      </c>
      <c r="B450" s="66">
        <f>SUBTOTAL(103,$A$22:A450)</f>
        <v>389</v>
      </c>
      <c r="C450" s="24" t="s">
        <v>48</v>
      </c>
      <c r="D450" s="31">
        <f t="shared" si="88"/>
        <v>2810575.6300000004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3">
        <v>0</v>
      </c>
      <c r="L450" s="31">
        <v>0</v>
      </c>
      <c r="M450" s="338">
        <v>652.70000000000005</v>
      </c>
      <c r="N450" s="273">
        <v>2689261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37716.89</v>
      </c>
      <c r="AD450" s="273">
        <v>83597.740000000005</v>
      </c>
      <c r="AE450" s="31">
        <v>0</v>
      </c>
      <c r="AF450" s="219">
        <v>2020</v>
      </c>
      <c r="AG450" s="219">
        <v>2020</v>
      </c>
      <c r="AH450" s="220">
        <v>2020</v>
      </c>
      <c r="AT450" s="20" t="e">
        <f>VLOOKUP(C450,AW:AX,2,FALSE)</f>
        <v>#N/A</v>
      </c>
      <c r="BZ450" s="71"/>
      <c r="CD450" s="20" t="e">
        <f t="shared" si="85"/>
        <v>#N/A</v>
      </c>
    </row>
    <row r="451" spans="1:82" ht="61.5" x14ac:dyDescent="0.85">
      <c r="A451" s="20">
        <v>1</v>
      </c>
      <c r="B451" s="66">
        <f>SUBTOTAL(103,$A$22:A451)</f>
        <v>390</v>
      </c>
      <c r="C451" s="24" t="s">
        <v>49</v>
      </c>
      <c r="D451" s="31">
        <f t="shared" si="88"/>
        <v>5245064.0000000009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3">
        <v>0</v>
      </c>
      <c r="L451" s="31">
        <v>0</v>
      </c>
      <c r="M451" s="31">
        <v>896.9</v>
      </c>
      <c r="N451" s="31">
        <f>4466435.88+572013.77</f>
        <v>5038449.6500000004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f t="shared" si="89"/>
        <v>75576.740000000005</v>
      </c>
      <c r="AD451" s="273">
        <v>131037.61</v>
      </c>
      <c r="AE451" s="31">
        <v>0</v>
      </c>
      <c r="AF451" s="219">
        <v>2020</v>
      </c>
      <c r="AG451" s="219">
        <v>2020</v>
      </c>
      <c r="AH451" s="220">
        <v>2020</v>
      </c>
      <c r="AT451" s="20">
        <f>VLOOKUP(C451,AW:AX,2,FALSE)</f>
        <v>1</v>
      </c>
      <c r="BZ451" s="71"/>
      <c r="CD451" s="20" t="e">
        <f t="shared" si="85"/>
        <v>#N/A</v>
      </c>
    </row>
    <row r="452" spans="1:82" ht="61.5" x14ac:dyDescent="0.85">
      <c r="A452" s="20">
        <v>1</v>
      </c>
      <c r="B452" s="66">
        <f>SUBTOTAL(103,$A$22:A452)</f>
        <v>391</v>
      </c>
      <c r="C452" s="24" t="s">
        <v>51</v>
      </c>
      <c r="D452" s="31">
        <f t="shared" si="88"/>
        <v>2938871.62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3">
        <v>0</v>
      </c>
      <c r="L452" s="31">
        <v>0</v>
      </c>
      <c r="M452" s="338">
        <v>681</v>
      </c>
      <c r="N452" s="273">
        <v>2814506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39473.449999999997</v>
      </c>
      <c r="AD452" s="273">
        <v>84892.17</v>
      </c>
      <c r="AE452" s="31">
        <v>0</v>
      </c>
      <c r="AF452" s="219">
        <v>2020</v>
      </c>
      <c r="AG452" s="219">
        <v>2020</v>
      </c>
      <c r="AH452" s="220">
        <v>2020</v>
      </c>
      <c r="AT452" s="20" t="e">
        <f>VLOOKUP(C452,AW:AX,2,FALSE)</f>
        <v>#N/A</v>
      </c>
      <c r="BZ452" s="71"/>
      <c r="CD452" s="20" t="e">
        <f t="shared" si="85"/>
        <v>#N/A</v>
      </c>
    </row>
    <row r="453" spans="1:82" ht="61.5" x14ac:dyDescent="0.85">
      <c r="A453" s="20">
        <v>1</v>
      </c>
      <c r="B453" s="66">
        <f>SUBTOTAL(103,$A$22:A453)</f>
        <v>392</v>
      </c>
      <c r="C453" s="24" t="s">
        <v>1260</v>
      </c>
      <c r="D453" s="31">
        <f t="shared" si="88"/>
        <v>3146286.42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3">
        <v>0</v>
      </c>
      <c r="L453" s="31">
        <v>0</v>
      </c>
      <c r="M453" s="31">
        <v>678.5</v>
      </c>
      <c r="N453" s="31">
        <v>3099789.58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f t="shared" si="89"/>
        <v>46496.84</v>
      </c>
      <c r="AD453" s="31">
        <v>0</v>
      </c>
      <c r="AE453" s="31">
        <v>0</v>
      </c>
      <c r="AF453" s="219" t="s">
        <v>271</v>
      </c>
      <c r="AG453" s="219">
        <v>2020</v>
      </c>
      <c r="AH453" s="220">
        <v>2020</v>
      </c>
      <c r="BZ453" s="71"/>
      <c r="CD453" s="20">
        <f t="shared" si="85"/>
        <v>678.5</v>
      </c>
    </row>
    <row r="454" spans="1:82" ht="61.5" x14ac:dyDescent="0.85">
      <c r="A454" s="20">
        <v>1</v>
      </c>
      <c r="B454" s="66">
        <f>SUBTOTAL(103,$A$22:A454)</f>
        <v>393</v>
      </c>
      <c r="C454" s="24" t="s">
        <v>1261</v>
      </c>
      <c r="D454" s="31">
        <f t="shared" si="88"/>
        <v>2695968.78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3">
        <v>0</v>
      </c>
      <c r="L454" s="31">
        <v>0</v>
      </c>
      <c r="M454" s="272">
        <v>1273.99</v>
      </c>
      <c r="N454" s="273">
        <v>2656126.88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f t="shared" si="89"/>
        <v>39841.9</v>
      </c>
      <c r="AD454" s="31">
        <v>0</v>
      </c>
      <c r="AE454" s="31">
        <v>0</v>
      </c>
      <c r="AF454" s="219" t="s">
        <v>271</v>
      </c>
      <c r="AG454" s="219">
        <v>2020</v>
      </c>
      <c r="AH454" s="220">
        <v>2020</v>
      </c>
      <c r="BZ454" s="71"/>
      <c r="CD454" s="20">
        <f t="shared" si="85"/>
        <v>1278.8</v>
      </c>
    </row>
    <row r="455" spans="1:82" ht="61.5" x14ac:dyDescent="0.85">
      <c r="A455" s="20">
        <v>1</v>
      </c>
      <c r="B455" s="66">
        <f>SUBTOTAL(103,$A$22:A455)</f>
        <v>394</v>
      </c>
      <c r="C455" s="24" t="s">
        <v>1262</v>
      </c>
      <c r="D455" s="31">
        <f t="shared" si="88"/>
        <v>4373146.29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3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2886.45</v>
      </c>
      <c r="R455" s="31">
        <v>4308518.51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f>ROUND(R455*1.5%,2)</f>
        <v>64627.78</v>
      </c>
      <c r="AD455" s="31">
        <v>0</v>
      </c>
      <c r="AE455" s="31">
        <v>0</v>
      </c>
      <c r="AF455" s="219" t="s">
        <v>271</v>
      </c>
      <c r="AG455" s="219">
        <v>2020</v>
      </c>
      <c r="AH455" s="220">
        <v>2020</v>
      </c>
      <c r="BZ455" s="71"/>
      <c r="CD455" s="20" t="e">
        <f t="shared" si="85"/>
        <v>#N/A</v>
      </c>
    </row>
    <row r="456" spans="1:82" ht="61.5" x14ac:dyDescent="0.85">
      <c r="A456" s="20">
        <v>1</v>
      </c>
      <c r="B456" s="66">
        <f>SUBTOTAL(103,$A$22:A456)</f>
        <v>395</v>
      </c>
      <c r="C456" s="24" t="s">
        <v>1263</v>
      </c>
      <c r="D456" s="31">
        <f t="shared" si="88"/>
        <v>800120.67999999993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3">
        <v>0</v>
      </c>
      <c r="L456" s="31">
        <v>0</v>
      </c>
      <c r="M456" s="272">
        <v>234</v>
      </c>
      <c r="N456" s="273">
        <v>788296.24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f>ROUND(N456*1.5%,2)</f>
        <v>11824.44</v>
      </c>
      <c r="AD456" s="31">
        <v>0</v>
      </c>
      <c r="AE456" s="31">
        <v>0</v>
      </c>
      <c r="AF456" s="219" t="s">
        <v>271</v>
      </c>
      <c r="AG456" s="219">
        <v>2020</v>
      </c>
      <c r="AH456" s="220">
        <v>2020</v>
      </c>
      <c r="BZ456" s="71"/>
      <c r="CD456" s="20">
        <f t="shared" si="85"/>
        <v>225.04</v>
      </c>
    </row>
    <row r="457" spans="1:82" ht="61.5" x14ac:dyDescent="0.85">
      <c r="A457" s="20">
        <v>1</v>
      </c>
      <c r="B457" s="66">
        <f>SUBTOTAL(103,$A$22:A457)</f>
        <v>396</v>
      </c>
      <c r="C457" s="24" t="s">
        <v>1264</v>
      </c>
      <c r="D457" s="31">
        <f t="shared" si="88"/>
        <v>1220568.99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3">
        <v>0</v>
      </c>
      <c r="L457" s="31">
        <v>0</v>
      </c>
      <c r="M457" s="272">
        <v>347.46</v>
      </c>
      <c r="N457" s="273">
        <v>1202531.02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f>ROUND(N457*1.5%,2)</f>
        <v>18037.97</v>
      </c>
      <c r="AD457" s="31">
        <v>0</v>
      </c>
      <c r="AE457" s="31">
        <v>0</v>
      </c>
      <c r="AF457" s="219" t="s">
        <v>271</v>
      </c>
      <c r="AG457" s="219">
        <v>2020</v>
      </c>
      <c r="AH457" s="220">
        <v>2020</v>
      </c>
      <c r="BZ457" s="71"/>
      <c r="CD457" s="20">
        <f t="shared" si="85"/>
        <v>337</v>
      </c>
    </row>
    <row r="458" spans="1:82" ht="61.5" x14ac:dyDescent="0.85">
      <c r="B458" s="24" t="s">
        <v>896</v>
      </c>
      <c r="C458" s="24"/>
      <c r="D458" s="31">
        <f>D459</f>
        <v>3623254.4499999997</v>
      </c>
      <c r="E458" s="31">
        <f t="shared" ref="E458:AE458" si="90">E459</f>
        <v>0</v>
      </c>
      <c r="F458" s="31">
        <f t="shared" si="90"/>
        <v>0</v>
      </c>
      <c r="G458" s="31">
        <f t="shared" si="90"/>
        <v>0</v>
      </c>
      <c r="H458" s="31">
        <f t="shared" si="90"/>
        <v>0</v>
      </c>
      <c r="I458" s="31">
        <f t="shared" si="90"/>
        <v>0</v>
      </c>
      <c r="J458" s="31">
        <f t="shared" si="90"/>
        <v>0</v>
      </c>
      <c r="K458" s="33">
        <f t="shared" si="90"/>
        <v>0</v>
      </c>
      <c r="L458" s="31">
        <f t="shared" si="90"/>
        <v>0</v>
      </c>
      <c r="M458" s="31">
        <f t="shared" si="90"/>
        <v>837.3</v>
      </c>
      <c r="N458" s="31">
        <f t="shared" si="90"/>
        <v>3606600.61</v>
      </c>
      <c r="O458" s="31">
        <f t="shared" si="90"/>
        <v>0</v>
      </c>
      <c r="P458" s="31">
        <f t="shared" si="90"/>
        <v>0</v>
      </c>
      <c r="Q458" s="31">
        <f t="shared" si="90"/>
        <v>0</v>
      </c>
      <c r="R458" s="31">
        <f t="shared" si="90"/>
        <v>0</v>
      </c>
      <c r="S458" s="31">
        <f t="shared" si="90"/>
        <v>0</v>
      </c>
      <c r="T458" s="31">
        <f t="shared" si="90"/>
        <v>0</v>
      </c>
      <c r="U458" s="31">
        <f t="shared" si="90"/>
        <v>0</v>
      </c>
      <c r="V458" s="31">
        <f t="shared" si="90"/>
        <v>0</v>
      </c>
      <c r="W458" s="31">
        <f t="shared" si="90"/>
        <v>0</v>
      </c>
      <c r="X458" s="31">
        <f t="shared" si="90"/>
        <v>0</v>
      </c>
      <c r="Y458" s="31">
        <f t="shared" si="90"/>
        <v>0</v>
      </c>
      <c r="Z458" s="31">
        <f t="shared" si="90"/>
        <v>0</v>
      </c>
      <c r="AA458" s="31">
        <f t="shared" si="90"/>
        <v>0</v>
      </c>
      <c r="AB458" s="31">
        <f t="shared" si="90"/>
        <v>0</v>
      </c>
      <c r="AC458" s="31">
        <f t="shared" si="90"/>
        <v>16653.84</v>
      </c>
      <c r="AD458" s="31">
        <f t="shared" si="90"/>
        <v>0</v>
      </c>
      <c r="AE458" s="31">
        <f t="shared" si="90"/>
        <v>0</v>
      </c>
      <c r="AF458" s="221" t="s">
        <v>764</v>
      </c>
      <c r="AG458" s="221" t="s">
        <v>764</v>
      </c>
      <c r="AH458" s="222" t="s">
        <v>764</v>
      </c>
      <c r="AT458" s="20" t="e">
        <f>VLOOKUP(C458,AW:AX,2,FALSE)</f>
        <v>#N/A</v>
      </c>
      <c r="BZ458" s="71">
        <v>3726576.42</v>
      </c>
      <c r="CD458" s="20" t="e">
        <f t="shared" si="85"/>
        <v>#N/A</v>
      </c>
    </row>
    <row r="459" spans="1:82" ht="61.5" x14ac:dyDescent="0.85">
      <c r="A459" s="20">
        <v>1</v>
      </c>
      <c r="B459" s="66">
        <f>SUBTOTAL(103,$A$22:A459)</f>
        <v>397</v>
      </c>
      <c r="C459" s="24" t="s">
        <v>1573</v>
      </c>
      <c r="D459" s="31">
        <f>E459+F459+G459+H459+I459+J459+L459+N459+P459+R459+T459+U459+V459+W459+X459+Y459+Z459+AA459+AB459+AC459+AD459+AE459</f>
        <v>3623254.4499999997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3">
        <v>0</v>
      </c>
      <c r="L459" s="31">
        <v>0</v>
      </c>
      <c r="M459" s="272">
        <v>837.3</v>
      </c>
      <c r="N459" s="273">
        <v>3606600.61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16653.84</v>
      </c>
      <c r="AD459" s="31">
        <v>0</v>
      </c>
      <c r="AE459" s="31">
        <v>0</v>
      </c>
      <c r="AF459" s="219" t="s">
        <v>271</v>
      </c>
      <c r="AG459" s="219">
        <v>2020</v>
      </c>
      <c r="AH459" s="220">
        <v>2020</v>
      </c>
      <c r="BZ459" s="71"/>
      <c r="CD459" s="20">
        <f t="shared" si="85"/>
        <v>837.3</v>
      </c>
    </row>
    <row r="460" spans="1:82" ht="61.5" x14ac:dyDescent="0.85">
      <c r="B460" s="24" t="s">
        <v>860</v>
      </c>
      <c r="C460" s="114"/>
      <c r="D460" s="31">
        <f>D461</f>
        <v>3515825.94</v>
      </c>
      <c r="E460" s="31">
        <f t="shared" ref="E460:AE460" si="91">E461</f>
        <v>0</v>
      </c>
      <c r="F460" s="31">
        <f t="shared" si="91"/>
        <v>0</v>
      </c>
      <c r="G460" s="31">
        <f t="shared" si="91"/>
        <v>0</v>
      </c>
      <c r="H460" s="31">
        <f t="shared" si="91"/>
        <v>0</v>
      </c>
      <c r="I460" s="31">
        <f t="shared" si="91"/>
        <v>0</v>
      </c>
      <c r="J460" s="31">
        <f t="shared" si="91"/>
        <v>0</v>
      </c>
      <c r="K460" s="33">
        <f t="shared" si="91"/>
        <v>0</v>
      </c>
      <c r="L460" s="31">
        <f t="shared" si="91"/>
        <v>0</v>
      </c>
      <c r="M460" s="31">
        <f t="shared" si="91"/>
        <v>806.42</v>
      </c>
      <c r="N460" s="31">
        <f t="shared" si="91"/>
        <v>3418104.51</v>
      </c>
      <c r="O460" s="31">
        <f t="shared" si="91"/>
        <v>0</v>
      </c>
      <c r="P460" s="31">
        <f t="shared" si="91"/>
        <v>0</v>
      </c>
      <c r="Q460" s="31">
        <f t="shared" si="91"/>
        <v>0</v>
      </c>
      <c r="R460" s="31">
        <f t="shared" si="91"/>
        <v>0</v>
      </c>
      <c r="S460" s="31">
        <f t="shared" si="91"/>
        <v>0</v>
      </c>
      <c r="T460" s="31">
        <f t="shared" si="91"/>
        <v>0</v>
      </c>
      <c r="U460" s="31">
        <f t="shared" si="91"/>
        <v>0</v>
      </c>
      <c r="V460" s="31">
        <f t="shared" si="91"/>
        <v>0</v>
      </c>
      <c r="W460" s="31">
        <f t="shared" si="91"/>
        <v>0</v>
      </c>
      <c r="X460" s="31">
        <f t="shared" si="91"/>
        <v>0</v>
      </c>
      <c r="Y460" s="31">
        <f t="shared" si="91"/>
        <v>0</v>
      </c>
      <c r="Z460" s="31">
        <f t="shared" si="91"/>
        <v>0</v>
      </c>
      <c r="AA460" s="31">
        <f t="shared" si="91"/>
        <v>0</v>
      </c>
      <c r="AB460" s="31">
        <f t="shared" si="91"/>
        <v>0</v>
      </c>
      <c r="AC460" s="31">
        <f t="shared" si="91"/>
        <v>34608.31</v>
      </c>
      <c r="AD460" s="31">
        <f t="shared" si="91"/>
        <v>63113.120000000003</v>
      </c>
      <c r="AE460" s="31">
        <f t="shared" si="91"/>
        <v>0</v>
      </c>
      <c r="AF460" s="221" t="s">
        <v>764</v>
      </c>
      <c r="AG460" s="221" t="s">
        <v>764</v>
      </c>
      <c r="AH460" s="222" t="s">
        <v>764</v>
      </c>
      <c r="AT460" s="20" t="e">
        <f>VLOOKUP(C460,AW:AX,2,FALSE)</f>
        <v>#N/A</v>
      </c>
      <c r="BZ460" s="71">
        <v>5198352.66</v>
      </c>
      <c r="CD460" s="20" t="e">
        <f t="shared" si="85"/>
        <v>#N/A</v>
      </c>
    </row>
    <row r="461" spans="1:82" ht="61.5" x14ac:dyDescent="0.85">
      <c r="A461" s="20">
        <v>1</v>
      </c>
      <c r="B461" s="66">
        <f>SUBTOTAL(103,$A$22:A461)</f>
        <v>398</v>
      </c>
      <c r="C461" s="24" t="s">
        <v>229</v>
      </c>
      <c r="D461" s="31">
        <f>E461+F461+G461+H461+I461+J461+L461+N461+P461+R461+T461+U461+V461+W461+X461+Y461+Z461+AA461+AB461+AC461+AD461+AE461</f>
        <v>3515825.94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3">
        <v>0</v>
      </c>
      <c r="L461" s="31">
        <v>0</v>
      </c>
      <c r="M461" s="272">
        <v>806.42</v>
      </c>
      <c r="N461" s="328">
        <v>3418104.51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35">
        <v>34608.31</v>
      </c>
      <c r="AD461" s="273">
        <v>63113.120000000003</v>
      </c>
      <c r="AE461" s="31">
        <v>0</v>
      </c>
      <c r="AF461" s="219">
        <v>2020</v>
      </c>
      <c r="AG461" s="219">
        <v>2020</v>
      </c>
      <c r="AH461" s="220">
        <v>2020</v>
      </c>
      <c r="AT461" s="20" t="e">
        <f>VLOOKUP(C461,AW:AX,2,FALSE)</f>
        <v>#N/A</v>
      </c>
      <c r="BZ461" s="71"/>
      <c r="CD461" s="20">
        <f t="shared" si="85"/>
        <v>806.38</v>
      </c>
    </row>
    <row r="462" spans="1:82" ht="61.5" x14ac:dyDescent="0.85">
      <c r="B462" s="24" t="s">
        <v>861</v>
      </c>
      <c r="C462" s="24"/>
      <c r="D462" s="31">
        <f t="shared" ref="D462:AE462" si="92">D463</f>
        <v>1371104.41</v>
      </c>
      <c r="E462" s="31">
        <f t="shared" si="92"/>
        <v>0</v>
      </c>
      <c r="F462" s="31">
        <f t="shared" si="92"/>
        <v>0</v>
      </c>
      <c r="G462" s="31">
        <f t="shared" si="92"/>
        <v>0</v>
      </c>
      <c r="H462" s="31">
        <f t="shared" si="92"/>
        <v>0</v>
      </c>
      <c r="I462" s="31">
        <f t="shared" si="92"/>
        <v>0</v>
      </c>
      <c r="J462" s="31">
        <f t="shared" si="92"/>
        <v>0</v>
      </c>
      <c r="K462" s="33">
        <f t="shared" si="92"/>
        <v>0</v>
      </c>
      <c r="L462" s="31">
        <f t="shared" si="92"/>
        <v>0</v>
      </c>
      <c r="M462" s="31">
        <f t="shared" si="92"/>
        <v>302</v>
      </c>
      <c r="N462" s="31">
        <f t="shared" si="92"/>
        <v>1318463.79</v>
      </c>
      <c r="O462" s="31">
        <f t="shared" si="92"/>
        <v>0</v>
      </c>
      <c r="P462" s="31">
        <f t="shared" si="92"/>
        <v>0</v>
      </c>
      <c r="Q462" s="31">
        <f t="shared" si="92"/>
        <v>0</v>
      </c>
      <c r="R462" s="31">
        <f t="shared" si="92"/>
        <v>0</v>
      </c>
      <c r="S462" s="31">
        <f t="shared" si="92"/>
        <v>0</v>
      </c>
      <c r="T462" s="31">
        <f t="shared" si="92"/>
        <v>0</v>
      </c>
      <c r="U462" s="31">
        <f t="shared" si="92"/>
        <v>0</v>
      </c>
      <c r="V462" s="31">
        <f t="shared" si="92"/>
        <v>0</v>
      </c>
      <c r="W462" s="31">
        <f t="shared" si="92"/>
        <v>0</v>
      </c>
      <c r="X462" s="31">
        <f t="shared" si="92"/>
        <v>0</v>
      </c>
      <c r="Y462" s="31">
        <f t="shared" si="92"/>
        <v>0</v>
      </c>
      <c r="Z462" s="31">
        <f t="shared" si="92"/>
        <v>0</v>
      </c>
      <c r="AA462" s="31">
        <f t="shared" si="92"/>
        <v>0</v>
      </c>
      <c r="AB462" s="31">
        <f t="shared" si="92"/>
        <v>0</v>
      </c>
      <c r="AC462" s="31">
        <f t="shared" si="92"/>
        <v>13349.45</v>
      </c>
      <c r="AD462" s="31">
        <f t="shared" si="92"/>
        <v>39291.17</v>
      </c>
      <c r="AE462" s="31">
        <f t="shared" si="92"/>
        <v>0</v>
      </c>
      <c r="AF462" s="221" t="s">
        <v>764</v>
      </c>
      <c r="AG462" s="221" t="s">
        <v>764</v>
      </c>
      <c r="AH462" s="222" t="s">
        <v>764</v>
      </c>
      <c r="AT462" s="20" t="e">
        <f>VLOOKUP(C462,AW:AX,2,FALSE)</f>
        <v>#N/A</v>
      </c>
      <c r="BZ462" s="71">
        <v>1821119.2799999998</v>
      </c>
      <c r="CD462" s="20" t="e">
        <f t="shared" si="85"/>
        <v>#N/A</v>
      </c>
    </row>
    <row r="463" spans="1:82" ht="61.5" x14ac:dyDescent="0.85">
      <c r="A463" s="20">
        <v>1</v>
      </c>
      <c r="B463" s="66">
        <f>SUBTOTAL(103,$A$22:A463)</f>
        <v>399</v>
      </c>
      <c r="C463" s="24" t="s">
        <v>232</v>
      </c>
      <c r="D463" s="31">
        <f>E463+F463+G463+H463+I463+J463+L463+N463+P463+R463+T463+U463+V463+W463+X463+Y463+Z463+AA463+AB463+AC463+AD463+AE463</f>
        <v>1371104.41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3">
        <v>0</v>
      </c>
      <c r="L463" s="31">
        <v>0</v>
      </c>
      <c r="M463" s="272">
        <v>302</v>
      </c>
      <c r="N463" s="273">
        <v>1318463.79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28">
        <v>13349.45</v>
      </c>
      <c r="AD463" s="273">
        <v>39291.17</v>
      </c>
      <c r="AE463" s="31">
        <v>0</v>
      </c>
      <c r="AF463" s="219">
        <v>2020</v>
      </c>
      <c r="AG463" s="219">
        <v>2020</v>
      </c>
      <c r="AH463" s="220">
        <v>2020</v>
      </c>
      <c r="AT463" s="20" t="e">
        <f>VLOOKUP(C463,AW:AX,2,FALSE)</f>
        <v>#N/A</v>
      </c>
      <c r="BZ463" s="71"/>
      <c r="CD463" s="20">
        <f t="shared" si="85"/>
        <v>308.60000000000002</v>
      </c>
    </row>
    <row r="464" spans="1:82" ht="61.5" x14ac:dyDescent="0.85">
      <c r="B464" s="24" t="s">
        <v>1306</v>
      </c>
      <c r="C464" s="24"/>
      <c r="D464" s="31">
        <f>D465</f>
        <v>4974970.34</v>
      </c>
      <c r="E464" s="31">
        <f t="shared" ref="E464:AE464" si="93">E465</f>
        <v>0</v>
      </c>
      <c r="F464" s="31">
        <f t="shared" si="93"/>
        <v>0</v>
      </c>
      <c r="G464" s="31">
        <f t="shared" si="93"/>
        <v>0</v>
      </c>
      <c r="H464" s="31">
        <f t="shared" si="93"/>
        <v>0</v>
      </c>
      <c r="I464" s="31">
        <f t="shared" si="93"/>
        <v>0</v>
      </c>
      <c r="J464" s="31">
        <f t="shared" si="93"/>
        <v>0</v>
      </c>
      <c r="K464" s="33">
        <f t="shared" si="93"/>
        <v>0</v>
      </c>
      <c r="L464" s="31">
        <f t="shared" si="93"/>
        <v>0</v>
      </c>
      <c r="M464" s="31">
        <f t="shared" si="93"/>
        <v>735</v>
      </c>
      <c r="N464" s="31">
        <f t="shared" si="93"/>
        <v>4861880.2299999995</v>
      </c>
      <c r="O464" s="31">
        <f t="shared" si="93"/>
        <v>0</v>
      </c>
      <c r="P464" s="31">
        <f t="shared" si="93"/>
        <v>0</v>
      </c>
      <c r="Q464" s="31">
        <f t="shared" si="93"/>
        <v>0</v>
      </c>
      <c r="R464" s="31">
        <f t="shared" si="93"/>
        <v>0</v>
      </c>
      <c r="S464" s="31">
        <f t="shared" si="93"/>
        <v>0</v>
      </c>
      <c r="T464" s="31">
        <f t="shared" si="93"/>
        <v>0</v>
      </c>
      <c r="U464" s="31">
        <f t="shared" si="93"/>
        <v>0</v>
      </c>
      <c r="V464" s="31">
        <f t="shared" si="93"/>
        <v>0</v>
      </c>
      <c r="W464" s="31">
        <f t="shared" si="93"/>
        <v>0</v>
      </c>
      <c r="X464" s="31">
        <f t="shared" si="93"/>
        <v>0</v>
      </c>
      <c r="Y464" s="31">
        <f t="shared" si="93"/>
        <v>0</v>
      </c>
      <c r="Z464" s="31">
        <f t="shared" si="93"/>
        <v>0</v>
      </c>
      <c r="AA464" s="31">
        <f t="shared" si="93"/>
        <v>0</v>
      </c>
      <c r="AB464" s="31">
        <f t="shared" si="93"/>
        <v>0</v>
      </c>
      <c r="AC464" s="31">
        <f t="shared" si="93"/>
        <v>72928.2</v>
      </c>
      <c r="AD464" s="31">
        <f t="shared" si="93"/>
        <v>40161.910000000003</v>
      </c>
      <c r="AE464" s="31">
        <f t="shared" si="93"/>
        <v>0</v>
      </c>
      <c r="AF464" s="221" t="s">
        <v>764</v>
      </c>
      <c r="AG464" s="221" t="s">
        <v>764</v>
      </c>
      <c r="AH464" s="222" t="s">
        <v>764</v>
      </c>
      <c r="BZ464" s="71">
        <v>4609049.76</v>
      </c>
      <c r="CD464" s="20" t="e">
        <f t="shared" si="85"/>
        <v>#N/A</v>
      </c>
    </row>
    <row r="465" spans="1:82" ht="61.5" x14ac:dyDescent="0.85">
      <c r="A465" s="20">
        <v>1</v>
      </c>
      <c r="B465" s="66">
        <f>SUBTOTAL(103,$A$22:A465)</f>
        <v>400</v>
      </c>
      <c r="C465" s="24" t="s">
        <v>1307</v>
      </c>
      <c r="D465" s="31">
        <f>E465+F465+G465+H465+I465+J465+L465+N465+P465+R465+T465+U465+V465+W465+X465+Y465+Z465+AA465+AB465+AC465+AD465+AE465</f>
        <v>4974970.34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3">
        <v>0</v>
      </c>
      <c r="L465" s="31">
        <v>0</v>
      </c>
      <c r="M465" s="31">
        <v>735</v>
      </c>
      <c r="N465" s="206">
        <f>4393152.47+ROUND(365920.58*100/101.5,2)+108214.87</f>
        <v>4861880.2299999995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f>ROUND(N465*1.5%,2)</f>
        <v>72928.2</v>
      </c>
      <c r="AD465" s="273">
        <v>40161.910000000003</v>
      </c>
      <c r="AE465" s="31">
        <v>0</v>
      </c>
      <c r="AF465" s="219">
        <v>2020</v>
      </c>
      <c r="AG465" s="219">
        <v>2020</v>
      </c>
      <c r="AH465" s="220">
        <v>2020</v>
      </c>
      <c r="BZ465" s="71"/>
      <c r="CD465" s="20">
        <f t="shared" si="85"/>
        <v>735</v>
      </c>
    </row>
    <row r="466" spans="1:82" ht="61.5" x14ac:dyDescent="0.85">
      <c r="B466" s="24" t="s">
        <v>862</v>
      </c>
      <c r="C466" s="114"/>
      <c r="D466" s="31">
        <f t="shared" ref="D466:AE466" si="94">D467</f>
        <v>5368567.4000000004</v>
      </c>
      <c r="E466" s="31">
        <f t="shared" si="94"/>
        <v>0</v>
      </c>
      <c r="F466" s="31">
        <f t="shared" si="94"/>
        <v>0</v>
      </c>
      <c r="G466" s="31">
        <f t="shared" si="94"/>
        <v>0</v>
      </c>
      <c r="H466" s="31">
        <f t="shared" si="94"/>
        <v>0</v>
      </c>
      <c r="I466" s="31">
        <f t="shared" si="94"/>
        <v>0</v>
      </c>
      <c r="J466" s="31">
        <f t="shared" si="94"/>
        <v>0</v>
      </c>
      <c r="K466" s="33">
        <f t="shared" si="94"/>
        <v>0</v>
      </c>
      <c r="L466" s="31">
        <f t="shared" si="94"/>
        <v>0</v>
      </c>
      <c r="M466" s="31">
        <f t="shared" si="94"/>
        <v>980</v>
      </c>
      <c r="N466" s="31">
        <f t="shared" si="94"/>
        <v>5141445.71</v>
      </c>
      <c r="O466" s="31">
        <f t="shared" si="94"/>
        <v>0</v>
      </c>
      <c r="P466" s="31">
        <f t="shared" si="94"/>
        <v>0</v>
      </c>
      <c r="Q466" s="31">
        <f t="shared" si="94"/>
        <v>0</v>
      </c>
      <c r="R466" s="31">
        <f t="shared" si="94"/>
        <v>0</v>
      </c>
      <c r="S466" s="31">
        <f t="shared" si="94"/>
        <v>0</v>
      </c>
      <c r="T466" s="31">
        <f t="shared" si="94"/>
        <v>0</v>
      </c>
      <c r="U466" s="31">
        <f t="shared" si="94"/>
        <v>0</v>
      </c>
      <c r="V466" s="31">
        <f t="shared" si="94"/>
        <v>0</v>
      </c>
      <c r="W466" s="31">
        <f t="shared" si="94"/>
        <v>0</v>
      </c>
      <c r="X466" s="31">
        <f t="shared" si="94"/>
        <v>0</v>
      </c>
      <c r="Y466" s="31">
        <f t="shared" si="94"/>
        <v>0</v>
      </c>
      <c r="Z466" s="31">
        <f t="shared" si="94"/>
        <v>0</v>
      </c>
      <c r="AA466" s="31">
        <f t="shared" si="94"/>
        <v>0</v>
      </c>
      <c r="AB466" s="31">
        <f t="shared" si="94"/>
        <v>0</v>
      </c>
      <c r="AC466" s="31">
        <f t="shared" si="94"/>
        <v>77121.69</v>
      </c>
      <c r="AD466" s="31">
        <f t="shared" si="94"/>
        <v>150000</v>
      </c>
      <c r="AE466" s="31">
        <f t="shared" si="94"/>
        <v>0</v>
      </c>
      <c r="AF466" s="221" t="s">
        <v>764</v>
      </c>
      <c r="AG466" s="221" t="s">
        <v>764</v>
      </c>
      <c r="AH466" s="222" t="s">
        <v>764</v>
      </c>
      <c r="AT466" s="20" t="e">
        <f t="shared" ref="AT466:AT472" si="95">VLOOKUP(C466,AW:AX,2,FALSE)</f>
        <v>#N/A</v>
      </c>
      <c r="BZ466" s="71">
        <v>5368567.4000000004</v>
      </c>
      <c r="CD466" s="20" t="e">
        <f t="shared" si="85"/>
        <v>#N/A</v>
      </c>
    </row>
    <row r="467" spans="1:82" ht="61.5" x14ac:dyDescent="0.85">
      <c r="A467" s="20">
        <v>1</v>
      </c>
      <c r="B467" s="66">
        <f>SUBTOTAL(103,$A$22:A467)</f>
        <v>401</v>
      </c>
      <c r="C467" s="24" t="s">
        <v>140</v>
      </c>
      <c r="D467" s="31">
        <f>E467+F467+G467+H467+I467+J467+L467+N467+P467+R467+T467+U467+V467+W467+X467+Y467+Z467+AA467+AB467+AC467+AD467+AE467</f>
        <v>5368567.4000000004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3">
        <v>0</v>
      </c>
      <c r="L467" s="31">
        <v>0</v>
      </c>
      <c r="M467" s="31">
        <v>980</v>
      </c>
      <c r="N467" s="31">
        <v>5141445.71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f>ROUND(N467*1.5%,2)</f>
        <v>77121.69</v>
      </c>
      <c r="AD467" s="31">
        <f>155511.19-5511.19</f>
        <v>150000</v>
      </c>
      <c r="AE467" s="31">
        <v>0</v>
      </c>
      <c r="AF467" s="219">
        <v>2020</v>
      </c>
      <c r="AG467" s="219">
        <v>2020</v>
      </c>
      <c r="AH467" s="220">
        <v>2020</v>
      </c>
      <c r="AT467" s="20" t="e">
        <f t="shared" si="95"/>
        <v>#N/A</v>
      </c>
      <c r="BZ467" s="71"/>
      <c r="CD467" s="20" t="e">
        <f t="shared" si="85"/>
        <v>#N/A</v>
      </c>
    </row>
    <row r="468" spans="1:82" ht="61.5" x14ac:dyDescent="0.85">
      <c r="B468" s="24" t="s">
        <v>863</v>
      </c>
      <c r="C468" s="24"/>
      <c r="D468" s="31">
        <f t="shared" ref="D468:AE468" si="96">D469</f>
        <v>2682382.0500000003</v>
      </c>
      <c r="E468" s="31">
        <f t="shared" si="96"/>
        <v>0</v>
      </c>
      <c r="F468" s="31">
        <f t="shared" si="96"/>
        <v>0</v>
      </c>
      <c r="G468" s="31">
        <f t="shared" si="96"/>
        <v>0</v>
      </c>
      <c r="H468" s="31">
        <f t="shared" si="96"/>
        <v>0</v>
      </c>
      <c r="I468" s="31">
        <f t="shared" si="96"/>
        <v>0</v>
      </c>
      <c r="J468" s="31">
        <f t="shared" si="96"/>
        <v>0</v>
      </c>
      <c r="K468" s="33">
        <f t="shared" si="96"/>
        <v>0</v>
      </c>
      <c r="L468" s="31">
        <f t="shared" si="96"/>
        <v>0</v>
      </c>
      <c r="M468" s="31">
        <f t="shared" si="96"/>
        <v>629.09712090000005</v>
      </c>
      <c r="N468" s="31">
        <f t="shared" si="96"/>
        <v>2494957.6800000002</v>
      </c>
      <c r="O468" s="31">
        <f t="shared" si="96"/>
        <v>0</v>
      </c>
      <c r="P468" s="31">
        <f t="shared" si="96"/>
        <v>0</v>
      </c>
      <c r="Q468" s="31">
        <f t="shared" si="96"/>
        <v>0</v>
      </c>
      <c r="R468" s="31">
        <f t="shared" si="96"/>
        <v>0</v>
      </c>
      <c r="S468" s="31">
        <f t="shared" si="96"/>
        <v>0</v>
      </c>
      <c r="T468" s="31">
        <f t="shared" si="96"/>
        <v>0</v>
      </c>
      <c r="U468" s="31">
        <f t="shared" si="96"/>
        <v>0</v>
      </c>
      <c r="V468" s="31">
        <f t="shared" si="96"/>
        <v>0</v>
      </c>
      <c r="W468" s="31">
        <f t="shared" si="96"/>
        <v>0</v>
      </c>
      <c r="X468" s="31">
        <f t="shared" si="96"/>
        <v>0</v>
      </c>
      <c r="Y468" s="31">
        <f t="shared" si="96"/>
        <v>0</v>
      </c>
      <c r="Z468" s="31">
        <f t="shared" si="96"/>
        <v>0</v>
      </c>
      <c r="AA468" s="31">
        <f t="shared" si="96"/>
        <v>0</v>
      </c>
      <c r="AB468" s="31">
        <f t="shared" si="96"/>
        <v>0</v>
      </c>
      <c r="AC468" s="31">
        <f t="shared" si="96"/>
        <v>37424.370000000003</v>
      </c>
      <c r="AD468" s="31">
        <f t="shared" si="96"/>
        <v>150000</v>
      </c>
      <c r="AE468" s="31">
        <f t="shared" si="96"/>
        <v>0</v>
      </c>
      <c r="AF468" s="221" t="s">
        <v>764</v>
      </c>
      <c r="AG468" s="221" t="s">
        <v>764</v>
      </c>
      <c r="AH468" s="222" t="s">
        <v>764</v>
      </c>
      <c r="AT468" s="20" t="e">
        <f t="shared" si="95"/>
        <v>#N/A</v>
      </c>
      <c r="BZ468" s="71">
        <v>2682382.0500000003</v>
      </c>
      <c r="CD468" s="20" t="e">
        <f t="shared" si="85"/>
        <v>#N/A</v>
      </c>
    </row>
    <row r="469" spans="1:82" ht="61.5" x14ac:dyDescent="0.85">
      <c r="A469" s="20">
        <v>1</v>
      </c>
      <c r="B469" s="66">
        <f>SUBTOTAL(103,$A$22:A469)</f>
        <v>402</v>
      </c>
      <c r="C469" s="24" t="s">
        <v>145</v>
      </c>
      <c r="D469" s="31">
        <f>E469+F469+G469+H469+I469+J469+L469+N469+P469+R469+T469+U469+V469+W469+X469+Y469+Z469+AA469+AB469+AC469+AD469+AE469</f>
        <v>2682382.0500000003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3">
        <v>0</v>
      </c>
      <c r="L469" s="31">
        <v>0</v>
      </c>
      <c r="M469" s="31">
        <v>629.09712090000005</v>
      </c>
      <c r="N469" s="31">
        <v>2494957.6800000002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f>ROUND(N469*1.5%,2)</f>
        <v>37424.370000000003</v>
      </c>
      <c r="AD469" s="31">
        <v>150000</v>
      </c>
      <c r="AE469" s="31">
        <v>0</v>
      </c>
      <c r="AF469" s="219">
        <v>2020</v>
      </c>
      <c r="AG469" s="219">
        <v>2020</v>
      </c>
      <c r="AH469" s="220">
        <v>2020</v>
      </c>
      <c r="AT469" s="20" t="e">
        <f t="shared" si="95"/>
        <v>#N/A</v>
      </c>
      <c r="BZ469" s="71"/>
      <c r="CD469" s="20" t="e">
        <f t="shared" si="85"/>
        <v>#N/A</v>
      </c>
    </row>
    <row r="470" spans="1:82" ht="61.5" x14ac:dyDescent="0.85">
      <c r="B470" s="24" t="s">
        <v>864</v>
      </c>
      <c r="C470" s="24"/>
      <c r="D470" s="31">
        <f t="shared" ref="D470:AE470" si="97">SUM(D471:D475)</f>
        <v>11742480.74</v>
      </c>
      <c r="E470" s="31">
        <f t="shared" si="97"/>
        <v>0</v>
      </c>
      <c r="F470" s="31">
        <f t="shared" si="97"/>
        <v>0</v>
      </c>
      <c r="G470" s="31">
        <f t="shared" si="97"/>
        <v>0</v>
      </c>
      <c r="H470" s="31">
        <f t="shared" si="97"/>
        <v>0</v>
      </c>
      <c r="I470" s="31">
        <f t="shared" si="97"/>
        <v>0</v>
      </c>
      <c r="J470" s="31">
        <f t="shared" si="97"/>
        <v>0</v>
      </c>
      <c r="K470" s="33">
        <f t="shared" si="97"/>
        <v>0</v>
      </c>
      <c r="L470" s="31">
        <f t="shared" si="97"/>
        <v>0</v>
      </c>
      <c r="M470" s="31">
        <f t="shared" si="97"/>
        <v>1104.4000000000001</v>
      </c>
      <c r="N470" s="31">
        <f t="shared" si="97"/>
        <v>5410086.6900000004</v>
      </c>
      <c r="O470" s="31">
        <f t="shared" si="97"/>
        <v>0</v>
      </c>
      <c r="P470" s="31">
        <f t="shared" si="97"/>
        <v>0</v>
      </c>
      <c r="Q470" s="31">
        <f t="shared" si="97"/>
        <v>316.60000000000002</v>
      </c>
      <c r="R470" s="31">
        <f t="shared" si="97"/>
        <v>1784451.34</v>
      </c>
      <c r="S470" s="31">
        <f t="shared" si="97"/>
        <v>0</v>
      </c>
      <c r="T470" s="31">
        <f t="shared" si="97"/>
        <v>0</v>
      </c>
      <c r="U470" s="31">
        <f t="shared" si="97"/>
        <v>4000540.55</v>
      </c>
      <c r="V470" s="31">
        <f t="shared" si="97"/>
        <v>0</v>
      </c>
      <c r="W470" s="31">
        <f t="shared" si="97"/>
        <v>0</v>
      </c>
      <c r="X470" s="31">
        <f t="shared" si="97"/>
        <v>0</v>
      </c>
      <c r="Y470" s="31">
        <f t="shared" si="97"/>
        <v>0</v>
      </c>
      <c r="Z470" s="31">
        <f t="shared" si="97"/>
        <v>0</v>
      </c>
      <c r="AA470" s="31">
        <f t="shared" si="97"/>
        <v>0</v>
      </c>
      <c r="AB470" s="31">
        <f t="shared" si="97"/>
        <v>0</v>
      </c>
      <c r="AC470" s="31">
        <f t="shared" si="97"/>
        <v>149677.79999999999</v>
      </c>
      <c r="AD470" s="31">
        <f t="shared" si="97"/>
        <v>277724.36</v>
      </c>
      <c r="AE470" s="31">
        <f t="shared" si="97"/>
        <v>120000</v>
      </c>
      <c r="AF470" s="221" t="s">
        <v>764</v>
      </c>
      <c r="AG470" s="221" t="s">
        <v>764</v>
      </c>
      <c r="AH470" s="222" t="s">
        <v>764</v>
      </c>
      <c r="AT470" s="20" t="e">
        <f t="shared" si="95"/>
        <v>#N/A</v>
      </c>
      <c r="BZ470" s="31">
        <v>11742480.740000002</v>
      </c>
      <c r="CA470" s="31"/>
      <c r="CB470" s="31">
        <f>BZ470-D470</f>
        <v>0</v>
      </c>
      <c r="CD470" s="20" t="e">
        <f t="shared" si="85"/>
        <v>#N/A</v>
      </c>
    </row>
    <row r="471" spans="1:82" ht="61.5" x14ac:dyDescent="0.85">
      <c r="A471" s="20">
        <v>1</v>
      </c>
      <c r="B471" s="66">
        <f>SUBTOTAL(103,$A$22:A471)</f>
        <v>403</v>
      </c>
      <c r="C471" s="24" t="s">
        <v>143</v>
      </c>
      <c r="D471" s="31">
        <f>E471+F471+G471+H471+I471+J471+L471+N471+P471+R471+T471+U471+V471+W471+X471+Y471+Z471+AA471+AB471+AC471+AD471+AE471</f>
        <v>4201814.5599999996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3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f>3628734.33+371806.22</f>
        <v>4000540.55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f>ROUND(U471*1.5%,2)</f>
        <v>60008.11</v>
      </c>
      <c r="AD471" s="278">
        <v>141265.9</v>
      </c>
      <c r="AE471" s="31">
        <v>0</v>
      </c>
      <c r="AF471" s="219">
        <v>2020</v>
      </c>
      <c r="AG471" s="219">
        <v>2020</v>
      </c>
      <c r="AH471" s="220">
        <v>2020</v>
      </c>
      <c r="AT471" s="20" t="e">
        <f t="shared" si="95"/>
        <v>#N/A</v>
      </c>
      <c r="BZ471" s="71"/>
      <c r="CD471" s="20" t="e">
        <f t="shared" si="85"/>
        <v>#N/A</v>
      </c>
    </row>
    <row r="472" spans="1:82" ht="61.5" x14ac:dyDescent="0.85">
      <c r="A472" s="20">
        <v>1</v>
      </c>
      <c r="B472" s="66">
        <f>SUBTOTAL(103,$A$22:A472)</f>
        <v>404</v>
      </c>
      <c r="C472" s="24" t="s">
        <v>144</v>
      </c>
      <c r="D472" s="31">
        <f>E472+F472+G472+H472+I472+J472+L472+N472+P472+R472+T472+U472+V472+W472+X472+Y472+Z472+AA472+AB472+AC472+AD472+AE472</f>
        <v>1216558.3500000001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3">
        <v>0</v>
      </c>
      <c r="L472" s="31">
        <v>0</v>
      </c>
      <c r="M472" s="272">
        <v>317.8</v>
      </c>
      <c r="N472" s="273">
        <v>1216558.3500000001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219" t="s">
        <v>271</v>
      </c>
      <c r="AG472" s="219">
        <v>2020</v>
      </c>
      <c r="AH472" s="220" t="s">
        <v>271</v>
      </c>
      <c r="AT472" s="20" t="e">
        <f t="shared" si="95"/>
        <v>#N/A</v>
      </c>
      <c r="BZ472" s="71"/>
      <c r="CD472" s="20">
        <f t="shared" si="85"/>
        <v>317.8</v>
      </c>
    </row>
    <row r="473" spans="1:82" ht="61.5" x14ac:dyDescent="0.85">
      <c r="A473" s="20">
        <v>1</v>
      </c>
      <c r="B473" s="66">
        <f>SUBTOTAL(103,$A$22:A473)</f>
        <v>405</v>
      </c>
      <c r="C473" s="24" t="s">
        <v>1277</v>
      </c>
      <c r="D473" s="31">
        <f>E473+F473+G473+H473+I473+J473+L473+N473+P473+R473+T473+U473+V473+W473+X473+Y473+Z473+AA473+AB473+AC473+AD473+AE473</f>
        <v>1860965.27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3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316.60000000000002</v>
      </c>
      <c r="R473" s="31">
        <f>1266400-377064.1+107127.19+787988.25</f>
        <v>1784451.34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f>ROUND(R473*1.5%,2)</f>
        <v>26766.77</v>
      </c>
      <c r="AD473" s="273">
        <v>49747.16</v>
      </c>
      <c r="AE473" s="31">
        <v>0</v>
      </c>
      <c r="AF473" s="219">
        <v>2020</v>
      </c>
      <c r="AG473" s="219">
        <v>2020</v>
      </c>
      <c r="AH473" s="220">
        <v>2020</v>
      </c>
      <c r="BZ473" s="71"/>
      <c r="CD473" s="20" t="e">
        <f t="shared" si="85"/>
        <v>#N/A</v>
      </c>
    </row>
    <row r="474" spans="1:82" ht="61.5" x14ac:dyDescent="0.85">
      <c r="A474" s="20">
        <v>1</v>
      </c>
      <c r="B474" s="66">
        <f>SUBTOTAL(103,$A$22:A474)</f>
        <v>406</v>
      </c>
      <c r="C474" s="24" t="s">
        <v>1278</v>
      </c>
      <c r="D474" s="31">
        <f>E474+F474+G474+H474+I474+J474+L474+N474+P474+R474+T474+U474+V474+W474+X474+Y474+Z474+AA474+AB474+AC474+AD474+AE474</f>
        <v>1517864.1500000001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3">
        <v>0</v>
      </c>
      <c r="L474" s="31">
        <v>0</v>
      </c>
      <c r="M474" s="31">
        <v>189.8</v>
      </c>
      <c r="N474" s="31">
        <v>1377206.06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f>ROUND(N474*1.5%,2)</f>
        <v>20658.09</v>
      </c>
      <c r="AD474" s="31">
        <v>0</v>
      </c>
      <c r="AE474" s="31">
        <v>120000</v>
      </c>
      <c r="AF474" s="219" t="s">
        <v>271</v>
      </c>
      <c r="AG474" s="219">
        <v>2020</v>
      </c>
      <c r="AH474" s="220">
        <v>2020</v>
      </c>
      <c r="BZ474" s="71"/>
      <c r="CD474" s="20">
        <f t="shared" si="85"/>
        <v>189.8</v>
      </c>
    </row>
    <row r="475" spans="1:82" ht="61.5" x14ac:dyDescent="0.85">
      <c r="A475" s="20">
        <v>1</v>
      </c>
      <c r="B475" s="66">
        <f>SUBTOTAL(103,$A$22:A475)</f>
        <v>407</v>
      </c>
      <c r="C475" s="24" t="s">
        <v>1313</v>
      </c>
      <c r="D475" s="31">
        <f>E475+F475+G475+H475+I475+J475+L475+N475+P475+R475+T475+U475+V475+W475+X475+Y475+Z475+AA475+AB475+AC475+AD475+AE475</f>
        <v>2945278.41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3">
        <v>0</v>
      </c>
      <c r="L475" s="31">
        <v>0</v>
      </c>
      <c r="M475" s="31">
        <v>596.79999999999995</v>
      </c>
      <c r="N475" s="31">
        <f>2367388.18+448934.1</f>
        <v>2816322.2800000003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0</v>
      </c>
      <c r="AA475" s="31">
        <v>0</v>
      </c>
      <c r="AB475" s="31">
        <v>0</v>
      </c>
      <c r="AC475" s="31">
        <f>ROUND(N475*1.5%,2)</f>
        <v>42244.83</v>
      </c>
      <c r="AD475" s="328">
        <v>86711.3</v>
      </c>
      <c r="AE475" s="31">
        <v>0</v>
      </c>
      <c r="AF475" s="219">
        <v>2020</v>
      </c>
      <c r="AG475" s="219">
        <v>2020</v>
      </c>
      <c r="AH475" s="220">
        <v>2020</v>
      </c>
      <c r="BZ475" s="71"/>
      <c r="CD475" s="20" t="e">
        <f t="shared" si="85"/>
        <v>#N/A</v>
      </c>
    </row>
    <row r="476" spans="1:82" ht="61.5" x14ac:dyDescent="0.85">
      <c r="B476" s="24" t="s">
        <v>865</v>
      </c>
      <c r="C476" s="24"/>
      <c r="D476" s="31">
        <f>D477+D478+D479+D480+D481+D482+D483+D484+D485+D486+D487</f>
        <v>40245217.780000001</v>
      </c>
      <c r="E476" s="31">
        <f t="shared" ref="E476:AE476" si="98">E477+E478+E479+E480+E481+E482+E483+E484+E485+E486+E487</f>
        <v>577627.67000000004</v>
      </c>
      <c r="F476" s="31">
        <f t="shared" si="98"/>
        <v>0</v>
      </c>
      <c r="G476" s="31">
        <f t="shared" si="98"/>
        <v>3247360.26</v>
      </c>
      <c r="H476" s="31">
        <f t="shared" si="98"/>
        <v>280774.89</v>
      </c>
      <c r="I476" s="31">
        <f t="shared" si="98"/>
        <v>730380.2</v>
      </c>
      <c r="J476" s="31">
        <f t="shared" si="98"/>
        <v>0</v>
      </c>
      <c r="K476" s="33">
        <f t="shared" si="98"/>
        <v>0</v>
      </c>
      <c r="L476" s="31">
        <f t="shared" si="98"/>
        <v>0</v>
      </c>
      <c r="M476" s="31">
        <f t="shared" si="98"/>
        <v>8010.7999999999993</v>
      </c>
      <c r="N476" s="31">
        <f t="shared" si="98"/>
        <v>34485775</v>
      </c>
      <c r="O476" s="31">
        <f t="shared" si="98"/>
        <v>0</v>
      </c>
      <c r="P476" s="31">
        <f t="shared" si="98"/>
        <v>0</v>
      </c>
      <c r="Q476" s="31">
        <f t="shared" si="98"/>
        <v>0</v>
      </c>
      <c r="R476" s="31">
        <f t="shared" si="98"/>
        <v>0</v>
      </c>
      <c r="S476" s="31">
        <f t="shared" si="98"/>
        <v>0</v>
      </c>
      <c r="T476" s="31">
        <f t="shared" si="98"/>
        <v>0</v>
      </c>
      <c r="U476" s="31">
        <f t="shared" si="98"/>
        <v>0</v>
      </c>
      <c r="V476" s="31">
        <f t="shared" si="98"/>
        <v>0</v>
      </c>
      <c r="W476" s="31">
        <f t="shared" si="98"/>
        <v>0</v>
      </c>
      <c r="X476" s="31">
        <f t="shared" si="98"/>
        <v>0</v>
      </c>
      <c r="Y476" s="31">
        <f t="shared" si="98"/>
        <v>0</v>
      </c>
      <c r="Z476" s="31">
        <f t="shared" si="98"/>
        <v>0</v>
      </c>
      <c r="AA476" s="31">
        <f t="shared" si="98"/>
        <v>0</v>
      </c>
      <c r="AB476" s="31">
        <f t="shared" si="98"/>
        <v>0</v>
      </c>
      <c r="AC476" s="31">
        <f t="shared" si="98"/>
        <v>589828.77</v>
      </c>
      <c r="AD476" s="31">
        <f t="shared" si="98"/>
        <v>333470.99</v>
      </c>
      <c r="AE476" s="31">
        <f t="shared" si="98"/>
        <v>0</v>
      </c>
      <c r="AF476" s="221" t="s">
        <v>764</v>
      </c>
      <c r="AG476" s="221" t="s">
        <v>764</v>
      </c>
      <c r="AH476" s="222" t="s">
        <v>764</v>
      </c>
      <c r="AT476" s="20" t="e">
        <f>VLOOKUP(C476,AW:AX,2,FALSE)</f>
        <v>#N/A</v>
      </c>
      <c r="BZ476" s="31">
        <v>43274846.739999995</v>
      </c>
      <c r="CA476" s="31"/>
      <c r="CB476" s="31">
        <f>BZ476-D476</f>
        <v>3029628.9599999934</v>
      </c>
      <c r="CD476" s="20" t="e">
        <f t="shared" si="85"/>
        <v>#N/A</v>
      </c>
    </row>
    <row r="477" spans="1:82" ht="61.5" x14ac:dyDescent="0.85">
      <c r="A477" s="20">
        <v>1</v>
      </c>
      <c r="B477" s="66">
        <f>SUBTOTAL(103,$A$22:A477)</f>
        <v>408</v>
      </c>
      <c r="C477" s="24" t="s">
        <v>146</v>
      </c>
      <c r="D477" s="31">
        <f t="shared" ref="D477:D483" si="99">E477+F477+G477+H477+I477+J477+L477+N477+P477+R477+T477+U477+V477+W477+X477+Y477+Z477+AA477+AB477+AC477+AD477+AE477</f>
        <v>4633571.43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3">
        <v>0</v>
      </c>
      <c r="L477" s="31">
        <v>0</v>
      </c>
      <c r="M477" s="272">
        <v>1538.84</v>
      </c>
      <c r="N477" s="273">
        <v>4565095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f>ROUND(N477*1.5%,2)</f>
        <v>68476.429999999993</v>
      </c>
      <c r="AD477" s="31">
        <v>0</v>
      </c>
      <c r="AE477" s="31">
        <v>0</v>
      </c>
      <c r="AF477" s="219" t="s">
        <v>271</v>
      </c>
      <c r="AG477" s="219">
        <v>2020</v>
      </c>
      <c r="AH477" s="220">
        <v>2020</v>
      </c>
      <c r="AT477" s="20" t="e">
        <f>VLOOKUP(C477,AW:AX,2,FALSE)</f>
        <v>#N/A</v>
      </c>
      <c r="BZ477" s="71"/>
      <c r="CD477" s="20">
        <f t="shared" si="85"/>
        <v>1525.2</v>
      </c>
    </row>
    <row r="478" spans="1:82" ht="61.5" x14ac:dyDescent="0.85">
      <c r="A478" s="20">
        <v>1</v>
      </c>
      <c r="B478" s="66">
        <f>SUBTOTAL(103,$A$22:A478)</f>
        <v>409</v>
      </c>
      <c r="C478" s="24" t="s">
        <v>141</v>
      </c>
      <c r="D478" s="31">
        <f t="shared" si="99"/>
        <v>5343157.95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3">
        <v>0</v>
      </c>
      <c r="L478" s="31">
        <v>0</v>
      </c>
      <c r="M478" s="31">
        <v>1246.2</v>
      </c>
      <c r="N478" s="31">
        <f>3946898.72+654836.09+458661.47-6778.25+92350.39</f>
        <v>5145968.42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f>ROUND(N478*1.5%,2)</f>
        <v>77189.53</v>
      </c>
      <c r="AD478" s="31">
        <v>120000</v>
      </c>
      <c r="AE478" s="31">
        <v>0</v>
      </c>
      <c r="AF478" s="219">
        <v>2020</v>
      </c>
      <c r="AG478" s="219">
        <v>2020</v>
      </c>
      <c r="AH478" s="220">
        <v>2020</v>
      </c>
      <c r="AT478" s="20" t="e">
        <f>VLOOKUP(C478,AW:AX,2,FALSE)</f>
        <v>#N/A</v>
      </c>
      <c r="BZ478" s="71"/>
      <c r="CD478" s="20" t="e">
        <f t="shared" si="85"/>
        <v>#N/A</v>
      </c>
    </row>
    <row r="479" spans="1:82" ht="61.5" x14ac:dyDescent="0.85">
      <c r="A479" s="20">
        <v>1</v>
      </c>
      <c r="B479" s="66">
        <f>SUBTOTAL(103,$A$22:A479)</f>
        <v>410</v>
      </c>
      <c r="C479" s="24" t="s">
        <v>142</v>
      </c>
      <c r="D479" s="31">
        <f t="shared" si="99"/>
        <v>4313623.05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3">
        <v>0</v>
      </c>
      <c r="L479" s="31">
        <v>0</v>
      </c>
      <c r="M479" s="278">
        <v>1373.6</v>
      </c>
      <c r="N479" s="273">
        <v>4249874.93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f>ROUND(N479*1.5%,2)</f>
        <v>63748.12</v>
      </c>
      <c r="AD479" s="31">
        <v>0</v>
      </c>
      <c r="AE479" s="31">
        <v>0</v>
      </c>
      <c r="AF479" s="219" t="s">
        <v>271</v>
      </c>
      <c r="AG479" s="219">
        <v>2020</v>
      </c>
      <c r="AH479" s="220">
        <v>2020</v>
      </c>
      <c r="AT479" s="20" t="e">
        <f>VLOOKUP(C479,AW:AX,2,FALSE)</f>
        <v>#N/A</v>
      </c>
      <c r="BZ479" s="71"/>
      <c r="CD479" s="20">
        <f t="shared" si="85"/>
        <v>1373.6</v>
      </c>
    </row>
    <row r="480" spans="1:82" ht="61.5" x14ac:dyDescent="0.85">
      <c r="A480" s="20">
        <v>1</v>
      </c>
      <c r="B480" s="66">
        <f>SUBTOTAL(103,$A$22:A480)</f>
        <v>411</v>
      </c>
      <c r="C480" s="24" t="s">
        <v>1269</v>
      </c>
      <c r="D480" s="31">
        <f t="shared" si="99"/>
        <v>1989946.9500000002</v>
      </c>
      <c r="E480" s="31">
        <f>123997.1+343281.69</f>
        <v>467278.79000000004</v>
      </c>
      <c r="F480" s="31">
        <v>0</v>
      </c>
      <c r="G480" s="31">
        <v>1027956.03</v>
      </c>
      <c r="H480" s="273">
        <v>130137.83</v>
      </c>
      <c r="I480" s="273">
        <v>335166.21999999997</v>
      </c>
      <c r="J480" s="31">
        <v>0</v>
      </c>
      <c r="K480" s="33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f>ROUND((E480+F480+G480+H480+I480+J480)*1.5%,2)</f>
        <v>29408.080000000002</v>
      </c>
      <c r="AD480" s="31">
        <v>0</v>
      </c>
      <c r="AE480" s="31">
        <v>0</v>
      </c>
      <c r="AF480" s="219" t="s">
        <v>271</v>
      </c>
      <c r="AG480" s="219">
        <v>2020</v>
      </c>
      <c r="AH480" s="220">
        <v>2020</v>
      </c>
      <c r="BZ480" s="71"/>
      <c r="CD480" s="20" t="e">
        <f t="shared" si="85"/>
        <v>#N/A</v>
      </c>
    </row>
    <row r="481" spans="1:82" ht="61.5" x14ac:dyDescent="0.85">
      <c r="A481" s="20">
        <v>1</v>
      </c>
      <c r="B481" s="66">
        <f>SUBTOTAL(103,$A$22:A481)</f>
        <v>412</v>
      </c>
      <c r="C481" s="24" t="s">
        <v>1270</v>
      </c>
      <c r="D481" s="31">
        <f t="shared" si="99"/>
        <v>1509653.6199999999</v>
      </c>
      <c r="E481" s="273">
        <v>110348.88</v>
      </c>
      <c r="F481" s="31">
        <v>0</v>
      </c>
      <c r="G481" s="31">
        <v>831143.55</v>
      </c>
      <c r="H481" s="273">
        <v>150637.06</v>
      </c>
      <c r="I481" s="273">
        <v>395213.98</v>
      </c>
      <c r="J481" s="31">
        <v>0</v>
      </c>
      <c r="K481" s="33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f>ROUND((E481+F481+G481+H481+I481+J481)*1.5%,2)</f>
        <v>22310.15</v>
      </c>
      <c r="AD481" s="31">
        <v>0</v>
      </c>
      <c r="AE481" s="31">
        <v>0</v>
      </c>
      <c r="AF481" s="219" t="s">
        <v>271</v>
      </c>
      <c r="AG481" s="219">
        <v>2020</v>
      </c>
      <c r="AH481" s="220">
        <v>2020</v>
      </c>
      <c r="BZ481" s="71"/>
      <c r="CD481" s="20" t="e">
        <f t="shared" si="85"/>
        <v>#N/A</v>
      </c>
    </row>
    <row r="482" spans="1:82" ht="61.5" x14ac:dyDescent="0.85">
      <c r="A482" s="20">
        <v>1</v>
      </c>
      <c r="B482" s="66">
        <f>SUBTOTAL(103,$A$22:A482)</f>
        <v>413</v>
      </c>
      <c r="C482" s="24" t="s">
        <v>1271</v>
      </c>
      <c r="D482" s="31">
        <f t="shared" si="99"/>
        <v>1409084.5899999999</v>
      </c>
      <c r="E482" s="31">
        <v>0</v>
      </c>
      <c r="F482" s="31">
        <v>0</v>
      </c>
      <c r="G482" s="31">
        <v>1388260.68</v>
      </c>
      <c r="H482" s="31">
        <v>0</v>
      </c>
      <c r="I482" s="31">
        <v>0</v>
      </c>
      <c r="J482" s="31">
        <v>0</v>
      </c>
      <c r="K482" s="33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f>ROUND((E482+F482+G482+H482+I482+J482)*1.5%,2)</f>
        <v>20823.91</v>
      </c>
      <c r="AD482" s="31">
        <v>0</v>
      </c>
      <c r="AE482" s="31">
        <v>0</v>
      </c>
      <c r="AF482" s="219" t="s">
        <v>271</v>
      </c>
      <c r="AG482" s="219">
        <v>2020</v>
      </c>
      <c r="AH482" s="220">
        <v>2020</v>
      </c>
      <c r="BZ482" s="71"/>
      <c r="CD482" s="20" t="e">
        <f t="shared" si="85"/>
        <v>#N/A</v>
      </c>
    </row>
    <row r="483" spans="1:82" ht="61.5" x14ac:dyDescent="0.85">
      <c r="A483" s="20">
        <v>1</v>
      </c>
      <c r="B483" s="66">
        <f>SUBTOTAL(103,$A$22:A483)</f>
        <v>414</v>
      </c>
      <c r="C483" s="24" t="s">
        <v>1299</v>
      </c>
      <c r="D483" s="31">
        <f t="shared" si="99"/>
        <v>3832203.62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3">
        <v>0</v>
      </c>
      <c r="L483" s="31">
        <v>0</v>
      </c>
      <c r="M483" s="31">
        <v>500</v>
      </c>
      <c r="N483" s="31">
        <v>3721315.37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f>ROUND(N483*1.5%,2)</f>
        <v>55819.73</v>
      </c>
      <c r="AD483" s="273">
        <v>55068.52</v>
      </c>
      <c r="AE483" s="31">
        <v>0</v>
      </c>
      <c r="AF483" s="219">
        <v>2020</v>
      </c>
      <c r="AG483" s="219">
        <v>2020</v>
      </c>
      <c r="AH483" s="220">
        <v>2020</v>
      </c>
      <c r="BZ483" s="71"/>
      <c r="CD483" s="20">
        <f t="shared" si="85"/>
        <v>500</v>
      </c>
    </row>
    <row r="484" spans="1:82" ht="61.5" x14ac:dyDescent="0.85">
      <c r="A484" s="20">
        <v>1</v>
      </c>
      <c r="B484" s="66">
        <f>SUBTOTAL(103,$A$22:A484)</f>
        <v>415</v>
      </c>
      <c r="C484" s="24" t="s">
        <v>1300</v>
      </c>
      <c r="D484" s="31">
        <f>E484+F484+G484+H484+I484+J484+L484+N484+P484+R484+T484+U484+V484+W484+X484+Y484+Z484+AA484+AB484+AC484+AD484+AE484</f>
        <v>4994309.25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3">
        <v>0</v>
      </c>
      <c r="L484" s="31">
        <v>0</v>
      </c>
      <c r="M484" s="31">
        <v>958</v>
      </c>
      <c r="N484" s="31">
        <v>4823000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f>ROUND(N484*1.5%,2)</f>
        <v>72345</v>
      </c>
      <c r="AD484" s="273">
        <v>98964.25</v>
      </c>
      <c r="AE484" s="31">
        <v>0</v>
      </c>
      <c r="AF484" s="219">
        <v>2020</v>
      </c>
      <c r="AG484" s="219">
        <v>2020</v>
      </c>
      <c r="AH484" s="220">
        <v>2020</v>
      </c>
      <c r="BZ484" s="71"/>
      <c r="CD484" s="20">
        <f t="shared" si="85"/>
        <v>958</v>
      </c>
    </row>
    <row r="485" spans="1:82" ht="61.5" x14ac:dyDescent="0.85">
      <c r="A485" s="20">
        <v>1</v>
      </c>
      <c r="B485" s="66">
        <f>SUBTOTAL(103,$A$22:A485)</f>
        <v>416</v>
      </c>
      <c r="C485" s="24" t="s">
        <v>1580</v>
      </c>
      <c r="D485" s="31">
        <f>E485+F485+G485+H485+I485+J485+L485+N485+P485+R485+T485+U485+V485+W485+X485+Y485+Z485+AA485+AB485+AC485+AD485+AE485</f>
        <v>3215741.2600000002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3">
        <v>0</v>
      </c>
      <c r="L485" s="31">
        <v>0</v>
      </c>
      <c r="M485" s="31">
        <v>524.36</v>
      </c>
      <c r="N485" s="31">
        <f>2577638.47+532019.7</f>
        <v>3109658.17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f>ROUND(N485*1.5%,2)</f>
        <v>46644.87</v>
      </c>
      <c r="AD485" s="273">
        <v>59438.22</v>
      </c>
      <c r="AE485" s="31">
        <v>0</v>
      </c>
      <c r="AF485" s="219">
        <v>2020</v>
      </c>
      <c r="AG485" s="219">
        <v>2020</v>
      </c>
      <c r="AH485" s="220">
        <v>2020</v>
      </c>
      <c r="BZ485" s="71"/>
      <c r="CD485" s="20" t="e">
        <f t="shared" si="85"/>
        <v>#N/A</v>
      </c>
    </row>
    <row r="486" spans="1:82" ht="61.5" x14ac:dyDescent="0.85">
      <c r="A486" s="20">
        <v>1</v>
      </c>
      <c r="B486" s="66">
        <f>SUBTOTAL(103,$A$22:A486)</f>
        <v>417</v>
      </c>
      <c r="C486" s="24" t="s">
        <v>152</v>
      </c>
      <c r="D486" s="31">
        <f>E486+F486+G486+H486+I486+J486+L486+N486+P486+R486+T486+U486+V486+W486+X486+Y486+Z486+AA486+AB486+AC486+AD486+AE486</f>
        <v>4659445.5299999993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3">
        <v>0</v>
      </c>
      <c r="L486" s="31">
        <v>0</v>
      </c>
      <c r="M486" s="31">
        <v>833.9</v>
      </c>
      <c r="N486" s="31">
        <v>4590586.7299999995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f>ROUND(N486*1.5%,2)</f>
        <v>68858.8</v>
      </c>
      <c r="AD486" s="31">
        <v>0</v>
      </c>
      <c r="AE486" s="31">
        <v>0</v>
      </c>
      <c r="AF486" s="219" t="s">
        <v>271</v>
      </c>
      <c r="AG486" s="219">
        <v>2020</v>
      </c>
      <c r="AH486" s="220">
        <v>2020</v>
      </c>
      <c r="AT486" s="20" t="e">
        <f>VLOOKUP(C486,AW:AX,2,FALSE)</f>
        <v>#N/A</v>
      </c>
      <c r="BZ486" s="71"/>
      <c r="CD486" s="20">
        <f t="shared" si="85"/>
        <v>833.9</v>
      </c>
    </row>
    <row r="487" spans="1:82" ht="61.5" x14ac:dyDescent="0.85">
      <c r="A487" s="20">
        <v>1</v>
      </c>
      <c r="B487" s="66">
        <f>SUBTOTAL(103,$A$22:A487)</f>
        <v>418</v>
      </c>
      <c r="C487" s="24" t="s">
        <v>153</v>
      </c>
      <c r="D487" s="31">
        <f>E487+F487+G487+H487+I487+J487+L487+N487+P487+R487+T487+U487+V487+W487+X487+Y487+Z487+AA487+AB487+AC487+AD487+AE487</f>
        <v>4344480.5299999993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3">
        <v>0</v>
      </c>
      <c r="L487" s="31">
        <v>0</v>
      </c>
      <c r="M487" s="31">
        <v>1035.9000000000001</v>
      </c>
      <c r="N487" s="31">
        <v>4280276.379999999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f>ROUND(N487*1.5%,2)</f>
        <v>64204.15</v>
      </c>
      <c r="AD487" s="31">
        <v>0</v>
      </c>
      <c r="AE487" s="31">
        <v>0</v>
      </c>
      <c r="AF487" s="219" t="s">
        <v>271</v>
      </c>
      <c r="AG487" s="219">
        <v>2020</v>
      </c>
      <c r="AH487" s="220">
        <v>2020</v>
      </c>
      <c r="AT487" s="20" t="e">
        <f>VLOOKUP(C487,AW:AX,2,FALSE)</f>
        <v>#N/A</v>
      </c>
      <c r="BZ487" s="71"/>
      <c r="CD487" s="20">
        <f t="shared" si="85"/>
        <v>1035.9000000000001</v>
      </c>
    </row>
    <row r="488" spans="1:82" ht="61.5" x14ac:dyDescent="0.85">
      <c r="B488" s="24" t="s">
        <v>866</v>
      </c>
      <c r="C488" s="24"/>
      <c r="D488" s="31">
        <f>SUM(D489:D496)</f>
        <v>34433820.409999996</v>
      </c>
      <c r="E488" s="31">
        <f t="shared" ref="E488:AE488" si="100">SUM(E489:E496)</f>
        <v>0</v>
      </c>
      <c r="F488" s="31">
        <f t="shared" si="100"/>
        <v>0</v>
      </c>
      <c r="G488" s="31">
        <f t="shared" si="100"/>
        <v>4848168.1899999995</v>
      </c>
      <c r="H488" s="31">
        <f t="shared" si="100"/>
        <v>0</v>
      </c>
      <c r="I488" s="31">
        <f t="shared" si="100"/>
        <v>0</v>
      </c>
      <c r="J488" s="31">
        <f t="shared" si="100"/>
        <v>0</v>
      </c>
      <c r="K488" s="33">
        <f t="shared" si="100"/>
        <v>0</v>
      </c>
      <c r="L488" s="31">
        <f t="shared" si="100"/>
        <v>0</v>
      </c>
      <c r="M488" s="31">
        <f t="shared" si="100"/>
        <v>6551.2200000000012</v>
      </c>
      <c r="N488" s="31">
        <f t="shared" si="100"/>
        <v>28000153.390000001</v>
      </c>
      <c r="O488" s="31">
        <f t="shared" si="100"/>
        <v>192</v>
      </c>
      <c r="P488" s="31">
        <f t="shared" si="100"/>
        <v>518485.12</v>
      </c>
      <c r="Q488" s="31">
        <f t="shared" si="100"/>
        <v>0</v>
      </c>
      <c r="R488" s="31">
        <f t="shared" si="100"/>
        <v>0</v>
      </c>
      <c r="S488" s="31">
        <f t="shared" si="100"/>
        <v>0</v>
      </c>
      <c r="T488" s="31">
        <f t="shared" si="100"/>
        <v>0</v>
      </c>
      <c r="U488" s="31">
        <f t="shared" si="100"/>
        <v>0</v>
      </c>
      <c r="V488" s="31">
        <f t="shared" si="100"/>
        <v>0</v>
      </c>
      <c r="W488" s="31">
        <f t="shared" si="100"/>
        <v>0</v>
      </c>
      <c r="X488" s="31">
        <f t="shared" si="100"/>
        <v>0</v>
      </c>
      <c r="Y488" s="31">
        <f t="shared" si="100"/>
        <v>0</v>
      </c>
      <c r="Z488" s="31">
        <f t="shared" si="100"/>
        <v>0</v>
      </c>
      <c r="AA488" s="31">
        <f t="shared" si="100"/>
        <v>0</v>
      </c>
      <c r="AB488" s="31">
        <f t="shared" si="100"/>
        <v>0</v>
      </c>
      <c r="AC488" s="31">
        <f t="shared" si="100"/>
        <v>500502.11000000004</v>
      </c>
      <c r="AD488" s="31">
        <f t="shared" si="100"/>
        <v>446511.6</v>
      </c>
      <c r="AE488" s="31">
        <f t="shared" si="100"/>
        <v>120000</v>
      </c>
      <c r="AF488" s="221" t="s">
        <v>764</v>
      </c>
      <c r="AG488" s="221" t="s">
        <v>764</v>
      </c>
      <c r="AH488" s="222" t="s">
        <v>764</v>
      </c>
      <c r="AT488" s="20" t="e">
        <f>VLOOKUP(C488,AW:AX,2,FALSE)</f>
        <v>#N/A</v>
      </c>
      <c r="BZ488" s="71">
        <v>38327194.07</v>
      </c>
      <c r="CD488" s="20" t="e">
        <f t="shared" si="85"/>
        <v>#N/A</v>
      </c>
    </row>
    <row r="489" spans="1:82" ht="61.5" x14ac:dyDescent="0.85">
      <c r="A489" s="20">
        <v>1</v>
      </c>
      <c r="B489" s="66">
        <f>SUBTOTAL(103,$A$22:A489)</f>
        <v>419</v>
      </c>
      <c r="C489" s="24" t="s">
        <v>137</v>
      </c>
      <c r="D489" s="31">
        <f t="shared" ref="D489:D496" si="101">E489+F489+G489+H489+I489+J489+L489+N489+P489+R489+T489+U489+V489+W489+X489+Y489+Z489+AA489+AB489+AC489+AD489+AE489</f>
        <v>2052000.74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3">
        <v>0</v>
      </c>
      <c r="L489" s="31">
        <v>0</v>
      </c>
      <c r="M489" s="272">
        <v>1029.8800000000001</v>
      </c>
      <c r="N489" s="273">
        <v>2021675.61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f t="shared" ref="AC489:AC494" si="102">ROUND(N489*1.5%,2)</f>
        <v>30325.13</v>
      </c>
      <c r="AD489" s="31">
        <v>0</v>
      </c>
      <c r="AE489" s="31">
        <v>0</v>
      </c>
      <c r="AF489" s="219" t="s">
        <v>271</v>
      </c>
      <c r="AG489" s="219">
        <v>2020</v>
      </c>
      <c r="AH489" s="220">
        <v>2020</v>
      </c>
      <c r="AT489" s="20" t="e">
        <f>VLOOKUP(C489,AW:AX,2,FALSE)</f>
        <v>#N/A</v>
      </c>
      <c r="BZ489" s="71"/>
      <c r="CD489" s="20">
        <f t="shared" si="85"/>
        <v>1062.4000000000001</v>
      </c>
    </row>
    <row r="490" spans="1:82" ht="61.5" x14ac:dyDescent="0.85">
      <c r="A490" s="20">
        <v>1</v>
      </c>
      <c r="B490" s="66">
        <f>SUBTOTAL(103,$A$22:A490)</f>
        <v>420</v>
      </c>
      <c r="C490" s="24" t="s">
        <v>139</v>
      </c>
      <c r="D490" s="31">
        <f t="shared" si="101"/>
        <v>2381202.33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3">
        <v>0</v>
      </c>
      <c r="L490" s="31">
        <v>0</v>
      </c>
      <c r="M490" s="31">
        <v>515.47</v>
      </c>
      <c r="N490" s="31">
        <v>2258747.04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f t="shared" si="102"/>
        <v>33881.21</v>
      </c>
      <c r="AD490" s="31">
        <v>88574.080000000002</v>
      </c>
      <c r="AE490" s="31">
        <v>0</v>
      </c>
      <c r="AF490" s="219">
        <v>2020</v>
      </c>
      <c r="AG490" s="219">
        <v>2020</v>
      </c>
      <c r="AH490" s="220">
        <v>2020</v>
      </c>
      <c r="AT490" s="20" t="e">
        <f>VLOOKUP(C490,AW:AX,2,FALSE)</f>
        <v>#N/A</v>
      </c>
      <c r="BZ490" s="71"/>
      <c r="CD490" s="20" t="e">
        <f t="shared" si="85"/>
        <v>#N/A</v>
      </c>
    </row>
    <row r="491" spans="1:82" ht="61.5" x14ac:dyDescent="0.85">
      <c r="A491" s="20">
        <v>1</v>
      </c>
      <c r="B491" s="66">
        <f>SUBTOTAL(103,$A$22:A491)</f>
        <v>421</v>
      </c>
      <c r="C491" s="24" t="s">
        <v>148</v>
      </c>
      <c r="D491" s="31">
        <f t="shared" si="101"/>
        <v>8666833.0800000001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3">
        <v>0</v>
      </c>
      <c r="L491" s="31">
        <v>0</v>
      </c>
      <c r="M491" s="31">
        <v>1664.04</v>
      </c>
      <c r="N491" s="31">
        <v>8383531.1100000003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f t="shared" si="102"/>
        <v>125752.97</v>
      </c>
      <c r="AD491" s="31">
        <v>157549</v>
      </c>
      <c r="AE491" s="31">
        <v>0</v>
      </c>
      <c r="AF491" s="219">
        <v>2020</v>
      </c>
      <c r="AG491" s="219">
        <v>2020</v>
      </c>
      <c r="AH491" s="220">
        <v>2020</v>
      </c>
      <c r="AT491" s="20" t="e">
        <f>VLOOKUP(C491,AW$491:AX$491,2,FALSE)</f>
        <v>#N/A</v>
      </c>
      <c r="BZ491" s="71"/>
      <c r="CD491" s="20" t="e">
        <f t="shared" si="85"/>
        <v>#N/A</v>
      </c>
    </row>
    <row r="492" spans="1:82" ht="61.5" x14ac:dyDescent="0.85">
      <c r="A492" s="20">
        <v>1</v>
      </c>
      <c r="B492" s="66">
        <f>SUBTOTAL(103,$A$22:A492)</f>
        <v>422</v>
      </c>
      <c r="C492" s="24" t="s">
        <v>1274</v>
      </c>
      <c r="D492" s="31">
        <f t="shared" si="101"/>
        <v>5276306.63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3">
        <v>0</v>
      </c>
      <c r="L492" s="31">
        <v>0</v>
      </c>
      <c r="M492" s="31">
        <v>1105</v>
      </c>
      <c r="N492" s="31">
        <f>4517697.52+533230.86</f>
        <v>5050928.38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f t="shared" si="102"/>
        <v>75763.929999999993</v>
      </c>
      <c r="AD492" s="31">
        <v>29614.32</v>
      </c>
      <c r="AE492" s="31">
        <v>120000</v>
      </c>
      <c r="AF492" s="219">
        <v>2020</v>
      </c>
      <c r="AG492" s="219">
        <v>2020</v>
      </c>
      <c r="AH492" s="220">
        <v>2020</v>
      </c>
      <c r="BZ492" s="71"/>
      <c r="CD492" s="20">
        <f t="shared" si="85"/>
        <v>1105</v>
      </c>
    </row>
    <row r="493" spans="1:82" ht="61.5" x14ac:dyDescent="0.85">
      <c r="A493" s="20">
        <v>1</v>
      </c>
      <c r="B493" s="66">
        <f>SUBTOTAL(103,$A$22:A493)</f>
        <v>423</v>
      </c>
      <c r="C493" s="24" t="s">
        <v>1275</v>
      </c>
      <c r="D493" s="31">
        <f t="shared" si="101"/>
        <v>3408422.6399999997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3">
        <v>0</v>
      </c>
      <c r="L493" s="31">
        <v>0</v>
      </c>
      <c r="M493" s="272">
        <v>835.43</v>
      </c>
      <c r="N493" s="273">
        <v>3358051.86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f t="shared" si="102"/>
        <v>50370.78</v>
      </c>
      <c r="AD493" s="31">
        <v>0</v>
      </c>
      <c r="AE493" s="31">
        <v>0</v>
      </c>
      <c r="AF493" s="219" t="s">
        <v>271</v>
      </c>
      <c r="AG493" s="219">
        <v>2020</v>
      </c>
      <c r="AH493" s="220">
        <v>2020</v>
      </c>
      <c r="BZ493" s="71"/>
      <c r="CD493" s="20">
        <f t="shared" si="85"/>
        <v>835.43</v>
      </c>
    </row>
    <row r="494" spans="1:82" ht="61.5" x14ac:dyDescent="0.85">
      <c r="A494" s="20">
        <v>1</v>
      </c>
      <c r="B494" s="66">
        <f>SUBTOTAL(103,$A$22:A494)</f>
        <v>424</v>
      </c>
      <c r="C494" s="24" t="s">
        <v>1276</v>
      </c>
      <c r="D494" s="31">
        <f t="shared" si="101"/>
        <v>7031127.6799999997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3">
        <v>0</v>
      </c>
      <c r="L494" s="31">
        <v>0</v>
      </c>
      <c r="M494" s="31">
        <v>1401.4</v>
      </c>
      <c r="N494" s="31">
        <f>6898654.81+28564.58</f>
        <v>6927219.3899999997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f t="shared" si="102"/>
        <v>103908.29</v>
      </c>
      <c r="AD494" s="31">
        <v>0</v>
      </c>
      <c r="AE494" s="31">
        <v>0</v>
      </c>
      <c r="AF494" s="219" t="s">
        <v>271</v>
      </c>
      <c r="AG494" s="219">
        <v>2020</v>
      </c>
      <c r="AH494" s="220">
        <v>2020</v>
      </c>
      <c r="BZ494" s="71"/>
      <c r="CD494" s="20">
        <f t="shared" si="85"/>
        <v>1401.4</v>
      </c>
    </row>
    <row r="495" spans="1:82" ht="61.5" x14ac:dyDescent="0.85">
      <c r="A495" s="20">
        <v>1</v>
      </c>
      <c r="B495" s="66">
        <f>SUBTOTAL(103,$A$22:A495)</f>
        <v>425</v>
      </c>
      <c r="C495" s="24" t="s">
        <v>168</v>
      </c>
      <c r="D495" s="31">
        <f t="shared" si="101"/>
        <v>590946.49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3">
        <v>0</v>
      </c>
      <c r="L495" s="31">
        <v>0</v>
      </c>
      <c r="M495" s="31">
        <v>0</v>
      </c>
      <c r="N495" s="31">
        <v>0</v>
      </c>
      <c r="O495" s="31">
        <v>192</v>
      </c>
      <c r="P495" s="31">
        <v>518485.12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f>ROUND(P495*1.5%,2)</f>
        <v>7777.28</v>
      </c>
      <c r="AD495" s="272">
        <v>64684.09</v>
      </c>
      <c r="AE495" s="31">
        <v>0</v>
      </c>
      <c r="AF495" s="219">
        <v>2020</v>
      </c>
      <c r="AG495" s="219">
        <v>2020</v>
      </c>
      <c r="AH495" s="220">
        <v>2020</v>
      </c>
      <c r="AT495" s="20" t="e">
        <f>VLOOKUP(C495,AW:AX,2,FALSE)</f>
        <v>#N/A</v>
      </c>
      <c r="BZ495" s="71"/>
      <c r="CD495" s="20" t="e">
        <f t="shared" si="85"/>
        <v>#N/A</v>
      </c>
    </row>
    <row r="496" spans="1:82" ht="61.5" x14ac:dyDescent="0.85">
      <c r="A496" s="20">
        <v>1</v>
      </c>
      <c r="B496" s="66">
        <f>SUBTOTAL(103,$A$22:A496)</f>
        <v>426</v>
      </c>
      <c r="C496" s="24" t="s">
        <v>1298</v>
      </c>
      <c r="D496" s="31">
        <f t="shared" si="101"/>
        <v>5026980.8199999994</v>
      </c>
      <c r="E496" s="31">
        <v>0</v>
      </c>
      <c r="F496" s="31">
        <v>0</v>
      </c>
      <c r="G496" s="31">
        <f>3966394.79-118226.6+1000000</f>
        <v>4848168.1899999995</v>
      </c>
      <c r="H496" s="31">
        <v>0</v>
      </c>
      <c r="I496" s="31">
        <v>0</v>
      </c>
      <c r="J496" s="31">
        <v>0</v>
      </c>
      <c r="K496" s="33">
        <v>0</v>
      </c>
      <c r="L496" s="31">
        <v>0</v>
      </c>
      <c r="M496" s="88">
        <v>0</v>
      </c>
      <c r="N496" s="88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f>ROUND((E496+F496+G496+H496+I496+J496)*1.5%,2)</f>
        <v>72722.52</v>
      </c>
      <c r="AD496" s="272">
        <v>106090.11</v>
      </c>
      <c r="AE496" s="31">
        <v>0</v>
      </c>
      <c r="AF496" s="219">
        <v>2020</v>
      </c>
      <c r="AG496" s="219">
        <v>2020</v>
      </c>
      <c r="AH496" s="220">
        <v>2020</v>
      </c>
      <c r="BZ496" s="71"/>
      <c r="CD496" s="20" t="e">
        <f t="shared" si="85"/>
        <v>#N/A</v>
      </c>
    </row>
    <row r="497" spans="1:83" ht="61.5" x14ac:dyDescent="0.85">
      <c r="B497" s="24" t="s">
        <v>1272</v>
      </c>
      <c r="C497" s="24"/>
      <c r="D497" s="31">
        <f>D498</f>
        <v>1499263.62</v>
      </c>
      <c r="E497" s="31">
        <f t="shared" ref="E497:AE497" si="103">E498</f>
        <v>0</v>
      </c>
      <c r="F497" s="31">
        <f t="shared" si="103"/>
        <v>0</v>
      </c>
      <c r="G497" s="31">
        <f t="shared" si="103"/>
        <v>0</v>
      </c>
      <c r="H497" s="31">
        <f t="shared" si="103"/>
        <v>0</v>
      </c>
      <c r="I497" s="31">
        <f t="shared" si="103"/>
        <v>0</v>
      </c>
      <c r="J497" s="31">
        <f t="shared" si="103"/>
        <v>0</v>
      </c>
      <c r="K497" s="33">
        <f t="shared" si="103"/>
        <v>0</v>
      </c>
      <c r="L497" s="31">
        <f t="shared" si="103"/>
        <v>0</v>
      </c>
      <c r="M497" s="31">
        <f t="shared" si="103"/>
        <v>484.49</v>
      </c>
      <c r="N497" s="31">
        <f t="shared" si="103"/>
        <v>1477107.01</v>
      </c>
      <c r="O497" s="31">
        <f t="shared" si="103"/>
        <v>0</v>
      </c>
      <c r="P497" s="31">
        <f t="shared" si="103"/>
        <v>0</v>
      </c>
      <c r="Q497" s="31">
        <f t="shared" si="103"/>
        <v>0</v>
      </c>
      <c r="R497" s="31">
        <f t="shared" si="103"/>
        <v>0</v>
      </c>
      <c r="S497" s="31">
        <f t="shared" si="103"/>
        <v>0</v>
      </c>
      <c r="T497" s="31">
        <f t="shared" si="103"/>
        <v>0</v>
      </c>
      <c r="U497" s="31">
        <f t="shared" si="103"/>
        <v>0</v>
      </c>
      <c r="V497" s="31">
        <f t="shared" si="103"/>
        <v>0</v>
      </c>
      <c r="W497" s="31">
        <f t="shared" si="103"/>
        <v>0</v>
      </c>
      <c r="X497" s="31">
        <f t="shared" si="103"/>
        <v>0</v>
      </c>
      <c r="Y497" s="31">
        <f t="shared" si="103"/>
        <v>0</v>
      </c>
      <c r="Z497" s="31">
        <f t="shared" si="103"/>
        <v>0</v>
      </c>
      <c r="AA497" s="31">
        <f t="shared" si="103"/>
        <v>0</v>
      </c>
      <c r="AB497" s="31">
        <f t="shared" si="103"/>
        <v>0</v>
      </c>
      <c r="AC497" s="31">
        <f t="shared" si="103"/>
        <v>22156.61</v>
      </c>
      <c r="AD497" s="31">
        <f t="shared" si="103"/>
        <v>0</v>
      </c>
      <c r="AE497" s="31">
        <f t="shared" si="103"/>
        <v>0</v>
      </c>
      <c r="AF497" s="221" t="s">
        <v>764</v>
      </c>
      <c r="AG497" s="221" t="s">
        <v>764</v>
      </c>
      <c r="AH497" s="222" t="s">
        <v>764</v>
      </c>
      <c r="BZ497" s="71">
        <v>2298882.5099999998</v>
      </c>
      <c r="CD497" s="20" t="e">
        <f t="shared" si="85"/>
        <v>#N/A</v>
      </c>
    </row>
    <row r="498" spans="1:83" ht="61.5" x14ac:dyDescent="0.85">
      <c r="A498" s="20">
        <v>1</v>
      </c>
      <c r="B498" s="66">
        <f>SUBTOTAL(103,$A$22:A498)</f>
        <v>427</v>
      </c>
      <c r="C498" s="24" t="s">
        <v>1273</v>
      </c>
      <c r="D498" s="31">
        <f>E498+F498+G498+H498+I498+J498+L498+N498+P498+R498+T498+U498+V498+W498+X498+Y498+Z498+AA498+AB498+AC498+AD498+AE498</f>
        <v>1499263.62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3">
        <v>0</v>
      </c>
      <c r="L498" s="31">
        <v>0</v>
      </c>
      <c r="M498" s="31">
        <v>484.49</v>
      </c>
      <c r="N498" s="31">
        <v>1477107.01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f>ROUND(N498*1.5%,2)</f>
        <v>22156.61</v>
      </c>
      <c r="AD498" s="31">
        <v>0</v>
      </c>
      <c r="AE498" s="31">
        <v>0</v>
      </c>
      <c r="AF498" s="219" t="s">
        <v>271</v>
      </c>
      <c r="AG498" s="219">
        <v>2020</v>
      </c>
      <c r="AH498" s="220">
        <v>2020</v>
      </c>
      <c r="BZ498" s="71"/>
      <c r="CD498" s="20">
        <f t="shared" si="85"/>
        <v>467.74</v>
      </c>
    </row>
    <row r="499" spans="1:83" ht="61.5" x14ac:dyDescent="0.85">
      <c r="B499" s="24" t="s">
        <v>1063</v>
      </c>
      <c r="C499" s="24"/>
      <c r="D499" s="31">
        <f>D500</f>
        <v>474650.14999999997</v>
      </c>
      <c r="E499" s="31">
        <f t="shared" ref="E499:AE499" si="104">E500</f>
        <v>0</v>
      </c>
      <c r="F499" s="31">
        <f t="shared" si="104"/>
        <v>0</v>
      </c>
      <c r="G499" s="31">
        <f t="shared" si="104"/>
        <v>0</v>
      </c>
      <c r="H499" s="31">
        <f t="shared" si="104"/>
        <v>0</v>
      </c>
      <c r="I499" s="31">
        <f t="shared" si="104"/>
        <v>0</v>
      </c>
      <c r="J499" s="31">
        <f t="shared" si="104"/>
        <v>0</v>
      </c>
      <c r="K499" s="33">
        <f t="shared" si="104"/>
        <v>0</v>
      </c>
      <c r="L499" s="31">
        <f t="shared" si="104"/>
        <v>0</v>
      </c>
      <c r="M499" s="31">
        <f t="shared" si="104"/>
        <v>0</v>
      </c>
      <c r="N499" s="31">
        <f t="shared" si="104"/>
        <v>0</v>
      </c>
      <c r="O499" s="31">
        <f t="shared" si="104"/>
        <v>0</v>
      </c>
      <c r="P499" s="31">
        <f t="shared" si="104"/>
        <v>0</v>
      </c>
      <c r="Q499" s="31">
        <f t="shared" si="104"/>
        <v>119.3</v>
      </c>
      <c r="R499" s="31">
        <f t="shared" si="104"/>
        <v>362161.55</v>
      </c>
      <c r="S499" s="31">
        <f t="shared" si="104"/>
        <v>0</v>
      </c>
      <c r="T499" s="31">
        <f t="shared" si="104"/>
        <v>0</v>
      </c>
      <c r="U499" s="31">
        <f t="shared" si="104"/>
        <v>0</v>
      </c>
      <c r="V499" s="31">
        <f t="shared" si="104"/>
        <v>0</v>
      </c>
      <c r="W499" s="31">
        <f t="shared" si="104"/>
        <v>0</v>
      </c>
      <c r="X499" s="31">
        <f t="shared" si="104"/>
        <v>0</v>
      </c>
      <c r="Y499" s="31">
        <f t="shared" si="104"/>
        <v>0</v>
      </c>
      <c r="Z499" s="31">
        <f t="shared" si="104"/>
        <v>0</v>
      </c>
      <c r="AA499" s="31">
        <f t="shared" si="104"/>
        <v>0</v>
      </c>
      <c r="AB499" s="31">
        <f t="shared" si="104"/>
        <v>0</v>
      </c>
      <c r="AC499" s="31">
        <f t="shared" si="104"/>
        <v>5432.42</v>
      </c>
      <c r="AD499" s="31">
        <f t="shared" si="104"/>
        <v>107056.18</v>
      </c>
      <c r="AE499" s="31">
        <f t="shared" si="104"/>
        <v>0</v>
      </c>
      <c r="AF499" s="221" t="s">
        <v>764</v>
      </c>
      <c r="AG499" s="221" t="s">
        <v>764</v>
      </c>
      <c r="AH499" s="222" t="s">
        <v>764</v>
      </c>
      <c r="BZ499" s="71">
        <v>467593.97</v>
      </c>
      <c r="CD499" s="20" t="e">
        <f t="shared" si="85"/>
        <v>#N/A</v>
      </c>
    </row>
    <row r="500" spans="1:83" ht="61.5" x14ac:dyDescent="0.85">
      <c r="A500" s="20">
        <v>1</v>
      </c>
      <c r="B500" s="66">
        <f>SUBTOTAL(103,$A$22:A500)</f>
        <v>428</v>
      </c>
      <c r="C500" s="24" t="s">
        <v>1051</v>
      </c>
      <c r="D500" s="31">
        <f>E500+F500+G500+H500+I500+J500+L500+N500+P500+R500+T500+U500+V500+W500+X500+Y500+Z500+AA500+AB500+AC500+AD500+AE500</f>
        <v>474650.14999999997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3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119.3</v>
      </c>
      <c r="R500" s="31">
        <f>362161.55</f>
        <v>362161.55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f>ROUND(R500*1.5%,2)</f>
        <v>5432.42</v>
      </c>
      <c r="AD500" s="31">
        <v>107056.18</v>
      </c>
      <c r="AE500" s="31">
        <v>0</v>
      </c>
      <c r="AF500" s="219">
        <v>2020</v>
      </c>
      <c r="AG500" s="219">
        <v>2020</v>
      </c>
      <c r="AH500" s="220">
        <v>2020</v>
      </c>
      <c r="BZ500" s="71"/>
      <c r="CD500" s="20" t="e">
        <f t="shared" si="85"/>
        <v>#N/A</v>
      </c>
    </row>
    <row r="501" spans="1:83" s="134" customFormat="1" ht="61.5" x14ac:dyDescent="0.85">
      <c r="B501" s="24" t="s">
        <v>895</v>
      </c>
      <c r="C501" s="114"/>
      <c r="D501" s="31">
        <f>SUM(D502:D505)</f>
        <v>4102310.33</v>
      </c>
      <c r="E501" s="31">
        <f t="shared" ref="E501:AE501" si="105">SUM(E502:E505)</f>
        <v>0</v>
      </c>
      <c r="F501" s="31">
        <f t="shared" si="105"/>
        <v>0</v>
      </c>
      <c r="G501" s="31">
        <f t="shared" si="105"/>
        <v>0</v>
      </c>
      <c r="H501" s="31">
        <f t="shared" si="105"/>
        <v>0</v>
      </c>
      <c r="I501" s="31">
        <f t="shared" si="105"/>
        <v>0</v>
      </c>
      <c r="J501" s="31">
        <f t="shared" si="105"/>
        <v>0</v>
      </c>
      <c r="K501" s="76">
        <f t="shared" si="105"/>
        <v>0</v>
      </c>
      <c r="L501" s="31">
        <f t="shared" si="105"/>
        <v>0</v>
      </c>
      <c r="M501" s="31">
        <f t="shared" si="105"/>
        <v>842.51</v>
      </c>
      <c r="N501" s="31">
        <f t="shared" si="105"/>
        <v>4041685.06</v>
      </c>
      <c r="O501" s="31">
        <f t="shared" si="105"/>
        <v>0</v>
      </c>
      <c r="P501" s="31">
        <f t="shared" si="105"/>
        <v>0</v>
      </c>
      <c r="Q501" s="31">
        <f t="shared" si="105"/>
        <v>0</v>
      </c>
      <c r="R501" s="31">
        <f t="shared" si="105"/>
        <v>0</v>
      </c>
      <c r="S501" s="31">
        <f t="shared" si="105"/>
        <v>0</v>
      </c>
      <c r="T501" s="31">
        <f t="shared" si="105"/>
        <v>0</v>
      </c>
      <c r="U501" s="31">
        <f t="shared" si="105"/>
        <v>0</v>
      </c>
      <c r="V501" s="31">
        <f t="shared" si="105"/>
        <v>0</v>
      </c>
      <c r="W501" s="31">
        <f t="shared" si="105"/>
        <v>0</v>
      </c>
      <c r="X501" s="31">
        <f t="shared" si="105"/>
        <v>0</v>
      </c>
      <c r="Y501" s="31">
        <f t="shared" si="105"/>
        <v>0</v>
      </c>
      <c r="Z501" s="31">
        <f t="shared" si="105"/>
        <v>0</v>
      </c>
      <c r="AA501" s="31">
        <f t="shared" si="105"/>
        <v>0</v>
      </c>
      <c r="AB501" s="31">
        <f t="shared" si="105"/>
        <v>0</v>
      </c>
      <c r="AC501" s="31">
        <f t="shared" si="105"/>
        <v>60625.27</v>
      </c>
      <c r="AD501" s="31">
        <f t="shared" si="105"/>
        <v>0</v>
      </c>
      <c r="AE501" s="31">
        <f t="shared" si="105"/>
        <v>0</v>
      </c>
      <c r="AF501" s="72" t="s">
        <v>764</v>
      </c>
      <c r="AG501" s="72" t="s">
        <v>764</v>
      </c>
      <c r="AH501" s="87" t="s">
        <v>764</v>
      </c>
      <c r="AI501" s="20"/>
      <c r="AJ501" s="20"/>
      <c r="AK501" s="20"/>
      <c r="AL501" s="20"/>
      <c r="AT501" s="134" t="e">
        <f t="shared" ref="AT501:AT508" si="106">VLOOKUP(C501,AW:AX,2,FALSE)</f>
        <v>#N/A</v>
      </c>
      <c r="BZ501" s="135">
        <v>3974620.0799999996</v>
      </c>
      <c r="CD501" s="134" t="e">
        <f t="shared" si="85"/>
        <v>#N/A</v>
      </c>
    </row>
    <row r="502" spans="1:83" s="134" customFormat="1" ht="61.5" x14ac:dyDescent="0.85">
      <c r="A502" s="134">
        <v>1</v>
      </c>
      <c r="B502" s="66">
        <f>SUBTOTAL(103,$A$22:A502)</f>
        <v>429</v>
      </c>
      <c r="C502" s="212" t="s">
        <v>1704</v>
      </c>
      <c r="D502" s="31">
        <f>E502+F502+G502+H502+I502+J502+L502+N502+P502+R502+T502+U502+V502+W502+X502+Y502+Z502+AA502+AB502+AC502+AD502+AE502</f>
        <v>1000160.1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3">
        <v>0</v>
      </c>
      <c r="L502" s="31">
        <v>0</v>
      </c>
      <c r="M502" s="31">
        <v>193.8</v>
      </c>
      <c r="N502" s="31">
        <f>930883.03+54496.38</f>
        <v>985379.41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f>ROUND(N502*1.5%,2)</f>
        <v>14780.69</v>
      </c>
      <c r="AD502" s="31">
        <v>0</v>
      </c>
      <c r="AE502" s="31">
        <v>0</v>
      </c>
      <c r="AF502" s="219" t="s">
        <v>271</v>
      </c>
      <c r="AG502" s="219">
        <v>2020</v>
      </c>
      <c r="AH502" s="220">
        <v>2020</v>
      </c>
      <c r="AI502" s="20"/>
      <c r="AJ502" s="20"/>
      <c r="AK502" s="20"/>
      <c r="AL502" s="20"/>
      <c r="AT502" s="134" t="e">
        <f t="shared" si="106"/>
        <v>#N/A</v>
      </c>
      <c r="BZ502" s="135"/>
      <c r="CD502" s="134" t="e">
        <f t="shared" si="85"/>
        <v>#N/A</v>
      </c>
    </row>
    <row r="503" spans="1:83" s="134" customFormat="1" ht="61.5" x14ac:dyDescent="0.85">
      <c r="A503" s="134">
        <v>1</v>
      </c>
      <c r="B503" s="66">
        <f>SUBTOTAL(103,$A$22:A503)</f>
        <v>430</v>
      </c>
      <c r="C503" s="212" t="s">
        <v>1705</v>
      </c>
      <c r="D503" s="31">
        <f>E503+F503+G503+H503+I503+J503+L503+N503+P503+R503+T503+U503+V503+W503+X503+Y503+Z503+AA503+AB503+AC503+AD503+AE503</f>
        <v>1037362.63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3">
        <v>0</v>
      </c>
      <c r="L503" s="31">
        <v>0</v>
      </c>
      <c r="M503" s="207">
        <v>217.03</v>
      </c>
      <c r="N503" s="207">
        <f>962032.15+60000</f>
        <v>1022032.15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f>ROUND(N503*1.5%,2)</f>
        <v>15330.48</v>
      </c>
      <c r="AD503" s="31">
        <v>0</v>
      </c>
      <c r="AE503" s="31">
        <v>0</v>
      </c>
      <c r="AF503" s="219" t="s">
        <v>271</v>
      </c>
      <c r="AG503" s="219">
        <v>2020</v>
      </c>
      <c r="AH503" s="220">
        <v>2020</v>
      </c>
      <c r="AI503" s="20"/>
      <c r="AJ503" s="20"/>
      <c r="AK503" s="20"/>
      <c r="AL503" s="20"/>
      <c r="AT503" s="134" t="e">
        <f t="shared" si="106"/>
        <v>#N/A</v>
      </c>
      <c r="BZ503" s="135"/>
      <c r="CD503" s="134" t="e">
        <f t="shared" ref="CD503:CD566" si="107">VLOOKUP(C503,CE:CF,2,FALSE)</f>
        <v>#N/A</v>
      </c>
    </row>
    <row r="504" spans="1:83" s="134" customFormat="1" ht="61.5" x14ac:dyDescent="0.85">
      <c r="A504" s="134">
        <v>1</v>
      </c>
      <c r="B504" s="66">
        <f>SUBTOTAL(103,$A$22:A504)</f>
        <v>431</v>
      </c>
      <c r="C504" s="212" t="s">
        <v>1706</v>
      </c>
      <c r="D504" s="31">
        <f>E504+F504+G504+H504+I504+J504+L504+N504+P504+R504+T504+U504+V504+W504+X504+Y504+Z504+AA504+AB504+AC504+AD504+AE504</f>
        <v>1033417.5800000001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3">
        <v>0</v>
      </c>
      <c r="L504" s="31">
        <v>0</v>
      </c>
      <c r="M504" s="207">
        <v>216.15</v>
      </c>
      <c r="N504" s="207">
        <f>958145.4+60000</f>
        <v>1018145.4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f>ROUND(N504*1.5%,2)</f>
        <v>15272.18</v>
      </c>
      <c r="AD504" s="31">
        <v>0</v>
      </c>
      <c r="AE504" s="31">
        <v>0</v>
      </c>
      <c r="AF504" s="219" t="s">
        <v>271</v>
      </c>
      <c r="AG504" s="219">
        <v>2020</v>
      </c>
      <c r="AH504" s="220">
        <v>2020</v>
      </c>
      <c r="AI504" s="20"/>
      <c r="AJ504" s="20"/>
      <c r="AK504" s="20"/>
      <c r="AL504" s="20"/>
      <c r="AT504" s="134" t="e">
        <f t="shared" si="106"/>
        <v>#N/A</v>
      </c>
      <c r="BZ504" s="135"/>
      <c r="CD504" s="134" t="e">
        <f t="shared" si="107"/>
        <v>#N/A</v>
      </c>
    </row>
    <row r="505" spans="1:83" s="134" customFormat="1" ht="61.5" x14ac:dyDescent="0.85">
      <c r="A505" s="134">
        <v>1</v>
      </c>
      <c r="B505" s="66">
        <f>SUBTOTAL(103,$A$22:A505)</f>
        <v>432</v>
      </c>
      <c r="C505" s="212" t="s">
        <v>1703</v>
      </c>
      <c r="D505" s="31">
        <f>E505+F505+G505+H505+I505+J505+L505+N505+P505+R505+T505+U505+V505+W505+X505+Y505+Z505+AA505+AB505+AC505+AD505+AE505</f>
        <v>1031370.02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3">
        <v>0</v>
      </c>
      <c r="L505" s="31">
        <v>0</v>
      </c>
      <c r="M505" s="207">
        <v>215.53</v>
      </c>
      <c r="N505" s="207">
        <f>956128.1+60000</f>
        <v>1016128.1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0</v>
      </c>
      <c r="AC505" s="31">
        <f>ROUND(N505*1.5%,2)</f>
        <v>15241.92</v>
      </c>
      <c r="AD505" s="31">
        <v>0</v>
      </c>
      <c r="AE505" s="31">
        <v>0</v>
      </c>
      <c r="AF505" s="219" t="s">
        <v>271</v>
      </c>
      <c r="AG505" s="219">
        <v>2020</v>
      </c>
      <c r="AH505" s="220">
        <v>2020</v>
      </c>
      <c r="AI505" s="20"/>
      <c r="AJ505" s="20"/>
      <c r="AK505" s="20"/>
      <c r="AL505" s="20"/>
      <c r="AT505" s="134" t="e">
        <f t="shared" si="106"/>
        <v>#N/A</v>
      </c>
      <c r="BZ505" s="135"/>
      <c r="CD505" s="134" t="e">
        <f t="shared" si="107"/>
        <v>#N/A</v>
      </c>
    </row>
    <row r="506" spans="1:83" ht="61.5" x14ac:dyDescent="0.85">
      <c r="B506" s="24" t="s">
        <v>867</v>
      </c>
      <c r="C506" s="114"/>
      <c r="D506" s="31">
        <f>SUM(D507:D511)</f>
        <v>11405468.119999999</v>
      </c>
      <c r="E506" s="31">
        <f t="shared" ref="E506:AE506" si="108">SUM(E507:E511)</f>
        <v>0</v>
      </c>
      <c r="F506" s="31">
        <f t="shared" si="108"/>
        <v>0</v>
      </c>
      <c r="G506" s="31">
        <f t="shared" si="108"/>
        <v>0</v>
      </c>
      <c r="H506" s="31">
        <f t="shared" si="108"/>
        <v>0</v>
      </c>
      <c r="I506" s="31">
        <f t="shared" si="108"/>
        <v>0</v>
      </c>
      <c r="J506" s="31">
        <f t="shared" si="108"/>
        <v>0</v>
      </c>
      <c r="K506" s="33">
        <f t="shared" si="108"/>
        <v>0</v>
      </c>
      <c r="L506" s="31">
        <f t="shared" si="108"/>
        <v>0</v>
      </c>
      <c r="M506" s="31">
        <f t="shared" si="108"/>
        <v>1553.2</v>
      </c>
      <c r="N506" s="31">
        <f t="shared" si="108"/>
        <v>5380395.1500000004</v>
      </c>
      <c r="O506" s="31">
        <f t="shared" si="108"/>
        <v>0</v>
      </c>
      <c r="P506" s="31">
        <f t="shared" si="108"/>
        <v>0</v>
      </c>
      <c r="Q506" s="31">
        <f t="shared" si="108"/>
        <v>1654.1599999999999</v>
      </c>
      <c r="R506" s="31">
        <f t="shared" si="108"/>
        <v>5678319.0499999998</v>
      </c>
      <c r="S506" s="31">
        <f t="shared" si="108"/>
        <v>0</v>
      </c>
      <c r="T506" s="31">
        <f t="shared" si="108"/>
        <v>0</v>
      </c>
      <c r="U506" s="31">
        <f t="shared" si="108"/>
        <v>0</v>
      </c>
      <c r="V506" s="31">
        <f t="shared" si="108"/>
        <v>0</v>
      </c>
      <c r="W506" s="31">
        <f t="shared" si="108"/>
        <v>0</v>
      </c>
      <c r="X506" s="31">
        <f t="shared" si="108"/>
        <v>0</v>
      </c>
      <c r="Y506" s="31">
        <f t="shared" si="108"/>
        <v>0</v>
      </c>
      <c r="Z506" s="31">
        <f t="shared" si="108"/>
        <v>0</v>
      </c>
      <c r="AA506" s="31">
        <f t="shared" si="108"/>
        <v>0</v>
      </c>
      <c r="AB506" s="31">
        <f t="shared" si="108"/>
        <v>0</v>
      </c>
      <c r="AC506" s="31">
        <f t="shared" si="108"/>
        <v>145997.01999999999</v>
      </c>
      <c r="AD506" s="31">
        <f t="shared" si="108"/>
        <v>80756.899999999994</v>
      </c>
      <c r="AE506" s="31">
        <f t="shared" si="108"/>
        <v>120000</v>
      </c>
      <c r="AF506" s="221" t="s">
        <v>764</v>
      </c>
      <c r="AG506" s="221" t="s">
        <v>764</v>
      </c>
      <c r="AH506" s="222" t="s">
        <v>764</v>
      </c>
      <c r="AT506" s="20" t="e">
        <f t="shared" si="106"/>
        <v>#N/A</v>
      </c>
      <c r="BZ506" s="71">
        <v>11081040.970000001</v>
      </c>
      <c r="CB506" s="71">
        <f>BZ506-D506</f>
        <v>-324427.14999999851</v>
      </c>
      <c r="CC506" s="31">
        <v>10960961.029999999</v>
      </c>
      <c r="CD506" s="20" t="e">
        <f t="shared" si="107"/>
        <v>#N/A</v>
      </c>
      <c r="CE506" s="31">
        <f>CC506-D506</f>
        <v>-444507.08999999985</v>
      </c>
    </row>
    <row r="507" spans="1:83" ht="61.5" x14ac:dyDescent="0.85">
      <c r="A507" s="20">
        <v>1</v>
      </c>
      <c r="B507" s="66">
        <f>SUBTOTAL(103,$A$22:A507)</f>
        <v>433</v>
      </c>
      <c r="C507" s="24" t="s">
        <v>89</v>
      </c>
      <c r="D507" s="31">
        <f>E507+F507+G507+H507+I507+J507+L507+N507+P507+R507+T507+U507+V507+W507+X507+Y507+Z507+AA507+AB507+AC507+AD507+AE507</f>
        <v>2421334.88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3">
        <v>0</v>
      </c>
      <c r="L507" s="31">
        <v>0</v>
      </c>
      <c r="M507" s="272">
        <v>629</v>
      </c>
      <c r="N507" s="273">
        <v>2325578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35">
        <v>14999.98</v>
      </c>
      <c r="AD507" s="31">
        <v>80756.899999999994</v>
      </c>
      <c r="AE507" s="31">
        <v>0</v>
      </c>
      <c r="AF507" s="219">
        <v>2020</v>
      </c>
      <c r="AG507" s="219">
        <v>2020</v>
      </c>
      <c r="AH507" s="220">
        <v>2020</v>
      </c>
      <c r="AT507" s="20" t="e">
        <f t="shared" si="106"/>
        <v>#N/A</v>
      </c>
      <c r="BZ507" s="71"/>
      <c r="CD507" s="20" t="e">
        <f t="shared" si="107"/>
        <v>#N/A</v>
      </c>
    </row>
    <row r="508" spans="1:83" ht="61.5" x14ac:dyDescent="0.85">
      <c r="A508" s="20">
        <v>1</v>
      </c>
      <c r="B508" s="66">
        <f>SUBTOTAL(103,$A$22:A508)</f>
        <v>434</v>
      </c>
      <c r="C508" s="24" t="s">
        <v>90</v>
      </c>
      <c r="D508" s="31">
        <f>E508+F508+G508+H508+I508+J508+L508+N508+P508+R508+T508+U508+V508+W508+X508+Y508+Z508+AA508+AB508+AC508+AD508+AE508</f>
        <v>1672092.73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3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272">
        <v>486.31</v>
      </c>
      <c r="R508" s="328">
        <v>1647382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f>ROUND(R508*1.5%,2)</f>
        <v>24710.73</v>
      </c>
      <c r="AD508" s="31">
        <v>0</v>
      </c>
      <c r="AE508" s="31">
        <v>0</v>
      </c>
      <c r="AF508" s="219" t="s">
        <v>271</v>
      </c>
      <c r="AG508" s="219">
        <v>2020</v>
      </c>
      <c r="AH508" s="220">
        <v>2020</v>
      </c>
      <c r="AT508" s="20" t="e">
        <f t="shared" si="106"/>
        <v>#N/A</v>
      </c>
      <c r="BZ508" s="71"/>
      <c r="CD508" s="20" t="e">
        <f t="shared" si="107"/>
        <v>#N/A</v>
      </c>
    </row>
    <row r="509" spans="1:83" ht="61.5" x14ac:dyDescent="0.85">
      <c r="A509" s="20">
        <v>1</v>
      </c>
      <c r="B509" s="66">
        <f>SUBTOTAL(103,$A$22:A509)</f>
        <v>435</v>
      </c>
      <c r="C509" s="24" t="s">
        <v>1279</v>
      </c>
      <c r="D509" s="31">
        <f>E509+F509+G509+H509+I509+J509+L509+N509+P509+R509+T509+U509+V509+W509+X509+Y509+Z509+AA509+AB509+AC509+AD509+AE509</f>
        <v>1550573.7599999998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3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438.75</v>
      </c>
      <c r="R509" s="31">
        <f>986739.95+500000+40918.93</f>
        <v>1527658.88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f>ROUND(R509*1.5%,2)</f>
        <v>22914.880000000001</v>
      </c>
      <c r="AD509" s="31">
        <v>0</v>
      </c>
      <c r="AE509" s="31">
        <v>0</v>
      </c>
      <c r="AF509" s="219" t="s">
        <v>271</v>
      </c>
      <c r="AG509" s="219">
        <v>2020</v>
      </c>
      <c r="AH509" s="220">
        <v>2020</v>
      </c>
      <c r="BZ509" s="71"/>
      <c r="CD509" s="20" t="e">
        <f t="shared" si="107"/>
        <v>#N/A</v>
      </c>
    </row>
    <row r="510" spans="1:83" ht="61.5" x14ac:dyDescent="0.85">
      <c r="A510" s="20">
        <v>1</v>
      </c>
      <c r="B510" s="66">
        <f>SUBTOTAL(103,$A$22:A510)</f>
        <v>436</v>
      </c>
      <c r="C510" s="24" t="s">
        <v>1280</v>
      </c>
      <c r="D510" s="31">
        <f>E510+F510+G510+H510+I510+J510+L510+N510+P510+R510+T510+U510+V510+W510+X510+Y510+Z510+AA510+AB510+AC510+AD510+AE510</f>
        <v>2660827.34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3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729.1</v>
      </c>
      <c r="R510" s="31">
        <f>1721236.56+ROUND(1721236.56*0.15,2)+523856.13</f>
        <v>2503278.17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f>ROUND(R510*1.5%,2)</f>
        <v>37549.17</v>
      </c>
      <c r="AD510" s="31">
        <v>0</v>
      </c>
      <c r="AE510" s="31">
        <v>120000</v>
      </c>
      <c r="AF510" s="219" t="s">
        <v>271</v>
      </c>
      <c r="AG510" s="219">
        <v>2020</v>
      </c>
      <c r="AH510" s="220">
        <v>2020</v>
      </c>
      <c r="BZ510" s="71"/>
      <c r="CD510" s="20" t="e">
        <f t="shared" si="107"/>
        <v>#N/A</v>
      </c>
    </row>
    <row r="511" spans="1:83" ht="61.5" x14ac:dyDescent="0.85">
      <c r="A511" s="20">
        <v>1</v>
      </c>
      <c r="B511" s="66">
        <f>SUBTOTAL(103,$A$22:A511)</f>
        <v>437</v>
      </c>
      <c r="C511" s="24" t="s">
        <v>1281</v>
      </c>
      <c r="D511" s="31">
        <f>E511+F511+G511+H511+I511+J511+L511+N511+P511+R511+T511+U511+V511+W511+X511+Y511+Z511+AA511+AB511+AC511+AD511+AE511</f>
        <v>3100639.4099999997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3">
        <v>0</v>
      </c>
      <c r="L511" s="31">
        <v>0</v>
      </c>
      <c r="M511" s="272">
        <v>924.2</v>
      </c>
      <c r="N511" s="273">
        <v>3054817.15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f>ROUND(N511*1.5%,2)</f>
        <v>45822.26</v>
      </c>
      <c r="AD511" s="31">
        <v>0</v>
      </c>
      <c r="AE511" s="31">
        <v>0</v>
      </c>
      <c r="AF511" s="219" t="s">
        <v>271</v>
      </c>
      <c r="AG511" s="219">
        <v>2020</v>
      </c>
      <c r="AH511" s="220">
        <v>2020</v>
      </c>
      <c r="BZ511" s="71"/>
      <c r="CD511" s="20">
        <f t="shared" si="107"/>
        <v>949</v>
      </c>
    </row>
    <row r="512" spans="1:83" ht="61.5" x14ac:dyDescent="0.85">
      <c r="B512" s="24" t="s">
        <v>894</v>
      </c>
      <c r="C512" s="24"/>
      <c r="D512" s="31">
        <f t="shared" ref="D512:AE512" si="109">D513</f>
        <v>2846268.34</v>
      </c>
      <c r="E512" s="31">
        <f t="shared" si="109"/>
        <v>0</v>
      </c>
      <c r="F512" s="31">
        <f t="shared" si="109"/>
        <v>0</v>
      </c>
      <c r="G512" s="31">
        <f t="shared" si="109"/>
        <v>0</v>
      </c>
      <c r="H512" s="31">
        <f t="shared" si="109"/>
        <v>0</v>
      </c>
      <c r="I512" s="31">
        <f t="shared" si="109"/>
        <v>0</v>
      </c>
      <c r="J512" s="31">
        <f t="shared" si="109"/>
        <v>0</v>
      </c>
      <c r="K512" s="33">
        <f t="shared" si="109"/>
        <v>0</v>
      </c>
      <c r="L512" s="31">
        <f t="shared" si="109"/>
        <v>0</v>
      </c>
      <c r="M512" s="31">
        <f t="shared" si="109"/>
        <v>613.20000000000005</v>
      </c>
      <c r="N512" s="31">
        <f t="shared" si="109"/>
        <v>2768847</v>
      </c>
      <c r="O512" s="31">
        <f t="shared" si="109"/>
        <v>0</v>
      </c>
      <c r="P512" s="31">
        <f t="shared" si="109"/>
        <v>0</v>
      </c>
      <c r="Q512" s="31">
        <f t="shared" si="109"/>
        <v>0</v>
      </c>
      <c r="R512" s="31">
        <f t="shared" si="109"/>
        <v>0</v>
      </c>
      <c r="S512" s="31">
        <f t="shared" si="109"/>
        <v>0</v>
      </c>
      <c r="T512" s="31">
        <f t="shared" si="109"/>
        <v>0</v>
      </c>
      <c r="U512" s="31">
        <f t="shared" si="109"/>
        <v>0</v>
      </c>
      <c r="V512" s="31">
        <f t="shared" si="109"/>
        <v>0</v>
      </c>
      <c r="W512" s="31">
        <f t="shared" si="109"/>
        <v>0</v>
      </c>
      <c r="X512" s="31">
        <f t="shared" si="109"/>
        <v>0</v>
      </c>
      <c r="Y512" s="31">
        <f t="shared" si="109"/>
        <v>0</v>
      </c>
      <c r="Z512" s="31">
        <f t="shared" si="109"/>
        <v>0</v>
      </c>
      <c r="AA512" s="31">
        <f t="shared" si="109"/>
        <v>0</v>
      </c>
      <c r="AB512" s="31">
        <f t="shared" si="109"/>
        <v>0</v>
      </c>
      <c r="AC512" s="31">
        <f t="shared" si="109"/>
        <v>0</v>
      </c>
      <c r="AD512" s="31">
        <f t="shared" si="109"/>
        <v>77421.34</v>
      </c>
      <c r="AE512" s="31">
        <f t="shared" si="109"/>
        <v>0</v>
      </c>
      <c r="AF512" s="221" t="s">
        <v>764</v>
      </c>
      <c r="AG512" s="221" t="s">
        <v>764</v>
      </c>
      <c r="AH512" s="222" t="s">
        <v>764</v>
      </c>
      <c r="AT512" s="20" t="e">
        <f t="shared" ref="AT512:AT517" si="110">VLOOKUP(C512,AW:AX,2,FALSE)</f>
        <v>#N/A</v>
      </c>
      <c r="BZ512" s="71">
        <v>3314283.2199999997</v>
      </c>
      <c r="CB512" s="71">
        <f>BZ512-D512</f>
        <v>468014.87999999989</v>
      </c>
      <c r="CD512" s="20" t="e">
        <f t="shared" si="107"/>
        <v>#N/A</v>
      </c>
    </row>
    <row r="513" spans="1:82" ht="61.5" x14ac:dyDescent="0.85">
      <c r="A513" s="20">
        <v>1</v>
      </c>
      <c r="B513" s="66">
        <f>SUBTOTAL(103,$A$22:A513)</f>
        <v>438</v>
      </c>
      <c r="C513" s="24" t="s">
        <v>91</v>
      </c>
      <c r="D513" s="31">
        <f>E513+F513+G513+H513+I513+J513+L513+N513+P513+R513+T513+U513+V513+W513+X513+Y513+Z513+AA513+AB513+AC513+AD513+AE513</f>
        <v>2846268.34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3">
        <v>0</v>
      </c>
      <c r="L513" s="31">
        <v>0</v>
      </c>
      <c r="M513" s="272">
        <v>613.20000000000005</v>
      </c>
      <c r="N513" s="273">
        <v>2768847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273">
        <v>77421.34</v>
      </c>
      <c r="AE513" s="31">
        <v>0</v>
      </c>
      <c r="AF513" s="219">
        <v>2020</v>
      </c>
      <c r="AG513" s="219">
        <v>2020</v>
      </c>
      <c r="AH513" s="220" t="s">
        <v>271</v>
      </c>
      <c r="AT513" s="20" t="e">
        <f t="shared" si="110"/>
        <v>#N/A</v>
      </c>
      <c r="BZ513" s="71"/>
      <c r="CD513" s="20">
        <f t="shared" si="107"/>
        <v>613.20000000000005</v>
      </c>
    </row>
    <row r="514" spans="1:82" ht="61.5" x14ac:dyDescent="0.85">
      <c r="B514" s="24" t="s">
        <v>868</v>
      </c>
      <c r="C514" s="24"/>
      <c r="D514" s="31">
        <f t="shared" ref="D514:AE514" si="111">D515</f>
        <v>2720657.6</v>
      </c>
      <c r="E514" s="31">
        <f t="shared" si="111"/>
        <v>0</v>
      </c>
      <c r="F514" s="31">
        <f t="shared" si="111"/>
        <v>0</v>
      </c>
      <c r="G514" s="31">
        <f t="shared" si="111"/>
        <v>0</v>
      </c>
      <c r="H514" s="31">
        <f t="shared" si="111"/>
        <v>0</v>
      </c>
      <c r="I514" s="31">
        <f t="shared" si="111"/>
        <v>0</v>
      </c>
      <c r="J514" s="31">
        <f t="shared" si="111"/>
        <v>0</v>
      </c>
      <c r="K514" s="33">
        <f t="shared" si="111"/>
        <v>0</v>
      </c>
      <c r="L514" s="31">
        <f t="shared" si="111"/>
        <v>0</v>
      </c>
      <c r="M514" s="31">
        <f t="shared" si="111"/>
        <v>609.28</v>
      </c>
      <c r="N514" s="31">
        <f t="shared" si="111"/>
        <v>2626425</v>
      </c>
      <c r="O514" s="31">
        <f t="shared" si="111"/>
        <v>0</v>
      </c>
      <c r="P514" s="31">
        <f t="shared" si="111"/>
        <v>0</v>
      </c>
      <c r="Q514" s="31">
        <f t="shared" si="111"/>
        <v>0</v>
      </c>
      <c r="R514" s="31">
        <f t="shared" si="111"/>
        <v>0</v>
      </c>
      <c r="S514" s="31">
        <f t="shared" si="111"/>
        <v>0</v>
      </c>
      <c r="T514" s="31">
        <f t="shared" si="111"/>
        <v>0</v>
      </c>
      <c r="U514" s="31">
        <f t="shared" si="111"/>
        <v>0</v>
      </c>
      <c r="V514" s="31">
        <f t="shared" si="111"/>
        <v>0</v>
      </c>
      <c r="W514" s="31">
        <f t="shared" si="111"/>
        <v>0</v>
      </c>
      <c r="X514" s="31">
        <f t="shared" si="111"/>
        <v>0</v>
      </c>
      <c r="Y514" s="31">
        <f t="shared" si="111"/>
        <v>0</v>
      </c>
      <c r="Z514" s="31">
        <f t="shared" si="111"/>
        <v>0</v>
      </c>
      <c r="AA514" s="31">
        <f t="shared" si="111"/>
        <v>0</v>
      </c>
      <c r="AB514" s="31">
        <f t="shared" si="111"/>
        <v>0</v>
      </c>
      <c r="AC514" s="31">
        <f t="shared" si="111"/>
        <v>16940.439999999999</v>
      </c>
      <c r="AD514" s="31">
        <f t="shared" si="111"/>
        <v>77292.160000000003</v>
      </c>
      <c r="AE514" s="31">
        <f t="shared" si="111"/>
        <v>0</v>
      </c>
      <c r="AF514" s="221" t="s">
        <v>764</v>
      </c>
      <c r="AG514" s="221" t="s">
        <v>764</v>
      </c>
      <c r="AH514" s="222" t="s">
        <v>764</v>
      </c>
      <c r="AT514" s="20" t="e">
        <f t="shared" si="110"/>
        <v>#N/A</v>
      </c>
      <c r="BZ514" s="71">
        <v>3133080</v>
      </c>
      <c r="CB514" s="71">
        <f>BZ514-D514</f>
        <v>412422.39999999991</v>
      </c>
      <c r="CD514" s="20" t="e">
        <f t="shared" si="107"/>
        <v>#N/A</v>
      </c>
    </row>
    <row r="515" spans="1:82" ht="61.5" x14ac:dyDescent="0.85">
      <c r="A515" s="20">
        <v>1</v>
      </c>
      <c r="B515" s="66">
        <f>SUBTOTAL(103,$A$22:A515)</f>
        <v>439</v>
      </c>
      <c r="C515" s="24" t="s">
        <v>92</v>
      </c>
      <c r="D515" s="31">
        <f>E515+F515+G515+H515+I515+J515+L515+N515+P515+R515+T515+U515+V515+W515+X515+Y515+Z515+AA515+AB515+AC515+AD515+AE515</f>
        <v>2720657.6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3">
        <v>0</v>
      </c>
      <c r="L515" s="31">
        <v>0</v>
      </c>
      <c r="M515" s="31">
        <v>609.28</v>
      </c>
      <c r="N515" s="31">
        <v>2626425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206">
        <v>16940.439999999999</v>
      </c>
      <c r="AD515" s="31">
        <v>77292.160000000003</v>
      </c>
      <c r="AE515" s="31">
        <v>0</v>
      </c>
      <c r="AF515" s="219">
        <v>2020</v>
      </c>
      <c r="AG515" s="219">
        <v>2020</v>
      </c>
      <c r="AH515" s="220">
        <v>2020</v>
      </c>
      <c r="AT515" s="20" t="e">
        <f t="shared" si="110"/>
        <v>#N/A</v>
      </c>
      <c r="BZ515" s="71"/>
      <c r="CD515" s="20" t="e">
        <f t="shared" si="107"/>
        <v>#N/A</v>
      </c>
    </row>
    <row r="516" spans="1:82" ht="61.5" x14ac:dyDescent="0.85">
      <c r="B516" s="24" t="s">
        <v>869</v>
      </c>
      <c r="C516" s="24"/>
      <c r="D516" s="31">
        <f>D517+D518</f>
        <v>5746431.5800000001</v>
      </c>
      <c r="E516" s="31">
        <f t="shared" ref="E516:AE516" si="112">E517+E518</f>
        <v>0</v>
      </c>
      <c r="F516" s="31">
        <f t="shared" si="112"/>
        <v>0</v>
      </c>
      <c r="G516" s="31">
        <f t="shared" si="112"/>
        <v>0</v>
      </c>
      <c r="H516" s="31">
        <f t="shared" si="112"/>
        <v>857406.32000000007</v>
      </c>
      <c r="I516" s="31">
        <f t="shared" si="112"/>
        <v>0</v>
      </c>
      <c r="J516" s="31">
        <f t="shared" si="112"/>
        <v>0</v>
      </c>
      <c r="K516" s="33">
        <f t="shared" si="112"/>
        <v>0</v>
      </c>
      <c r="L516" s="31">
        <f t="shared" si="112"/>
        <v>0</v>
      </c>
      <c r="M516" s="31">
        <f t="shared" si="112"/>
        <v>1143</v>
      </c>
      <c r="N516" s="31">
        <f t="shared" si="112"/>
        <v>4643006</v>
      </c>
      <c r="O516" s="31">
        <f t="shared" si="112"/>
        <v>0</v>
      </c>
      <c r="P516" s="31">
        <f t="shared" si="112"/>
        <v>0</v>
      </c>
      <c r="Q516" s="31">
        <f t="shared" si="112"/>
        <v>0</v>
      </c>
      <c r="R516" s="31">
        <f t="shared" si="112"/>
        <v>0</v>
      </c>
      <c r="S516" s="31">
        <f t="shared" si="112"/>
        <v>0</v>
      </c>
      <c r="T516" s="31">
        <f t="shared" si="112"/>
        <v>0</v>
      </c>
      <c r="U516" s="31">
        <f t="shared" si="112"/>
        <v>0</v>
      </c>
      <c r="V516" s="31">
        <f t="shared" si="112"/>
        <v>0</v>
      </c>
      <c r="W516" s="31">
        <f t="shared" si="112"/>
        <v>0</v>
      </c>
      <c r="X516" s="31">
        <f t="shared" si="112"/>
        <v>0</v>
      </c>
      <c r="Y516" s="31">
        <f t="shared" si="112"/>
        <v>0</v>
      </c>
      <c r="Z516" s="31">
        <f t="shared" si="112"/>
        <v>0</v>
      </c>
      <c r="AA516" s="31">
        <f t="shared" si="112"/>
        <v>0</v>
      </c>
      <c r="AB516" s="31">
        <f t="shared" si="112"/>
        <v>0</v>
      </c>
      <c r="AC516" s="31">
        <f t="shared" si="112"/>
        <v>42808.479999999996</v>
      </c>
      <c r="AD516" s="31">
        <f t="shared" si="112"/>
        <v>203210.78</v>
      </c>
      <c r="AE516" s="31">
        <f t="shared" si="112"/>
        <v>0</v>
      </c>
      <c r="AF516" s="221" t="s">
        <v>764</v>
      </c>
      <c r="AG516" s="221" t="s">
        <v>764</v>
      </c>
      <c r="AH516" s="222" t="s">
        <v>764</v>
      </c>
      <c r="AT516" s="20" t="e">
        <f t="shared" si="110"/>
        <v>#N/A</v>
      </c>
      <c r="BZ516" s="71">
        <v>5968517.3999999994</v>
      </c>
      <c r="CB516" s="71">
        <f>BZ516-D516</f>
        <v>222085.81999999937</v>
      </c>
      <c r="CD516" s="20" t="e">
        <f t="shared" si="107"/>
        <v>#N/A</v>
      </c>
    </row>
    <row r="517" spans="1:82" ht="61.5" x14ac:dyDescent="0.85">
      <c r="A517" s="20">
        <v>1</v>
      </c>
      <c r="B517" s="66">
        <f>SUBTOTAL(103,$A$22:A517)</f>
        <v>440</v>
      </c>
      <c r="C517" s="24" t="s">
        <v>93</v>
      </c>
      <c r="D517" s="31">
        <f>E517+F517+G517+H517+I517+J517+L517+N517+P517+R517+T517+U517+V517+W517+X517+Y517+Z517+AA517+AB517+AC517+AD517+AE517</f>
        <v>4831403.93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3">
        <v>0</v>
      </c>
      <c r="L517" s="31">
        <v>0</v>
      </c>
      <c r="M517" s="31">
        <v>1143</v>
      </c>
      <c r="N517" s="273">
        <v>4643006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35">
        <v>29947.39</v>
      </c>
      <c r="AD517" s="31">
        <v>158450.54</v>
      </c>
      <c r="AE517" s="31">
        <v>0</v>
      </c>
      <c r="AF517" s="219">
        <v>2020</v>
      </c>
      <c r="AG517" s="219">
        <v>2020</v>
      </c>
      <c r="AH517" s="220">
        <v>2020</v>
      </c>
      <c r="AT517" s="20" t="e">
        <f t="shared" si="110"/>
        <v>#N/A</v>
      </c>
      <c r="BZ517" s="71"/>
      <c r="CD517" s="20" t="e">
        <f t="shared" si="107"/>
        <v>#N/A</v>
      </c>
    </row>
    <row r="518" spans="1:82" ht="61.5" x14ac:dyDescent="0.85">
      <c r="A518" s="20">
        <v>1</v>
      </c>
      <c r="B518" s="66">
        <f>SUBTOTAL(103,$A$22:A518)</f>
        <v>441</v>
      </c>
      <c r="C518" s="24" t="s">
        <v>1632</v>
      </c>
      <c r="D518" s="31">
        <f>E518+F518+G518+H518+I518+J518+L518+N518+P518+R518+T518+U518+V518+W518+X518+Y518+Z518+AA518+AB518+AC518+AD518+AE518</f>
        <v>915027.65</v>
      </c>
      <c r="E518" s="31">
        <v>0</v>
      </c>
      <c r="F518" s="31">
        <v>0</v>
      </c>
      <c r="G518" s="31">
        <v>0</v>
      </c>
      <c r="H518" s="31">
        <f>818295.28+39111.04</f>
        <v>857406.32000000007</v>
      </c>
      <c r="I518" s="31">
        <v>0</v>
      </c>
      <c r="J518" s="31">
        <v>0</v>
      </c>
      <c r="K518" s="33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f>ROUND(H518*1.5%,2)</f>
        <v>12861.09</v>
      </c>
      <c r="AD518" s="31">
        <v>44760.24</v>
      </c>
      <c r="AE518" s="31">
        <v>0</v>
      </c>
      <c r="AF518" s="219">
        <v>2020</v>
      </c>
      <c r="AG518" s="219">
        <v>2020</v>
      </c>
      <c r="AH518" s="220">
        <v>2020</v>
      </c>
      <c r="BZ518" s="71"/>
      <c r="CD518" s="20" t="e">
        <f t="shared" si="107"/>
        <v>#N/A</v>
      </c>
    </row>
    <row r="519" spans="1:82" ht="61.5" x14ac:dyDescent="0.85">
      <c r="B519" s="24" t="s">
        <v>870</v>
      </c>
      <c r="C519" s="24"/>
      <c r="D519" s="31">
        <f t="shared" ref="D519:AE519" si="113">D520</f>
        <v>2598169.9500000002</v>
      </c>
      <c r="E519" s="31">
        <f t="shared" si="113"/>
        <v>0</v>
      </c>
      <c r="F519" s="31">
        <f t="shared" si="113"/>
        <v>0</v>
      </c>
      <c r="G519" s="31">
        <f t="shared" si="113"/>
        <v>0</v>
      </c>
      <c r="H519" s="31">
        <f t="shared" si="113"/>
        <v>0</v>
      </c>
      <c r="I519" s="31">
        <f t="shared" si="113"/>
        <v>0</v>
      </c>
      <c r="J519" s="31">
        <f t="shared" si="113"/>
        <v>0</v>
      </c>
      <c r="K519" s="33">
        <f t="shared" si="113"/>
        <v>0</v>
      </c>
      <c r="L519" s="31">
        <f t="shared" si="113"/>
        <v>0</v>
      </c>
      <c r="M519" s="31">
        <f t="shared" si="113"/>
        <v>694.7</v>
      </c>
      <c r="N519" s="31">
        <f t="shared" si="113"/>
        <v>2481018</v>
      </c>
      <c r="O519" s="31">
        <f t="shared" si="113"/>
        <v>0</v>
      </c>
      <c r="P519" s="31">
        <f t="shared" si="113"/>
        <v>0</v>
      </c>
      <c r="Q519" s="31">
        <f t="shared" si="113"/>
        <v>0</v>
      </c>
      <c r="R519" s="31">
        <f t="shared" si="113"/>
        <v>0</v>
      </c>
      <c r="S519" s="31">
        <f t="shared" si="113"/>
        <v>0</v>
      </c>
      <c r="T519" s="31">
        <f t="shared" si="113"/>
        <v>0</v>
      </c>
      <c r="U519" s="31">
        <f t="shared" si="113"/>
        <v>0</v>
      </c>
      <c r="V519" s="31">
        <f t="shared" si="113"/>
        <v>0</v>
      </c>
      <c r="W519" s="31">
        <f t="shared" si="113"/>
        <v>0</v>
      </c>
      <c r="X519" s="31">
        <f t="shared" si="113"/>
        <v>0</v>
      </c>
      <c r="Y519" s="31">
        <f t="shared" si="113"/>
        <v>0</v>
      </c>
      <c r="Z519" s="31">
        <f t="shared" si="113"/>
        <v>0</v>
      </c>
      <c r="AA519" s="31">
        <f t="shared" si="113"/>
        <v>0</v>
      </c>
      <c r="AB519" s="31">
        <f t="shared" si="113"/>
        <v>0</v>
      </c>
      <c r="AC519" s="31">
        <f t="shared" si="113"/>
        <v>37215.269999999997</v>
      </c>
      <c r="AD519" s="31">
        <f t="shared" si="113"/>
        <v>79936.679999999993</v>
      </c>
      <c r="AE519" s="31">
        <f t="shared" si="113"/>
        <v>0</v>
      </c>
      <c r="AF519" s="221" t="s">
        <v>764</v>
      </c>
      <c r="AG519" s="221" t="s">
        <v>764</v>
      </c>
      <c r="AH519" s="222" t="s">
        <v>764</v>
      </c>
      <c r="AT519" s="20" t="e">
        <f>VLOOKUP(C519,AW:AX,2,FALSE)</f>
        <v>#N/A</v>
      </c>
      <c r="BZ519" s="71">
        <v>3253210.4899999998</v>
      </c>
      <c r="CB519" s="71">
        <f>BZ519-D519</f>
        <v>655040.53999999957</v>
      </c>
      <c r="CD519" s="20" t="e">
        <f t="shared" si="107"/>
        <v>#N/A</v>
      </c>
    </row>
    <row r="520" spans="1:82" ht="61.5" x14ac:dyDescent="0.85">
      <c r="A520" s="20">
        <v>1</v>
      </c>
      <c r="B520" s="66">
        <f>SUBTOTAL(103,$A$22:A520)</f>
        <v>442</v>
      </c>
      <c r="C520" s="24" t="s">
        <v>94</v>
      </c>
      <c r="D520" s="31">
        <f>E520+F520+G520+H520+I520+J520+L520+N520+P520+R520+T520+U520+V520+W520+X520+Y520+Z520+AA520+AB520+AC520+AD520+AE520</f>
        <v>2598169.9500000002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3">
        <v>0</v>
      </c>
      <c r="L520" s="31">
        <v>0</v>
      </c>
      <c r="M520" s="31">
        <v>694.7</v>
      </c>
      <c r="N520" s="31">
        <v>2481018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f>ROUND(N520*1.5%,2)</f>
        <v>37215.269999999997</v>
      </c>
      <c r="AD520" s="31">
        <v>79936.679999999993</v>
      </c>
      <c r="AE520" s="31">
        <v>0</v>
      </c>
      <c r="AF520" s="219">
        <v>2020</v>
      </c>
      <c r="AG520" s="219">
        <v>2020</v>
      </c>
      <c r="AH520" s="220">
        <v>2020</v>
      </c>
      <c r="AT520" s="20" t="e">
        <f>VLOOKUP(C520,AW:AX,2,FALSE)</f>
        <v>#N/A</v>
      </c>
      <c r="BZ520" s="71"/>
      <c r="CD520" s="20" t="e">
        <f t="shared" si="107"/>
        <v>#N/A</v>
      </c>
    </row>
    <row r="521" spans="1:82" ht="61.5" x14ac:dyDescent="0.85">
      <c r="B521" s="24" t="s">
        <v>1282</v>
      </c>
      <c r="C521" s="24"/>
      <c r="D521" s="31">
        <f>D522</f>
        <v>2309984.3499999996</v>
      </c>
      <c r="E521" s="31">
        <f t="shared" ref="E521:AE521" si="114">E522</f>
        <v>0</v>
      </c>
      <c r="F521" s="31">
        <f t="shared" si="114"/>
        <v>0</v>
      </c>
      <c r="G521" s="31">
        <f t="shared" si="114"/>
        <v>679682.53</v>
      </c>
      <c r="H521" s="31">
        <f t="shared" si="114"/>
        <v>74978.2</v>
      </c>
      <c r="I521" s="31">
        <f t="shared" si="114"/>
        <v>1521354.0899999999</v>
      </c>
      <c r="J521" s="31">
        <f t="shared" si="114"/>
        <v>0</v>
      </c>
      <c r="K521" s="33">
        <f t="shared" si="114"/>
        <v>0</v>
      </c>
      <c r="L521" s="31">
        <f t="shared" si="114"/>
        <v>0</v>
      </c>
      <c r="M521" s="31">
        <f t="shared" si="114"/>
        <v>0</v>
      </c>
      <c r="N521" s="31">
        <f t="shared" si="114"/>
        <v>0</v>
      </c>
      <c r="O521" s="31">
        <f t="shared" si="114"/>
        <v>0</v>
      </c>
      <c r="P521" s="31">
        <f t="shared" si="114"/>
        <v>0</v>
      </c>
      <c r="Q521" s="31">
        <f t="shared" si="114"/>
        <v>0</v>
      </c>
      <c r="R521" s="31">
        <f t="shared" si="114"/>
        <v>0</v>
      </c>
      <c r="S521" s="31">
        <f t="shared" si="114"/>
        <v>0</v>
      </c>
      <c r="T521" s="31">
        <f t="shared" si="114"/>
        <v>0</v>
      </c>
      <c r="U521" s="31">
        <f t="shared" si="114"/>
        <v>0</v>
      </c>
      <c r="V521" s="31">
        <f t="shared" si="114"/>
        <v>0</v>
      </c>
      <c r="W521" s="31">
        <f t="shared" si="114"/>
        <v>0</v>
      </c>
      <c r="X521" s="31">
        <f t="shared" si="114"/>
        <v>0</v>
      </c>
      <c r="Y521" s="31">
        <f t="shared" si="114"/>
        <v>0</v>
      </c>
      <c r="Z521" s="31">
        <f t="shared" si="114"/>
        <v>0</v>
      </c>
      <c r="AA521" s="31">
        <f t="shared" si="114"/>
        <v>0</v>
      </c>
      <c r="AB521" s="31">
        <f t="shared" si="114"/>
        <v>0</v>
      </c>
      <c r="AC521" s="31">
        <f t="shared" si="114"/>
        <v>33969.53</v>
      </c>
      <c r="AD521" s="31">
        <f t="shared" si="114"/>
        <v>0</v>
      </c>
      <c r="AE521" s="31">
        <f t="shared" si="114"/>
        <v>0</v>
      </c>
      <c r="AF521" s="221" t="s">
        <v>764</v>
      </c>
      <c r="AG521" s="221" t="s">
        <v>764</v>
      </c>
      <c r="AH521" s="222" t="s">
        <v>764</v>
      </c>
      <c r="BZ521" s="71">
        <v>2309984.35</v>
      </c>
      <c r="CB521" s="71">
        <f>BZ521-D521</f>
        <v>0</v>
      </c>
      <c r="CD521" s="20" t="e">
        <f t="shared" si="107"/>
        <v>#N/A</v>
      </c>
    </row>
    <row r="522" spans="1:82" ht="61.5" x14ac:dyDescent="0.85">
      <c r="A522" s="20">
        <v>1</v>
      </c>
      <c r="B522" s="66">
        <f>SUBTOTAL(103,$A$22:A522)</f>
        <v>443</v>
      </c>
      <c r="C522" s="24" t="s">
        <v>1283</v>
      </c>
      <c r="D522" s="31">
        <f>E522+F522+G522+H522+I522+J522+L522+N522+P522+R522+T522+U522+V522+W522+X522+Y522+Z522+AA522+AB522+AC522+AD522+AE522</f>
        <v>2309984.3499999996</v>
      </c>
      <c r="E522" s="31">
        <v>0</v>
      </c>
      <c r="F522" s="31">
        <v>0</v>
      </c>
      <c r="G522" s="273">
        <v>679682.53</v>
      </c>
      <c r="H522" s="328">
        <v>74978.2</v>
      </c>
      <c r="I522" s="31">
        <f>574321.54+946962.57+69.98</f>
        <v>1521354.0899999999</v>
      </c>
      <c r="J522" s="31">
        <v>0</v>
      </c>
      <c r="K522" s="33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f>ROUND((E522+F522+G522+H522+I522+J522)*1.4925%,2)+0.01</f>
        <v>33969.53</v>
      </c>
      <c r="AD522" s="31">
        <v>0</v>
      </c>
      <c r="AE522" s="31">
        <v>0</v>
      </c>
      <c r="AF522" s="219" t="s">
        <v>271</v>
      </c>
      <c r="AG522" s="219">
        <v>2020</v>
      </c>
      <c r="AH522" s="220">
        <v>2020</v>
      </c>
      <c r="BZ522" s="71"/>
      <c r="CD522" s="20" t="e">
        <f t="shared" si="107"/>
        <v>#N/A</v>
      </c>
    </row>
    <row r="523" spans="1:82" ht="61.5" x14ac:dyDescent="0.85">
      <c r="B523" s="24" t="s">
        <v>871</v>
      </c>
      <c r="C523" s="114"/>
      <c r="D523" s="31">
        <f>SUM(D524:D529)</f>
        <v>6366130.2999999998</v>
      </c>
      <c r="E523" s="31">
        <f t="shared" ref="E523:AE523" si="115">SUM(E524:E529)</f>
        <v>0</v>
      </c>
      <c r="F523" s="31">
        <f t="shared" si="115"/>
        <v>0</v>
      </c>
      <c r="G523" s="31">
        <f t="shared" si="115"/>
        <v>0</v>
      </c>
      <c r="H523" s="31">
        <f t="shared" si="115"/>
        <v>0</v>
      </c>
      <c r="I523" s="31">
        <f t="shared" si="115"/>
        <v>1430880.48</v>
      </c>
      <c r="J523" s="31">
        <f t="shared" si="115"/>
        <v>0</v>
      </c>
      <c r="K523" s="33">
        <f t="shared" si="115"/>
        <v>0</v>
      </c>
      <c r="L523" s="31">
        <f t="shared" si="115"/>
        <v>0</v>
      </c>
      <c r="M523" s="31">
        <f t="shared" si="115"/>
        <v>1100.5999999999999</v>
      </c>
      <c r="N523" s="31">
        <f t="shared" si="115"/>
        <v>4501843.04</v>
      </c>
      <c r="O523" s="31">
        <f t="shared" si="115"/>
        <v>0</v>
      </c>
      <c r="P523" s="31">
        <f t="shared" si="115"/>
        <v>0</v>
      </c>
      <c r="Q523" s="31">
        <f t="shared" si="115"/>
        <v>0</v>
      </c>
      <c r="R523" s="31">
        <f t="shared" si="115"/>
        <v>0</v>
      </c>
      <c r="S523" s="31">
        <f t="shared" si="115"/>
        <v>0</v>
      </c>
      <c r="T523" s="31">
        <f t="shared" si="115"/>
        <v>0</v>
      </c>
      <c r="U523" s="31">
        <f t="shared" si="115"/>
        <v>0</v>
      </c>
      <c r="V523" s="31">
        <f t="shared" si="115"/>
        <v>0</v>
      </c>
      <c r="W523" s="31">
        <f t="shared" si="115"/>
        <v>0</v>
      </c>
      <c r="X523" s="31">
        <f t="shared" si="115"/>
        <v>0</v>
      </c>
      <c r="Y523" s="31">
        <f t="shared" si="115"/>
        <v>0</v>
      </c>
      <c r="Z523" s="31">
        <f t="shared" si="115"/>
        <v>0</v>
      </c>
      <c r="AA523" s="31">
        <f t="shared" si="115"/>
        <v>0</v>
      </c>
      <c r="AB523" s="31">
        <f t="shared" si="115"/>
        <v>0</v>
      </c>
      <c r="AC523" s="31">
        <f t="shared" si="115"/>
        <v>88990.85</v>
      </c>
      <c r="AD523" s="31">
        <f t="shared" si="115"/>
        <v>104415.93</v>
      </c>
      <c r="AE523" s="31">
        <f t="shared" si="115"/>
        <v>240000</v>
      </c>
      <c r="AF523" s="221" t="s">
        <v>764</v>
      </c>
      <c r="AG523" s="221" t="s">
        <v>764</v>
      </c>
      <c r="AH523" s="222" t="s">
        <v>764</v>
      </c>
      <c r="AT523" s="20" t="e">
        <f>VLOOKUP(C523,AW:AX,2,FALSE)</f>
        <v>#N/A</v>
      </c>
      <c r="BZ523" s="71">
        <v>7354613.0300000003</v>
      </c>
      <c r="CB523" s="71">
        <f>BZ523-D523</f>
        <v>988482.73000000045</v>
      </c>
      <c r="CD523" s="20" t="e">
        <f t="shared" si="107"/>
        <v>#N/A</v>
      </c>
    </row>
    <row r="524" spans="1:82" ht="61.5" x14ac:dyDescent="0.85">
      <c r="A524" s="20">
        <v>1</v>
      </c>
      <c r="B524" s="66">
        <f>SUBTOTAL(103,$A$22:A524)</f>
        <v>444</v>
      </c>
      <c r="C524" s="24" t="s">
        <v>186</v>
      </c>
      <c r="D524" s="31">
        <f t="shared" ref="D524:D529" si="116">E524+F524+G524+H524+I524+J524+L524+N524+P524+R524+T524+U524+V524+W524+X524+Y524+Z524+AA524+AB524+AC524+AD524+AE524</f>
        <v>1338107.19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3">
        <v>0</v>
      </c>
      <c r="L524" s="31">
        <v>0</v>
      </c>
      <c r="M524" s="278">
        <v>255.2</v>
      </c>
      <c r="N524" s="278">
        <f>1282944.32</f>
        <v>1282944.32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f>ROUND(N524*1.5%,2)</f>
        <v>19244.16</v>
      </c>
      <c r="AD524" s="31">
        <v>35918.71</v>
      </c>
      <c r="AE524" s="31">
        <v>0</v>
      </c>
      <c r="AF524" s="219">
        <v>2020</v>
      </c>
      <c r="AG524" s="219">
        <v>2020</v>
      </c>
      <c r="AH524" s="220">
        <v>2020</v>
      </c>
      <c r="AT524" s="20" t="e">
        <f>VLOOKUP(C524,AW:AX,2,FALSE)</f>
        <v>#N/A</v>
      </c>
      <c r="BZ524" s="71"/>
      <c r="CD524" s="20">
        <f t="shared" si="107"/>
        <v>255.2</v>
      </c>
    </row>
    <row r="525" spans="1:82" ht="61.5" x14ac:dyDescent="0.85">
      <c r="A525" s="20">
        <v>1</v>
      </c>
      <c r="B525" s="66">
        <f>SUBTOTAL(103,$A$22:A525)</f>
        <v>445</v>
      </c>
      <c r="C525" s="24" t="s">
        <v>185</v>
      </c>
      <c r="D525" s="31">
        <f t="shared" si="116"/>
        <v>68497.22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3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f>ROUND(N525*1.5%,2)</f>
        <v>0</v>
      </c>
      <c r="AD525" s="327">
        <v>68497.22</v>
      </c>
      <c r="AE525" s="31">
        <v>0</v>
      </c>
      <c r="AF525" s="219">
        <v>2020</v>
      </c>
      <c r="AG525" s="219" t="s">
        <v>271</v>
      </c>
      <c r="AH525" s="219" t="s">
        <v>271</v>
      </c>
      <c r="AT525" s="20" t="e">
        <f>VLOOKUP(C525,AW:AX,2,FALSE)</f>
        <v>#N/A</v>
      </c>
      <c r="BZ525" s="71"/>
      <c r="CD525" s="20" t="e">
        <f t="shared" si="107"/>
        <v>#N/A</v>
      </c>
    </row>
    <row r="526" spans="1:82" ht="61.5" x14ac:dyDescent="0.85">
      <c r="A526" s="20">
        <v>1</v>
      </c>
      <c r="B526" s="66">
        <f>SUBTOTAL(103,$A$22:A526)</f>
        <v>446</v>
      </c>
      <c r="C526" s="24" t="s">
        <v>1284</v>
      </c>
      <c r="D526" s="31">
        <f t="shared" si="116"/>
        <v>2173966.8199999998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3">
        <v>0</v>
      </c>
      <c r="L526" s="31">
        <v>0</v>
      </c>
      <c r="M526" s="31">
        <v>437.4</v>
      </c>
      <c r="N526" s="31">
        <v>2023612.63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f>ROUND(N526*1.5%,2)</f>
        <v>30354.19</v>
      </c>
      <c r="AD526" s="31">
        <v>0</v>
      </c>
      <c r="AE526" s="31">
        <v>120000</v>
      </c>
      <c r="AF526" s="219" t="s">
        <v>271</v>
      </c>
      <c r="AG526" s="219">
        <v>2020</v>
      </c>
      <c r="AH526" s="220">
        <v>2020</v>
      </c>
      <c r="BZ526" s="71"/>
      <c r="CD526" s="20">
        <f t="shared" si="107"/>
        <v>437.4</v>
      </c>
    </row>
    <row r="527" spans="1:82" ht="61.5" x14ac:dyDescent="0.85">
      <c r="A527" s="20">
        <v>1</v>
      </c>
      <c r="B527" s="66">
        <f>SUBTOTAL(103,$A$22:A527)</f>
        <v>447</v>
      </c>
      <c r="C527" s="24" t="s">
        <v>1285</v>
      </c>
      <c r="D527" s="31">
        <f t="shared" si="116"/>
        <v>1333215.3800000001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3">
        <v>0</v>
      </c>
      <c r="L527" s="31">
        <v>0</v>
      </c>
      <c r="M527" s="272">
        <v>408</v>
      </c>
      <c r="N527" s="335">
        <v>1195286.0900000001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f>ROUND(N527*1.5%,2)</f>
        <v>17929.29</v>
      </c>
      <c r="AD527" s="31">
        <v>0</v>
      </c>
      <c r="AE527" s="31">
        <v>120000</v>
      </c>
      <c r="AF527" s="219" t="s">
        <v>271</v>
      </c>
      <c r="AG527" s="219">
        <v>2020</v>
      </c>
      <c r="AH527" s="220">
        <v>2020</v>
      </c>
      <c r="BZ527" s="71"/>
      <c r="CD527" s="20">
        <f t="shared" si="107"/>
        <v>408</v>
      </c>
    </row>
    <row r="528" spans="1:82" ht="61.5" x14ac:dyDescent="0.85">
      <c r="A528" s="20">
        <v>1</v>
      </c>
      <c r="B528" s="66">
        <f>SUBTOTAL(103,$A$22:A528)</f>
        <v>448</v>
      </c>
      <c r="C528" s="24" t="s">
        <v>1286</v>
      </c>
      <c r="D528" s="31">
        <f t="shared" si="116"/>
        <v>725838.89999999991</v>
      </c>
      <c r="E528" s="31">
        <v>0</v>
      </c>
      <c r="F528" s="31">
        <v>0</v>
      </c>
      <c r="G528" s="31">
        <v>0</v>
      </c>
      <c r="H528" s="31">
        <v>0</v>
      </c>
      <c r="I528" s="31">
        <v>715112.21</v>
      </c>
      <c r="J528" s="31">
        <v>0</v>
      </c>
      <c r="K528" s="33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f>ROUND(I528*1.5%,2)+0.01</f>
        <v>10726.69</v>
      </c>
      <c r="AD528" s="31">
        <v>0</v>
      </c>
      <c r="AE528" s="31">
        <v>0</v>
      </c>
      <c r="AF528" s="219" t="s">
        <v>271</v>
      </c>
      <c r="AG528" s="219">
        <v>2020</v>
      </c>
      <c r="AH528" s="220">
        <v>2020</v>
      </c>
      <c r="BZ528" s="71"/>
      <c r="CD528" s="20" t="e">
        <f t="shared" si="107"/>
        <v>#N/A</v>
      </c>
    </row>
    <row r="529" spans="1:82" ht="61.5" x14ac:dyDescent="0.85">
      <c r="A529" s="20">
        <v>1</v>
      </c>
      <c r="B529" s="66">
        <f>SUBTOTAL(103,$A$22:A529)</f>
        <v>449</v>
      </c>
      <c r="C529" s="24" t="s">
        <v>1287</v>
      </c>
      <c r="D529" s="31">
        <f t="shared" si="116"/>
        <v>726504.79</v>
      </c>
      <c r="E529" s="31">
        <v>0</v>
      </c>
      <c r="F529" s="31">
        <v>0</v>
      </c>
      <c r="G529" s="31">
        <v>0</v>
      </c>
      <c r="H529" s="31">
        <v>0</v>
      </c>
      <c r="I529" s="31">
        <v>715768.27</v>
      </c>
      <c r="J529" s="31">
        <v>0</v>
      </c>
      <c r="K529" s="33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f>ROUND(I529*1.5%,2)</f>
        <v>10736.52</v>
      </c>
      <c r="AD529" s="31">
        <v>0</v>
      </c>
      <c r="AE529" s="31">
        <v>0</v>
      </c>
      <c r="AF529" s="219" t="s">
        <v>271</v>
      </c>
      <c r="AG529" s="219">
        <v>2020</v>
      </c>
      <c r="AH529" s="220">
        <v>2020</v>
      </c>
      <c r="BZ529" s="71"/>
      <c r="CD529" s="20" t="e">
        <f t="shared" si="107"/>
        <v>#N/A</v>
      </c>
    </row>
    <row r="530" spans="1:82" ht="61.5" x14ac:dyDescent="0.85">
      <c r="B530" s="24" t="s">
        <v>872</v>
      </c>
      <c r="C530" s="24"/>
      <c r="D530" s="31">
        <f t="shared" ref="D530:AE530" si="117">D531</f>
        <v>4880587.2799999993</v>
      </c>
      <c r="E530" s="31">
        <f t="shared" si="117"/>
        <v>0</v>
      </c>
      <c r="F530" s="31">
        <f t="shared" si="117"/>
        <v>0</v>
      </c>
      <c r="G530" s="31">
        <f t="shared" si="117"/>
        <v>0</v>
      </c>
      <c r="H530" s="31">
        <f t="shared" si="117"/>
        <v>0</v>
      </c>
      <c r="I530" s="31">
        <f t="shared" si="117"/>
        <v>0</v>
      </c>
      <c r="J530" s="31">
        <f t="shared" si="117"/>
        <v>0</v>
      </c>
      <c r="K530" s="33">
        <f t="shared" si="117"/>
        <v>0</v>
      </c>
      <c r="L530" s="31">
        <f t="shared" si="117"/>
        <v>0</v>
      </c>
      <c r="M530" s="31">
        <f t="shared" si="117"/>
        <v>1028.5999999999999</v>
      </c>
      <c r="N530" s="31">
        <f t="shared" si="117"/>
        <v>4703951.5599999996</v>
      </c>
      <c r="O530" s="31">
        <f t="shared" si="117"/>
        <v>0</v>
      </c>
      <c r="P530" s="31">
        <f t="shared" si="117"/>
        <v>0</v>
      </c>
      <c r="Q530" s="31">
        <f t="shared" si="117"/>
        <v>0</v>
      </c>
      <c r="R530" s="31">
        <f t="shared" si="117"/>
        <v>0</v>
      </c>
      <c r="S530" s="31">
        <f t="shared" si="117"/>
        <v>0</v>
      </c>
      <c r="T530" s="31">
        <f t="shared" si="117"/>
        <v>0</v>
      </c>
      <c r="U530" s="31">
        <f t="shared" si="117"/>
        <v>0</v>
      </c>
      <c r="V530" s="31">
        <f t="shared" si="117"/>
        <v>0</v>
      </c>
      <c r="W530" s="31">
        <f t="shared" si="117"/>
        <v>0</v>
      </c>
      <c r="X530" s="31">
        <f t="shared" si="117"/>
        <v>0</v>
      </c>
      <c r="Y530" s="31">
        <f t="shared" si="117"/>
        <v>0</v>
      </c>
      <c r="Z530" s="31">
        <f t="shared" si="117"/>
        <v>0</v>
      </c>
      <c r="AA530" s="31">
        <f t="shared" si="117"/>
        <v>0</v>
      </c>
      <c r="AB530" s="31">
        <f t="shared" si="117"/>
        <v>0</v>
      </c>
      <c r="AC530" s="31">
        <f t="shared" si="117"/>
        <v>70559.27</v>
      </c>
      <c r="AD530" s="31">
        <f t="shared" si="117"/>
        <v>106076.45</v>
      </c>
      <c r="AE530" s="31">
        <f t="shared" si="117"/>
        <v>0</v>
      </c>
      <c r="AF530" s="221" t="s">
        <v>764</v>
      </c>
      <c r="AG530" s="221" t="s">
        <v>764</v>
      </c>
      <c r="AH530" s="222" t="s">
        <v>764</v>
      </c>
      <c r="AT530" s="20" t="e">
        <f>VLOOKUP(C530,AW:AX,2,FALSE)</f>
        <v>#N/A</v>
      </c>
      <c r="BZ530" s="71">
        <v>5403513.4500000002</v>
      </c>
      <c r="CB530" s="71">
        <f>BZ530-D530</f>
        <v>522926.17000000086</v>
      </c>
      <c r="CD530" s="20" t="e">
        <f t="shared" si="107"/>
        <v>#N/A</v>
      </c>
    </row>
    <row r="531" spans="1:82" ht="61.5" x14ac:dyDescent="0.85">
      <c r="A531" s="20">
        <v>1</v>
      </c>
      <c r="B531" s="66">
        <f>SUBTOTAL(103,$A$22:A531)</f>
        <v>450</v>
      </c>
      <c r="C531" s="24" t="s">
        <v>189</v>
      </c>
      <c r="D531" s="31">
        <f>E531+F531+G531+H531+I531+J531+L531+N531+P531+R531+T531+U531+V531+W531+X531+Y531+Z531+AA531+AB531+AC531+AD531+AE531</f>
        <v>4880587.2799999993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3">
        <v>0</v>
      </c>
      <c r="L531" s="31">
        <v>0</v>
      </c>
      <c r="M531" s="31">
        <v>1028.5999999999999</v>
      </c>
      <c r="N531" s="31">
        <v>4703951.5599999996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f>ROUND(N531*1.5%,2)</f>
        <v>70559.27</v>
      </c>
      <c r="AD531" s="31">
        <v>106076.45</v>
      </c>
      <c r="AE531" s="31">
        <v>0</v>
      </c>
      <c r="AF531" s="219">
        <v>2020</v>
      </c>
      <c r="AG531" s="219">
        <v>2020</v>
      </c>
      <c r="AH531" s="220">
        <v>2020</v>
      </c>
      <c r="AT531" s="20" t="e">
        <f>VLOOKUP(C531,AW:AX,2,FALSE)</f>
        <v>#N/A</v>
      </c>
      <c r="BZ531" s="71"/>
      <c r="CD531" s="20">
        <f t="shared" si="107"/>
        <v>1028.5999999999999</v>
      </c>
    </row>
    <row r="532" spans="1:82" ht="61.5" x14ac:dyDescent="0.85">
      <c r="B532" s="24" t="s">
        <v>873</v>
      </c>
      <c r="C532" s="24"/>
      <c r="D532" s="31">
        <f>D533+D534</f>
        <v>8593030.2200000007</v>
      </c>
      <c r="E532" s="31">
        <f t="shared" ref="E532:AE532" si="118">E533+E534</f>
        <v>0</v>
      </c>
      <c r="F532" s="31">
        <f t="shared" si="118"/>
        <v>0</v>
      </c>
      <c r="G532" s="31">
        <f t="shared" si="118"/>
        <v>0</v>
      </c>
      <c r="H532" s="31">
        <f t="shared" si="118"/>
        <v>0</v>
      </c>
      <c r="I532" s="31">
        <f t="shared" si="118"/>
        <v>0</v>
      </c>
      <c r="J532" s="31">
        <f t="shared" si="118"/>
        <v>0</v>
      </c>
      <c r="K532" s="33">
        <f t="shared" si="118"/>
        <v>0</v>
      </c>
      <c r="L532" s="31">
        <f t="shared" si="118"/>
        <v>0</v>
      </c>
      <c r="M532" s="31">
        <f t="shared" si="118"/>
        <v>578.4</v>
      </c>
      <c r="N532" s="31">
        <f t="shared" si="118"/>
        <v>2614299.75</v>
      </c>
      <c r="O532" s="31">
        <f t="shared" si="118"/>
        <v>0</v>
      </c>
      <c r="P532" s="31">
        <f t="shared" si="118"/>
        <v>0</v>
      </c>
      <c r="Q532" s="31">
        <f t="shared" si="118"/>
        <v>2869</v>
      </c>
      <c r="R532" s="31">
        <f t="shared" si="118"/>
        <v>5890810.1300000008</v>
      </c>
      <c r="S532" s="31">
        <f t="shared" si="118"/>
        <v>0</v>
      </c>
      <c r="T532" s="31">
        <f t="shared" si="118"/>
        <v>0</v>
      </c>
      <c r="U532" s="31">
        <f t="shared" si="118"/>
        <v>0</v>
      </c>
      <c r="V532" s="31">
        <f t="shared" si="118"/>
        <v>0</v>
      </c>
      <c r="W532" s="31">
        <f t="shared" si="118"/>
        <v>0</v>
      </c>
      <c r="X532" s="31">
        <f t="shared" si="118"/>
        <v>0</v>
      </c>
      <c r="Y532" s="31">
        <f t="shared" si="118"/>
        <v>0</v>
      </c>
      <c r="Z532" s="31">
        <f t="shared" si="118"/>
        <v>0</v>
      </c>
      <c r="AA532" s="31">
        <f t="shared" si="118"/>
        <v>0</v>
      </c>
      <c r="AB532" s="31">
        <f t="shared" si="118"/>
        <v>0</v>
      </c>
      <c r="AC532" s="31">
        <f t="shared" si="118"/>
        <v>87920.34</v>
      </c>
      <c r="AD532" s="31">
        <f t="shared" si="118"/>
        <v>0</v>
      </c>
      <c r="AE532" s="31">
        <f t="shared" si="118"/>
        <v>0</v>
      </c>
      <c r="AF532" s="221" t="s">
        <v>764</v>
      </c>
      <c r="AG532" s="221" t="s">
        <v>764</v>
      </c>
      <c r="AH532" s="222" t="s">
        <v>764</v>
      </c>
      <c r="AT532" s="20" t="e">
        <f>VLOOKUP(C532,AW:AX,2,FALSE)</f>
        <v>#N/A</v>
      </c>
      <c r="BZ532" s="71">
        <v>8957085.8399999999</v>
      </c>
      <c r="CB532" s="71">
        <f>BZ532-D532</f>
        <v>364055.61999999918</v>
      </c>
      <c r="CD532" s="20" t="e">
        <f t="shared" si="107"/>
        <v>#N/A</v>
      </c>
    </row>
    <row r="533" spans="1:82" ht="61.5" x14ac:dyDescent="0.85">
      <c r="A533" s="20">
        <v>1</v>
      </c>
      <c r="B533" s="66">
        <f>SUBTOTAL(103,$A$22:A533)</f>
        <v>451</v>
      </c>
      <c r="C533" s="24" t="s">
        <v>188</v>
      </c>
      <c r="D533" s="31">
        <f>E533+F533+G533+H533+I533+J533+L533+N533+P533+R533+T533+U533+V533+W533+X533+Y533+Z533+AA533+AB533+AC533+AD533+AE533</f>
        <v>2614299.75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3">
        <v>0</v>
      </c>
      <c r="L533" s="31">
        <v>0</v>
      </c>
      <c r="M533" s="278">
        <v>578.4</v>
      </c>
      <c r="N533" s="273">
        <v>2614299.75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v>0</v>
      </c>
      <c r="AD533" s="31">
        <v>0</v>
      </c>
      <c r="AE533" s="31">
        <v>0</v>
      </c>
      <c r="AF533" s="219" t="s">
        <v>271</v>
      </c>
      <c r="AG533" s="219">
        <v>2020</v>
      </c>
      <c r="AH533" s="220" t="s">
        <v>271</v>
      </c>
      <c r="AT533" s="20" t="e">
        <f>VLOOKUP(C533,AW:AX,2,FALSE)</f>
        <v>#N/A</v>
      </c>
      <c r="BZ533" s="71"/>
      <c r="CD533" s="20">
        <f t="shared" si="107"/>
        <v>578.4</v>
      </c>
    </row>
    <row r="534" spans="1:82" ht="61.5" x14ac:dyDescent="0.85">
      <c r="A534" s="20">
        <v>1</v>
      </c>
      <c r="B534" s="66">
        <f>SUBTOTAL(103,$A$22:A534)</f>
        <v>452</v>
      </c>
      <c r="C534" s="24" t="s">
        <v>1567</v>
      </c>
      <c r="D534" s="31">
        <f>E534+F534+G534+H534+I534+J534+L534+N534+P534+R534+T534+U534+V534+W534+X534+Y534+Z534+AA534+AB534+AC534+AD534+AE534</f>
        <v>5978730.4700000007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3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2869</v>
      </c>
      <c r="R534" s="31">
        <f>5534366.03+167340.48+189089.65+13.97</f>
        <v>5890810.1300000008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f>ROUND(R534*1.4925%,2)</f>
        <v>87920.34</v>
      </c>
      <c r="AD534" s="31">
        <v>0</v>
      </c>
      <c r="AE534" s="31">
        <v>0</v>
      </c>
      <c r="AF534" s="219" t="s">
        <v>271</v>
      </c>
      <c r="AG534" s="219">
        <v>2020</v>
      </c>
      <c r="AH534" s="220">
        <v>2020</v>
      </c>
      <c r="BZ534" s="71"/>
      <c r="CD534" s="20" t="e">
        <f t="shared" si="107"/>
        <v>#N/A</v>
      </c>
    </row>
    <row r="535" spans="1:82" ht="61.5" x14ac:dyDescent="0.85">
      <c r="B535" s="24" t="s">
        <v>874</v>
      </c>
      <c r="C535" s="24"/>
      <c r="D535" s="31">
        <f t="shared" ref="D535:AE535" si="119">D536</f>
        <v>1241065.97</v>
      </c>
      <c r="E535" s="31">
        <f t="shared" si="119"/>
        <v>0</v>
      </c>
      <c r="F535" s="31">
        <f t="shared" si="119"/>
        <v>0</v>
      </c>
      <c r="G535" s="31">
        <f t="shared" si="119"/>
        <v>0</v>
      </c>
      <c r="H535" s="31">
        <f t="shared" si="119"/>
        <v>0</v>
      </c>
      <c r="I535" s="31">
        <f t="shared" si="119"/>
        <v>0</v>
      </c>
      <c r="J535" s="31">
        <f t="shared" si="119"/>
        <v>0</v>
      </c>
      <c r="K535" s="33">
        <f t="shared" si="119"/>
        <v>0</v>
      </c>
      <c r="L535" s="31">
        <f t="shared" si="119"/>
        <v>0</v>
      </c>
      <c r="M535" s="31">
        <f t="shared" si="119"/>
        <v>362</v>
      </c>
      <c r="N535" s="31">
        <f t="shared" si="119"/>
        <v>1182710.79</v>
      </c>
      <c r="O535" s="31">
        <f t="shared" si="119"/>
        <v>0</v>
      </c>
      <c r="P535" s="31">
        <f t="shared" si="119"/>
        <v>0</v>
      </c>
      <c r="Q535" s="31">
        <f t="shared" si="119"/>
        <v>0</v>
      </c>
      <c r="R535" s="31">
        <f t="shared" si="119"/>
        <v>0</v>
      </c>
      <c r="S535" s="31">
        <f t="shared" si="119"/>
        <v>0</v>
      </c>
      <c r="T535" s="31">
        <f t="shared" si="119"/>
        <v>0</v>
      </c>
      <c r="U535" s="31">
        <f t="shared" si="119"/>
        <v>0</v>
      </c>
      <c r="V535" s="31">
        <f t="shared" si="119"/>
        <v>0</v>
      </c>
      <c r="W535" s="31">
        <f t="shared" si="119"/>
        <v>0</v>
      </c>
      <c r="X535" s="31">
        <f t="shared" si="119"/>
        <v>0</v>
      </c>
      <c r="Y535" s="31">
        <f t="shared" si="119"/>
        <v>0</v>
      </c>
      <c r="Z535" s="31">
        <f t="shared" si="119"/>
        <v>0</v>
      </c>
      <c r="AA535" s="31">
        <f t="shared" si="119"/>
        <v>0</v>
      </c>
      <c r="AB535" s="31">
        <f t="shared" si="119"/>
        <v>0</v>
      </c>
      <c r="AC535" s="31">
        <f t="shared" si="119"/>
        <v>15256.97</v>
      </c>
      <c r="AD535" s="31">
        <f t="shared" si="119"/>
        <v>43098.21</v>
      </c>
      <c r="AE535" s="31">
        <f t="shared" si="119"/>
        <v>0</v>
      </c>
      <c r="AF535" s="221" t="s">
        <v>764</v>
      </c>
      <c r="AG535" s="221" t="s">
        <v>764</v>
      </c>
      <c r="AH535" s="222" t="s">
        <v>764</v>
      </c>
      <c r="AT535" s="20" t="e">
        <f>VLOOKUP(C535,AW:AX,2,FALSE)</f>
        <v>#N/A</v>
      </c>
      <c r="BZ535" s="71">
        <v>2733218.92</v>
      </c>
      <c r="CB535" s="71">
        <f>BZ535-D535</f>
        <v>1492152.95</v>
      </c>
      <c r="CD535" s="20" t="e">
        <f t="shared" si="107"/>
        <v>#N/A</v>
      </c>
    </row>
    <row r="536" spans="1:82" ht="61.5" x14ac:dyDescent="0.85">
      <c r="A536" s="20">
        <v>1</v>
      </c>
      <c r="B536" s="66">
        <f>SUBTOTAL(103,$A$22:A536)</f>
        <v>453</v>
      </c>
      <c r="C536" s="24" t="s">
        <v>187</v>
      </c>
      <c r="D536" s="31">
        <f>E536+F536+G536+H536+I536+J536+L536+N536+P536+R536+T536+U536+V536+W536+X536+Y536+Z536+AA536+AB536+AC536+AD536+AE536</f>
        <v>1241065.97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3">
        <v>0</v>
      </c>
      <c r="L536" s="31">
        <v>0</v>
      </c>
      <c r="M536" s="272">
        <v>362</v>
      </c>
      <c r="N536" s="273">
        <v>1182710.79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273">
        <v>15256.97</v>
      </c>
      <c r="AD536" s="273">
        <v>43098.21</v>
      </c>
      <c r="AE536" s="31">
        <v>0</v>
      </c>
      <c r="AF536" s="219">
        <v>2020</v>
      </c>
      <c r="AG536" s="219">
        <v>2020</v>
      </c>
      <c r="AH536" s="220">
        <v>2020</v>
      </c>
      <c r="AT536" s="20" t="e">
        <f>VLOOKUP(C536,AW:AX,2,FALSE)</f>
        <v>#N/A</v>
      </c>
      <c r="BZ536" s="71"/>
      <c r="CD536" s="20">
        <f t="shared" si="107"/>
        <v>378</v>
      </c>
    </row>
    <row r="537" spans="1:82" ht="61.5" x14ac:dyDescent="0.85">
      <c r="B537" s="24" t="s">
        <v>875</v>
      </c>
      <c r="C537" s="114"/>
      <c r="D537" s="31">
        <f t="shared" ref="D537:AE537" si="120">SUM(D538:D545)</f>
        <v>16754328.49</v>
      </c>
      <c r="E537" s="31">
        <f t="shared" si="120"/>
        <v>0</v>
      </c>
      <c r="F537" s="31">
        <f t="shared" si="120"/>
        <v>0</v>
      </c>
      <c r="G537" s="31">
        <f t="shared" si="120"/>
        <v>10495215.399999999</v>
      </c>
      <c r="H537" s="31">
        <f t="shared" si="120"/>
        <v>0</v>
      </c>
      <c r="I537" s="31">
        <f t="shared" si="120"/>
        <v>0</v>
      </c>
      <c r="J537" s="31">
        <f t="shared" si="120"/>
        <v>0</v>
      </c>
      <c r="K537" s="33">
        <f t="shared" si="120"/>
        <v>0</v>
      </c>
      <c r="L537" s="31">
        <f t="shared" si="120"/>
        <v>0</v>
      </c>
      <c r="M537" s="31">
        <f t="shared" si="120"/>
        <v>1057.07</v>
      </c>
      <c r="N537" s="31">
        <f t="shared" si="120"/>
        <v>5666305.4199999999</v>
      </c>
      <c r="O537" s="31">
        <f t="shared" si="120"/>
        <v>0</v>
      </c>
      <c r="P537" s="31">
        <f t="shared" si="120"/>
        <v>0</v>
      </c>
      <c r="Q537" s="31">
        <f t="shared" si="120"/>
        <v>0</v>
      </c>
      <c r="R537" s="31">
        <f t="shared" si="120"/>
        <v>0</v>
      </c>
      <c r="S537" s="31">
        <f t="shared" si="120"/>
        <v>0</v>
      </c>
      <c r="T537" s="31">
        <f t="shared" si="120"/>
        <v>0</v>
      </c>
      <c r="U537" s="31">
        <f t="shared" si="120"/>
        <v>0</v>
      </c>
      <c r="V537" s="31">
        <f t="shared" si="120"/>
        <v>0</v>
      </c>
      <c r="W537" s="31">
        <f t="shared" si="120"/>
        <v>0</v>
      </c>
      <c r="X537" s="31">
        <f t="shared" si="120"/>
        <v>0</v>
      </c>
      <c r="Y537" s="31">
        <f t="shared" si="120"/>
        <v>0</v>
      </c>
      <c r="Z537" s="31">
        <f t="shared" si="120"/>
        <v>0</v>
      </c>
      <c r="AA537" s="31">
        <f t="shared" si="120"/>
        <v>0</v>
      </c>
      <c r="AB537" s="31">
        <f t="shared" si="120"/>
        <v>0</v>
      </c>
      <c r="AC537" s="31">
        <f t="shared" si="120"/>
        <v>242422.8</v>
      </c>
      <c r="AD537" s="31">
        <f t="shared" si="120"/>
        <v>350384.87</v>
      </c>
      <c r="AE537" s="31">
        <f t="shared" si="120"/>
        <v>0</v>
      </c>
      <c r="AF537" s="221" t="s">
        <v>764</v>
      </c>
      <c r="AG537" s="221" t="s">
        <v>764</v>
      </c>
      <c r="AH537" s="222" t="s">
        <v>764</v>
      </c>
      <c r="AT537" s="20" t="e">
        <f>VLOOKUP(C537,AW:AX,2,FALSE)</f>
        <v>#N/A</v>
      </c>
      <c r="BZ537" s="71">
        <v>18660147.93</v>
      </c>
      <c r="CB537" s="71">
        <f>BZ537-D537</f>
        <v>1905819.4399999995</v>
      </c>
      <c r="CD537" s="20" t="e">
        <f t="shared" si="107"/>
        <v>#N/A</v>
      </c>
    </row>
    <row r="538" spans="1:82" ht="61.5" x14ac:dyDescent="0.85">
      <c r="A538" s="20">
        <v>1</v>
      </c>
      <c r="B538" s="66">
        <f>SUBTOTAL(103,$A$22:A538)</f>
        <v>454</v>
      </c>
      <c r="C538" s="24" t="s">
        <v>218</v>
      </c>
      <c r="D538" s="31">
        <f t="shared" ref="D538:D545" si="121">E538+F538+G538+H538+I538+J538+L538+N538+P538+R538+T538+U538+V538+W538+X538+Y538+Z538+AA538+AB538+AC538+AD538+AE538</f>
        <v>5882102.4900000002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3">
        <v>0</v>
      </c>
      <c r="L538" s="31">
        <v>0</v>
      </c>
      <c r="M538" s="31">
        <v>1057.07</v>
      </c>
      <c r="N538" s="31">
        <v>5666305.4199999999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0</v>
      </c>
      <c r="AC538" s="31">
        <f>ROUND(N538*1.5%,2)</f>
        <v>84994.58</v>
      </c>
      <c r="AD538" s="31">
        <v>130802.49</v>
      </c>
      <c r="AE538" s="31">
        <v>0</v>
      </c>
      <c r="AF538" s="219">
        <v>2020</v>
      </c>
      <c r="AG538" s="219">
        <v>2020</v>
      </c>
      <c r="AH538" s="220">
        <v>2020</v>
      </c>
      <c r="AT538" s="20" t="e">
        <f>VLOOKUP(C538,AW:AX,2,FALSE)</f>
        <v>#N/A</v>
      </c>
      <c r="BZ538" s="71"/>
      <c r="CD538" s="20">
        <f t="shared" si="107"/>
        <v>1057.07</v>
      </c>
    </row>
    <row r="539" spans="1:82" ht="61.5" x14ac:dyDescent="0.85">
      <c r="A539" s="20">
        <v>1</v>
      </c>
      <c r="B539" s="66">
        <f>SUBTOTAL(103,$A$22:A539)</f>
        <v>455</v>
      </c>
      <c r="C539" s="24" t="s">
        <v>1288</v>
      </c>
      <c r="D539" s="31">
        <f t="shared" si="121"/>
        <v>3950361.98</v>
      </c>
      <c r="E539" s="31">
        <v>0</v>
      </c>
      <c r="F539" s="31">
        <v>0</v>
      </c>
      <c r="G539" s="31">
        <f>3191982.25+700000</f>
        <v>3891982.25</v>
      </c>
      <c r="H539" s="31">
        <v>0</v>
      </c>
      <c r="I539" s="31">
        <v>0</v>
      </c>
      <c r="J539" s="31">
        <v>0</v>
      </c>
      <c r="K539" s="33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f t="shared" ref="AC539:AC545" si="122">ROUND((E539+F539+G539+H539+I539+J539)*1.5%,2)</f>
        <v>58379.73</v>
      </c>
      <c r="AD539" s="31">
        <v>0</v>
      </c>
      <c r="AE539" s="31">
        <v>0</v>
      </c>
      <c r="AF539" s="219" t="s">
        <v>271</v>
      </c>
      <c r="AG539" s="219">
        <v>2020</v>
      </c>
      <c r="AH539" s="220">
        <v>2020</v>
      </c>
      <c r="BZ539" s="71"/>
      <c r="CD539" s="20" t="e">
        <f t="shared" si="107"/>
        <v>#N/A</v>
      </c>
    </row>
    <row r="540" spans="1:82" ht="61.5" x14ac:dyDescent="0.85">
      <c r="A540" s="20">
        <v>1</v>
      </c>
      <c r="B540" s="66">
        <f>SUBTOTAL(103,$A$22:A540)</f>
        <v>456</v>
      </c>
      <c r="C540" s="24" t="s">
        <v>1289</v>
      </c>
      <c r="D540" s="31">
        <f t="shared" si="121"/>
        <v>229229.19</v>
      </c>
      <c r="E540" s="31">
        <v>0</v>
      </c>
      <c r="F540" s="31">
        <v>0</v>
      </c>
      <c r="G540" s="273">
        <v>225841.57</v>
      </c>
      <c r="H540" s="31">
        <v>0</v>
      </c>
      <c r="I540" s="31">
        <v>0</v>
      </c>
      <c r="J540" s="31">
        <v>0</v>
      </c>
      <c r="K540" s="33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f t="shared" si="122"/>
        <v>3387.62</v>
      </c>
      <c r="AD540" s="31">
        <v>0</v>
      </c>
      <c r="AE540" s="31">
        <v>0</v>
      </c>
      <c r="AF540" s="219" t="s">
        <v>271</v>
      </c>
      <c r="AG540" s="219">
        <v>2020</v>
      </c>
      <c r="AH540" s="220">
        <v>2020</v>
      </c>
      <c r="BZ540" s="71"/>
      <c r="CD540" s="20" t="e">
        <f t="shared" si="107"/>
        <v>#N/A</v>
      </c>
    </row>
    <row r="541" spans="1:82" ht="61.5" x14ac:dyDescent="0.85">
      <c r="A541" s="20">
        <v>1</v>
      </c>
      <c r="B541" s="66">
        <f>SUBTOTAL(103,$A$22:A541)</f>
        <v>457</v>
      </c>
      <c r="C541" s="24" t="s">
        <v>1290</v>
      </c>
      <c r="D541" s="31">
        <f t="shared" si="121"/>
        <v>2878998.14</v>
      </c>
      <c r="E541" s="31">
        <v>0</v>
      </c>
      <c r="F541" s="31">
        <v>0</v>
      </c>
      <c r="G541" s="31">
        <v>2836451.37</v>
      </c>
      <c r="H541" s="31">
        <v>0</v>
      </c>
      <c r="I541" s="31">
        <v>0</v>
      </c>
      <c r="J541" s="31">
        <v>0</v>
      </c>
      <c r="K541" s="33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f t="shared" si="122"/>
        <v>42546.77</v>
      </c>
      <c r="AD541" s="31">
        <v>0</v>
      </c>
      <c r="AE541" s="31">
        <v>0</v>
      </c>
      <c r="AF541" s="219" t="s">
        <v>271</v>
      </c>
      <c r="AG541" s="219">
        <v>2020</v>
      </c>
      <c r="AH541" s="220">
        <v>2020</v>
      </c>
      <c r="BZ541" s="71"/>
      <c r="CD541" s="20" t="e">
        <f t="shared" si="107"/>
        <v>#N/A</v>
      </c>
    </row>
    <row r="542" spans="1:82" ht="61.5" x14ac:dyDescent="0.85">
      <c r="A542" s="20">
        <v>1</v>
      </c>
      <c r="B542" s="66">
        <f>SUBTOTAL(103,$A$22:A542)</f>
        <v>458</v>
      </c>
      <c r="C542" s="24" t="s">
        <v>1291</v>
      </c>
      <c r="D542" s="31">
        <f t="shared" si="121"/>
        <v>3594054.31</v>
      </c>
      <c r="E542" s="31">
        <v>0</v>
      </c>
      <c r="F542" s="31">
        <v>0</v>
      </c>
      <c r="G542" s="31">
        <f>2877345.15+663595.06</f>
        <v>3540940.21</v>
      </c>
      <c r="H542" s="31">
        <v>0</v>
      </c>
      <c r="I542" s="31">
        <v>0</v>
      </c>
      <c r="J542" s="31">
        <v>0</v>
      </c>
      <c r="K542" s="33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f t="shared" si="122"/>
        <v>53114.1</v>
      </c>
      <c r="AD542" s="31">
        <v>0</v>
      </c>
      <c r="AE542" s="31">
        <v>0</v>
      </c>
      <c r="AF542" s="219" t="s">
        <v>271</v>
      </c>
      <c r="AG542" s="219">
        <v>2020</v>
      </c>
      <c r="AH542" s="220">
        <v>2020</v>
      </c>
      <c r="BZ542" s="71"/>
      <c r="CD542" s="20" t="e">
        <f t="shared" si="107"/>
        <v>#N/A</v>
      </c>
    </row>
    <row r="543" spans="1:82" ht="61.5" x14ac:dyDescent="0.85">
      <c r="A543" s="20">
        <v>1</v>
      </c>
      <c r="B543" s="66">
        <f>SUBTOTAL(103,$A$22:A543)</f>
        <v>459</v>
      </c>
      <c r="C543" s="24" t="s">
        <v>219</v>
      </c>
      <c r="D543" s="31">
        <f>E543+F543+G543+H543+I543+J543+L543+N543+P543+R543+T543+U543+V543+W543+X543+Y543+Z543+AA543+AB543+AC543+AD543+AE543</f>
        <v>68684.36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3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f>ROUND((E543+F543+G543+H543+I543+J543)*1.5%,2)</f>
        <v>0</v>
      </c>
      <c r="AD543" s="31">
        <v>68684.36</v>
      </c>
      <c r="AE543" s="31">
        <v>0</v>
      </c>
      <c r="AF543" s="219">
        <v>2020</v>
      </c>
      <c r="AG543" s="219" t="s">
        <v>271</v>
      </c>
      <c r="AH543" s="219" t="s">
        <v>271</v>
      </c>
      <c r="AT543" s="20" t="e">
        <f>VLOOKUP(C543,AW:AX,2,FALSE)</f>
        <v>#N/A</v>
      </c>
      <c r="BZ543" s="71"/>
      <c r="CD543" s="20" t="e">
        <f t="shared" si="107"/>
        <v>#N/A</v>
      </c>
    </row>
    <row r="544" spans="1:82" ht="61.5" x14ac:dyDescent="0.85">
      <c r="A544" s="20">
        <v>1</v>
      </c>
      <c r="B544" s="66">
        <f>SUBTOTAL(103,$A$22:A544)</f>
        <v>460</v>
      </c>
      <c r="C544" s="24" t="s">
        <v>1581</v>
      </c>
      <c r="D544" s="31">
        <f t="shared" si="121"/>
        <v>73035.08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3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f t="shared" si="122"/>
        <v>0</v>
      </c>
      <c r="AD544" s="31">
        <v>73035.08</v>
      </c>
      <c r="AE544" s="31">
        <v>0</v>
      </c>
      <c r="AF544" s="219">
        <v>2020</v>
      </c>
      <c r="AG544" s="219" t="s">
        <v>271</v>
      </c>
      <c r="AH544" s="219" t="s">
        <v>271</v>
      </c>
      <c r="BZ544" s="71"/>
      <c r="CD544" s="20" t="e">
        <f t="shared" si="107"/>
        <v>#N/A</v>
      </c>
    </row>
    <row r="545" spans="1:82" ht="61.5" x14ac:dyDescent="0.85">
      <c r="A545" s="20">
        <v>1</v>
      </c>
      <c r="B545" s="66">
        <f>SUBTOTAL(103,$A$22:A545)</f>
        <v>461</v>
      </c>
      <c r="C545" s="24" t="s">
        <v>1582</v>
      </c>
      <c r="D545" s="31">
        <f t="shared" si="121"/>
        <v>77862.94</v>
      </c>
      <c r="E545" s="31">
        <v>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3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f t="shared" si="122"/>
        <v>0</v>
      </c>
      <c r="AD545" s="31">
        <v>77862.94</v>
      </c>
      <c r="AE545" s="31">
        <v>0</v>
      </c>
      <c r="AF545" s="219">
        <v>2020</v>
      </c>
      <c r="AG545" s="219" t="s">
        <v>271</v>
      </c>
      <c r="AH545" s="219" t="s">
        <v>271</v>
      </c>
      <c r="BZ545" s="71"/>
      <c r="CD545" s="20" t="e">
        <f t="shared" si="107"/>
        <v>#N/A</v>
      </c>
    </row>
    <row r="546" spans="1:82" ht="61.5" x14ac:dyDescent="0.85">
      <c r="B546" s="24" t="s">
        <v>876</v>
      </c>
      <c r="C546" s="24"/>
      <c r="D546" s="31">
        <f>SUM(D547:D551)</f>
        <v>7943688.4699999997</v>
      </c>
      <c r="E546" s="31">
        <f t="shared" ref="E546:AE546" si="123">SUM(E547:E551)</f>
        <v>0</v>
      </c>
      <c r="F546" s="31">
        <f>SUM(F547:F551)</f>
        <v>0</v>
      </c>
      <c r="G546" s="31">
        <f t="shared" si="123"/>
        <v>0</v>
      </c>
      <c r="H546" s="31">
        <f t="shared" si="123"/>
        <v>1068632.7</v>
      </c>
      <c r="I546" s="31">
        <f t="shared" si="123"/>
        <v>0</v>
      </c>
      <c r="J546" s="31">
        <f t="shared" si="123"/>
        <v>0</v>
      </c>
      <c r="K546" s="33">
        <f t="shared" si="123"/>
        <v>0</v>
      </c>
      <c r="L546" s="31">
        <f t="shared" si="123"/>
        <v>0</v>
      </c>
      <c r="M546" s="31">
        <f t="shared" si="123"/>
        <v>810.07999999999993</v>
      </c>
      <c r="N546" s="31">
        <f t="shared" si="123"/>
        <v>3214660.2</v>
      </c>
      <c r="O546" s="31">
        <f t="shared" si="123"/>
        <v>0</v>
      </c>
      <c r="P546" s="31">
        <f t="shared" si="123"/>
        <v>0</v>
      </c>
      <c r="Q546" s="31">
        <f t="shared" si="123"/>
        <v>0</v>
      </c>
      <c r="R546" s="31">
        <f t="shared" si="123"/>
        <v>0</v>
      </c>
      <c r="S546" s="31">
        <f t="shared" si="123"/>
        <v>0</v>
      </c>
      <c r="T546" s="31">
        <f t="shared" si="123"/>
        <v>0</v>
      </c>
      <c r="U546" s="31">
        <f t="shared" si="123"/>
        <v>3336026.4299999997</v>
      </c>
      <c r="V546" s="31">
        <f t="shared" si="123"/>
        <v>0</v>
      </c>
      <c r="W546" s="31">
        <f t="shared" si="123"/>
        <v>0</v>
      </c>
      <c r="X546" s="31">
        <f t="shared" si="123"/>
        <v>0</v>
      </c>
      <c r="Y546" s="31">
        <f t="shared" si="123"/>
        <v>0</v>
      </c>
      <c r="Z546" s="31">
        <f t="shared" si="123"/>
        <v>0</v>
      </c>
      <c r="AA546" s="31">
        <f t="shared" si="123"/>
        <v>0</v>
      </c>
      <c r="AB546" s="31">
        <f t="shared" si="123"/>
        <v>0</v>
      </c>
      <c r="AC546" s="31">
        <f t="shared" si="123"/>
        <v>114239.23000000001</v>
      </c>
      <c r="AD546" s="31">
        <f t="shared" si="123"/>
        <v>210129.90999999997</v>
      </c>
      <c r="AE546" s="31">
        <f t="shared" si="123"/>
        <v>0</v>
      </c>
      <c r="AF546" s="221" t="s">
        <v>764</v>
      </c>
      <c r="AG546" s="221" t="s">
        <v>764</v>
      </c>
      <c r="AH546" s="222" t="s">
        <v>764</v>
      </c>
      <c r="AT546" s="20" t="e">
        <f>VLOOKUP(C546,AW:AX,2,FALSE)</f>
        <v>#N/A</v>
      </c>
      <c r="BZ546" s="71">
        <v>7944432.1499999994</v>
      </c>
      <c r="CD546" s="20" t="e">
        <f t="shared" si="107"/>
        <v>#N/A</v>
      </c>
    </row>
    <row r="547" spans="1:82" ht="61.5" x14ac:dyDescent="0.85">
      <c r="A547" s="20">
        <v>1</v>
      </c>
      <c r="B547" s="66">
        <f>SUBTOTAL(103,$A$22:A547)</f>
        <v>462</v>
      </c>
      <c r="C547" s="24" t="s">
        <v>221</v>
      </c>
      <c r="D547" s="31">
        <f>E547+F547+G547+H547+I547+J547+L547+N547+P547+R547+T547+U547+V547+W547+X547+Y547+Z547+AA547+AB547+AC547+AD547+AE547</f>
        <v>400289.33999999997</v>
      </c>
      <c r="E547" s="31">
        <v>0</v>
      </c>
      <c r="F547" s="31">
        <v>0</v>
      </c>
      <c r="G547" s="31">
        <v>0</v>
      </c>
      <c r="H547" s="31">
        <f>135260.43+ROUND(60000/101.5*100,2)+200000</f>
        <v>394373.73</v>
      </c>
      <c r="I547" s="31">
        <v>0</v>
      </c>
      <c r="J547" s="31">
        <v>0</v>
      </c>
      <c r="K547" s="33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f>ROUND((E547+F547+G547+H547+I547+J547)*1.5%,2)</f>
        <v>5915.61</v>
      </c>
      <c r="AD547" s="31">
        <v>0</v>
      </c>
      <c r="AE547" s="31">
        <v>0</v>
      </c>
      <c r="AF547" s="219" t="s">
        <v>271</v>
      </c>
      <c r="AG547" s="219">
        <v>2020</v>
      </c>
      <c r="AH547" s="220">
        <v>2020</v>
      </c>
      <c r="AT547" s="20" t="e">
        <f>VLOOKUP(C547,AW:AX,2,FALSE)</f>
        <v>#N/A</v>
      </c>
      <c r="BZ547" s="71"/>
      <c r="CD547" s="20" t="e">
        <f t="shared" si="107"/>
        <v>#N/A</v>
      </c>
    </row>
    <row r="548" spans="1:82" ht="61.5" x14ac:dyDescent="0.85">
      <c r="A548" s="20">
        <v>1</v>
      </c>
      <c r="B548" s="66">
        <f>SUBTOTAL(103,$A$22:A548)</f>
        <v>463</v>
      </c>
      <c r="C548" s="24" t="s">
        <v>222</v>
      </c>
      <c r="D548" s="31">
        <f>E548+F548+G548+H548+I548+J548+L548+N548+P548+R548+T548+U548+V548+W548+X548+Y548+Z548+AA548+AB548+AC548+AD548+AE548</f>
        <v>2428621.89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3">
        <v>0</v>
      </c>
      <c r="L548" s="31">
        <v>0</v>
      </c>
      <c r="M548" s="272">
        <v>618.67999999999995</v>
      </c>
      <c r="N548" s="273">
        <v>2339117.9900000002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f>ROUND(N548*1.5%,2)</f>
        <v>35086.769999999997</v>
      </c>
      <c r="AD548" s="31">
        <v>54417.13</v>
      </c>
      <c r="AE548" s="31">
        <v>0</v>
      </c>
      <c r="AF548" s="219">
        <v>2020</v>
      </c>
      <c r="AG548" s="219">
        <v>2020</v>
      </c>
      <c r="AH548" s="220">
        <v>2020</v>
      </c>
      <c r="AT548" s="20" t="e">
        <f>VLOOKUP(C548,AW:AX,2,FALSE)</f>
        <v>#N/A</v>
      </c>
      <c r="BZ548" s="71"/>
      <c r="CD548" s="20">
        <f t="shared" si="107"/>
        <v>615.20000000000005</v>
      </c>
    </row>
    <row r="549" spans="1:82" ht="61.5" x14ac:dyDescent="0.85">
      <c r="A549" s="20">
        <v>1</v>
      </c>
      <c r="B549" s="66">
        <f>SUBTOTAL(103,$A$22:A549)</f>
        <v>464</v>
      </c>
      <c r="C549" s="24" t="s">
        <v>227</v>
      </c>
      <c r="D549" s="31">
        <f>E549+F549+G549+H549+I549+J549+L549+N549+P549+R549+T549+U549+V549+W549+X549+Y549+Z549+AA549+AB549+AC549+AD549+AE549</f>
        <v>3498950.9099999997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3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f>2700000+2975144.42-N548</f>
        <v>3336026.4299999997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f>ROUND(U549*1.5%,2)</f>
        <v>50040.4</v>
      </c>
      <c r="AD549" s="31">
        <v>112884.08</v>
      </c>
      <c r="AE549" s="31">
        <v>0</v>
      </c>
      <c r="AF549" s="219">
        <v>2020</v>
      </c>
      <c r="AG549" s="219">
        <v>2020</v>
      </c>
      <c r="AH549" s="220">
        <v>2020</v>
      </c>
      <c r="AT549" s="20" t="e">
        <f>VLOOKUP(C549,AW:AX,2,FALSE)</f>
        <v>#N/A</v>
      </c>
      <c r="BZ549" s="71"/>
      <c r="CD549" s="20" t="e">
        <f t="shared" si="107"/>
        <v>#N/A</v>
      </c>
    </row>
    <row r="550" spans="1:82" ht="61.5" x14ac:dyDescent="0.85">
      <c r="A550" s="20">
        <v>1</v>
      </c>
      <c r="B550" s="66">
        <f>SUBTOTAL(103,$A$22:A550)</f>
        <v>465</v>
      </c>
      <c r="C550" s="24" t="s">
        <v>1106</v>
      </c>
      <c r="D550" s="31">
        <f>E550+F550+G550+H550+I550+J550+L550+N550+P550+R550+T550+U550+V550+W550+X550+Y550+Z550+AA550+AB550+AC550+AD550+AE550</f>
        <v>931504.03999999992</v>
      </c>
      <c r="E550" s="31">
        <v>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3">
        <v>0</v>
      </c>
      <c r="L550" s="31">
        <v>0</v>
      </c>
      <c r="M550" s="272">
        <v>191.4</v>
      </c>
      <c r="N550" s="328">
        <v>875542.21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1">
        <v>0</v>
      </c>
      <c r="Y550" s="31">
        <v>0</v>
      </c>
      <c r="Z550" s="31">
        <v>0</v>
      </c>
      <c r="AA550" s="31">
        <v>0</v>
      </c>
      <c r="AB550" s="31">
        <v>0</v>
      </c>
      <c r="AC550" s="31">
        <f>ROUND(N550*1.5%,2)</f>
        <v>13133.13</v>
      </c>
      <c r="AD550" s="31">
        <v>42828.7</v>
      </c>
      <c r="AE550" s="31">
        <v>0</v>
      </c>
      <c r="AF550" s="219">
        <v>2020</v>
      </c>
      <c r="AG550" s="219">
        <v>2020</v>
      </c>
      <c r="AH550" s="220">
        <v>2020</v>
      </c>
      <c r="AT550" s="20" t="e">
        <f>VLOOKUP(C550,AW:AX,2,FALSE)</f>
        <v>#N/A</v>
      </c>
      <c r="BZ550" s="71"/>
      <c r="CD550" s="20" t="e">
        <f t="shared" si="107"/>
        <v>#N/A</v>
      </c>
    </row>
    <row r="551" spans="1:82" ht="61.5" x14ac:dyDescent="0.85">
      <c r="A551" s="20">
        <v>1</v>
      </c>
      <c r="B551" s="66">
        <f>SUBTOTAL(103,$A$22:A551)</f>
        <v>466</v>
      </c>
      <c r="C551" s="24" t="s">
        <v>1292</v>
      </c>
      <c r="D551" s="31">
        <f>E551+F551+G551+H551+I551+J551+L551+N551+P551+R551+T551+U551+V551+W551+X551+Y551+Z551+AA551+AB551+AC551+AD551+AE551</f>
        <v>684322.28999999992</v>
      </c>
      <c r="E551" s="31">
        <v>0</v>
      </c>
      <c r="F551" s="31">
        <v>0</v>
      </c>
      <c r="G551" s="31">
        <v>0</v>
      </c>
      <c r="H551" s="31">
        <f>305017.62+369214.07+27.28</f>
        <v>674258.97</v>
      </c>
      <c r="I551" s="31">
        <v>0</v>
      </c>
      <c r="J551" s="31">
        <v>0</v>
      </c>
      <c r="K551" s="33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f>ROUND((E551+F551+G551+H551+I551+J551)*1.4925%,2)</f>
        <v>10063.32</v>
      </c>
      <c r="AD551" s="31">
        <v>0</v>
      </c>
      <c r="AE551" s="31">
        <v>0</v>
      </c>
      <c r="AF551" s="219" t="s">
        <v>271</v>
      </c>
      <c r="AG551" s="219">
        <v>2020</v>
      </c>
      <c r="AH551" s="220">
        <v>2020</v>
      </c>
      <c r="BZ551" s="71"/>
      <c r="CD551" s="20" t="e">
        <f t="shared" si="107"/>
        <v>#N/A</v>
      </c>
    </row>
    <row r="552" spans="1:82" ht="61.5" x14ac:dyDescent="0.85">
      <c r="B552" s="24" t="s">
        <v>877</v>
      </c>
      <c r="C552" s="24"/>
      <c r="D552" s="31">
        <f>SUM(D553:D555)</f>
        <v>917252.46</v>
      </c>
      <c r="E552" s="31">
        <f t="shared" ref="E552:AE552" si="124">SUM(E553:E555)</f>
        <v>0</v>
      </c>
      <c r="F552" s="31">
        <f t="shared" si="124"/>
        <v>0</v>
      </c>
      <c r="G552" s="31">
        <f t="shared" si="124"/>
        <v>0</v>
      </c>
      <c r="H552" s="31">
        <f t="shared" si="124"/>
        <v>178359.08</v>
      </c>
      <c r="I552" s="31">
        <f t="shared" si="124"/>
        <v>0</v>
      </c>
      <c r="J552" s="31">
        <f t="shared" si="124"/>
        <v>0</v>
      </c>
      <c r="K552" s="33">
        <f t="shared" si="124"/>
        <v>0</v>
      </c>
      <c r="L552" s="31">
        <f t="shared" si="124"/>
        <v>0</v>
      </c>
      <c r="M552" s="31">
        <f t="shared" si="124"/>
        <v>0</v>
      </c>
      <c r="N552" s="31">
        <f t="shared" si="124"/>
        <v>0</v>
      </c>
      <c r="O552" s="31">
        <f t="shared" si="124"/>
        <v>263.2</v>
      </c>
      <c r="P552" s="31">
        <f t="shared" si="124"/>
        <v>423511.37</v>
      </c>
      <c r="Q552" s="31">
        <f t="shared" si="124"/>
        <v>582.4</v>
      </c>
      <c r="R552" s="31">
        <f t="shared" si="124"/>
        <v>301826.55</v>
      </c>
      <c r="S552" s="31">
        <f t="shared" si="124"/>
        <v>0</v>
      </c>
      <c r="T552" s="31">
        <f t="shared" si="124"/>
        <v>0</v>
      </c>
      <c r="U552" s="31">
        <f t="shared" si="124"/>
        <v>0</v>
      </c>
      <c r="V552" s="31">
        <f t="shared" si="124"/>
        <v>0</v>
      </c>
      <c r="W552" s="31">
        <f t="shared" si="124"/>
        <v>0</v>
      </c>
      <c r="X552" s="31">
        <f t="shared" si="124"/>
        <v>0</v>
      </c>
      <c r="Y552" s="31">
        <f t="shared" si="124"/>
        <v>0</v>
      </c>
      <c r="Z552" s="31">
        <f t="shared" si="124"/>
        <v>0</v>
      </c>
      <c r="AA552" s="31">
        <f t="shared" si="124"/>
        <v>0</v>
      </c>
      <c r="AB552" s="31">
        <f t="shared" si="124"/>
        <v>0</v>
      </c>
      <c r="AC552" s="31">
        <f t="shared" si="124"/>
        <v>13555.46</v>
      </c>
      <c r="AD552" s="31">
        <f t="shared" si="124"/>
        <v>0</v>
      </c>
      <c r="AE552" s="31">
        <f t="shared" si="124"/>
        <v>0</v>
      </c>
      <c r="AF552" s="221" t="s">
        <v>764</v>
      </c>
      <c r="AG552" s="221" t="s">
        <v>764</v>
      </c>
      <c r="AH552" s="222" t="s">
        <v>764</v>
      </c>
      <c r="AT552" s="20" t="e">
        <f>VLOOKUP(C552,AW:AX,2,FALSE)</f>
        <v>#N/A</v>
      </c>
      <c r="BZ552" s="71">
        <v>786720.65</v>
      </c>
      <c r="CB552" s="71">
        <f>BZ552-D552</f>
        <v>-130531.80999999994</v>
      </c>
      <c r="CD552" s="20" t="e">
        <f t="shared" si="107"/>
        <v>#N/A</v>
      </c>
    </row>
    <row r="553" spans="1:82" ht="61.5" x14ac:dyDescent="0.85">
      <c r="A553" s="20">
        <v>1</v>
      </c>
      <c r="B553" s="66">
        <f>SUBTOTAL(103,$A$22:A553)</f>
        <v>467</v>
      </c>
      <c r="C553" s="24" t="s">
        <v>225</v>
      </c>
      <c r="D553" s="31">
        <f>E553+F553+G553+H553+I553+J553+L553+N553+P553+R553+T553+U553+V553+W553+X553+Y553+Z553+AA553+AB553+AC553+AD553+AE553</f>
        <v>181034.47</v>
      </c>
      <c r="E553" s="31">
        <v>0</v>
      </c>
      <c r="F553" s="31">
        <v>0</v>
      </c>
      <c r="G553" s="31">
        <v>0</v>
      </c>
      <c r="H553" s="31">
        <v>178359.08</v>
      </c>
      <c r="I553" s="31">
        <v>0</v>
      </c>
      <c r="J553" s="31">
        <v>0</v>
      </c>
      <c r="K553" s="33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f>ROUND((E553+F553+G553+H553+I553+J553)*1.5%,2)</f>
        <v>2675.39</v>
      </c>
      <c r="AD553" s="31">
        <v>0</v>
      </c>
      <c r="AE553" s="31">
        <v>0</v>
      </c>
      <c r="AF553" s="219" t="s">
        <v>271</v>
      </c>
      <c r="AG553" s="219">
        <v>2020</v>
      </c>
      <c r="AH553" s="220">
        <v>2020</v>
      </c>
      <c r="AT553" s="20" t="e">
        <f>VLOOKUP(C553,AW:AX,2,FALSE)</f>
        <v>#N/A</v>
      </c>
      <c r="BZ553" s="71"/>
      <c r="CD553" s="20" t="e">
        <f t="shared" si="107"/>
        <v>#N/A</v>
      </c>
    </row>
    <row r="554" spans="1:82" ht="61.5" x14ac:dyDescent="0.85">
      <c r="A554" s="20">
        <v>1</v>
      </c>
      <c r="B554" s="66">
        <f>SUBTOTAL(103,$A$22:A554)</f>
        <v>468</v>
      </c>
      <c r="C554" s="24" t="s">
        <v>1304</v>
      </c>
      <c r="D554" s="31">
        <f>E554+F554+G554+H554+I554+J554+L554+N554+P554+R554+T554+U554+V554+W554+X554+Y554+Z554+AA554+AB554+AC554+AD554+AE554</f>
        <v>306353.95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3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278">
        <v>582.4</v>
      </c>
      <c r="R554" s="273">
        <v>301826.55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f>ROUND(R554*1.5%,2)</f>
        <v>4527.3999999999996</v>
      </c>
      <c r="AD554" s="31">
        <v>0</v>
      </c>
      <c r="AE554" s="31">
        <v>0</v>
      </c>
      <c r="AF554" s="219" t="s">
        <v>271</v>
      </c>
      <c r="AG554" s="219">
        <v>2020</v>
      </c>
      <c r="AH554" s="220">
        <v>2020</v>
      </c>
      <c r="BZ554" s="71"/>
      <c r="CD554" s="20" t="e">
        <f t="shared" si="107"/>
        <v>#N/A</v>
      </c>
    </row>
    <row r="555" spans="1:82" ht="61.5" x14ac:dyDescent="0.85">
      <c r="A555" s="20">
        <v>1</v>
      </c>
      <c r="B555" s="66">
        <f>SUBTOTAL(103,$A$22:A555)</f>
        <v>469</v>
      </c>
      <c r="C555" s="24" t="s">
        <v>1305</v>
      </c>
      <c r="D555" s="31">
        <f>E555+F555+G555+H555+I555+J555+L555+N555+P555+R555+T555+U555+V555+W555+X555+Y555+Z555+AA555+AB555+AC555+AD555+AE555</f>
        <v>429864.04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3">
        <v>0</v>
      </c>
      <c r="L555" s="31">
        <v>0</v>
      </c>
      <c r="M555" s="31">
        <v>0</v>
      </c>
      <c r="N555" s="31">
        <v>0</v>
      </c>
      <c r="O555" s="278">
        <v>263.2</v>
      </c>
      <c r="P555" s="273">
        <v>423511.37</v>
      </c>
      <c r="Q555" s="31">
        <v>0</v>
      </c>
      <c r="R555" s="31">
        <v>0</v>
      </c>
      <c r="S555" s="31">
        <v>0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f>ROUND(P555*1.5%,2)</f>
        <v>6352.67</v>
      </c>
      <c r="AD555" s="31">
        <v>0</v>
      </c>
      <c r="AE555" s="31">
        <v>0</v>
      </c>
      <c r="AF555" s="219" t="s">
        <v>271</v>
      </c>
      <c r="AG555" s="219">
        <v>2020</v>
      </c>
      <c r="AH555" s="220">
        <v>2020</v>
      </c>
      <c r="BZ555" s="71"/>
      <c r="CD555" s="20" t="e">
        <f t="shared" si="107"/>
        <v>#N/A</v>
      </c>
    </row>
    <row r="556" spans="1:82" ht="61.5" x14ac:dyDescent="0.85">
      <c r="B556" s="24" t="s">
        <v>878</v>
      </c>
      <c r="C556" s="24"/>
      <c r="D556" s="31">
        <f t="shared" ref="D556:AE556" si="125">D557</f>
        <v>1234425.4500000002</v>
      </c>
      <c r="E556" s="31">
        <f t="shared" si="125"/>
        <v>0</v>
      </c>
      <c r="F556" s="31">
        <f t="shared" si="125"/>
        <v>0</v>
      </c>
      <c r="G556" s="31">
        <f t="shared" si="125"/>
        <v>0</v>
      </c>
      <c r="H556" s="31">
        <f t="shared" si="125"/>
        <v>0</v>
      </c>
      <c r="I556" s="31">
        <f t="shared" si="125"/>
        <v>0</v>
      </c>
      <c r="J556" s="31">
        <f t="shared" si="125"/>
        <v>0</v>
      </c>
      <c r="K556" s="33">
        <f t="shared" si="125"/>
        <v>0</v>
      </c>
      <c r="L556" s="31">
        <f t="shared" si="125"/>
        <v>0</v>
      </c>
      <c r="M556" s="31">
        <f t="shared" si="125"/>
        <v>297</v>
      </c>
      <c r="N556" s="31">
        <f t="shared" si="125"/>
        <v>1177854.29</v>
      </c>
      <c r="O556" s="31">
        <f t="shared" si="125"/>
        <v>0</v>
      </c>
      <c r="P556" s="31">
        <f t="shared" si="125"/>
        <v>0</v>
      </c>
      <c r="Q556" s="31">
        <f t="shared" si="125"/>
        <v>0</v>
      </c>
      <c r="R556" s="31">
        <f t="shared" si="125"/>
        <v>0</v>
      </c>
      <c r="S556" s="31">
        <f t="shared" si="125"/>
        <v>0</v>
      </c>
      <c r="T556" s="31">
        <f t="shared" si="125"/>
        <v>0</v>
      </c>
      <c r="U556" s="31">
        <f t="shared" si="125"/>
        <v>0</v>
      </c>
      <c r="V556" s="31">
        <f t="shared" si="125"/>
        <v>0</v>
      </c>
      <c r="W556" s="31">
        <f t="shared" si="125"/>
        <v>0</v>
      </c>
      <c r="X556" s="31">
        <f t="shared" si="125"/>
        <v>0</v>
      </c>
      <c r="Y556" s="31">
        <f t="shared" si="125"/>
        <v>0</v>
      </c>
      <c r="Z556" s="31">
        <f t="shared" si="125"/>
        <v>0</v>
      </c>
      <c r="AA556" s="31">
        <f t="shared" si="125"/>
        <v>0</v>
      </c>
      <c r="AB556" s="31">
        <f t="shared" si="125"/>
        <v>0</v>
      </c>
      <c r="AC556" s="31">
        <f t="shared" si="125"/>
        <v>17667.810000000001</v>
      </c>
      <c r="AD556" s="31">
        <f t="shared" si="125"/>
        <v>38903.35</v>
      </c>
      <c r="AE556" s="31">
        <f t="shared" si="125"/>
        <v>0</v>
      </c>
      <c r="AF556" s="221" t="s">
        <v>764</v>
      </c>
      <c r="AG556" s="221" t="s">
        <v>764</v>
      </c>
      <c r="AH556" s="222" t="s">
        <v>764</v>
      </c>
      <c r="AT556" s="20" t="e">
        <f t="shared" ref="AT556:AT561" si="126">VLOOKUP(C556,AW:AX,2,FALSE)</f>
        <v>#N/A</v>
      </c>
      <c r="BZ556" s="31">
        <v>1568000</v>
      </c>
      <c r="CA556" s="31"/>
      <c r="CB556" s="31">
        <f>BZ556-D556</f>
        <v>333574.54999999981</v>
      </c>
      <c r="CD556" s="20" t="e">
        <f t="shared" si="107"/>
        <v>#N/A</v>
      </c>
    </row>
    <row r="557" spans="1:82" ht="61.5" x14ac:dyDescent="0.85">
      <c r="A557" s="20">
        <v>1</v>
      </c>
      <c r="B557" s="66">
        <f>SUBTOTAL(103,$A$22:A557)</f>
        <v>470</v>
      </c>
      <c r="C557" s="24" t="s">
        <v>224</v>
      </c>
      <c r="D557" s="31">
        <f>E557+F557+G557+H557+I557+J557+L557+N557+P557+R557+T557+U557+V557+W557+X557+Y557+Z557+AA557+AB557+AC557+AD557+AE557</f>
        <v>1234425.4500000002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3">
        <v>0</v>
      </c>
      <c r="L557" s="31">
        <v>0</v>
      </c>
      <c r="M557" s="272">
        <v>297</v>
      </c>
      <c r="N557" s="273">
        <v>1177854.29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f>ROUND(N557*1.5%,2)</f>
        <v>17667.810000000001</v>
      </c>
      <c r="AD557" s="31">
        <v>38903.35</v>
      </c>
      <c r="AE557" s="31">
        <v>0</v>
      </c>
      <c r="AF557" s="219">
        <v>2020</v>
      </c>
      <c r="AG557" s="219">
        <v>2020</v>
      </c>
      <c r="AH557" s="220">
        <v>2020</v>
      </c>
      <c r="AT557" s="20" t="e">
        <f t="shared" si="126"/>
        <v>#N/A</v>
      </c>
      <c r="BZ557" s="71"/>
      <c r="CD557" s="20">
        <f t="shared" si="107"/>
        <v>289.86</v>
      </c>
    </row>
    <row r="558" spans="1:82" ht="61.5" x14ac:dyDescent="0.85">
      <c r="B558" s="24" t="s">
        <v>767</v>
      </c>
      <c r="C558" s="24"/>
      <c r="D558" s="31">
        <f t="shared" ref="D558:AE558" si="127">D559+D690+D714+D778+D800+D806+D826+D832+D837+D841+D843+D846+D848+D850+D860+D866+D869+D871+D873+D875+D877+D879+D882+D892+D894+D897+D899+D901+D907+D910+D912+D915+D917+D919+D921+D924+D929+D933+D937+D939+D945+D949+D951+D953+D955+D957+D959+D963+D967+D969+D971+D973+D978+D982+D988+D990+D927+D980</f>
        <v>1024488175.7100002</v>
      </c>
      <c r="E558" s="31">
        <f t="shared" si="127"/>
        <v>2374737.11</v>
      </c>
      <c r="F558" s="31">
        <f t="shared" si="127"/>
        <v>4225595.0500000007</v>
      </c>
      <c r="G558" s="31">
        <f t="shared" si="127"/>
        <v>27560810.330000002</v>
      </c>
      <c r="H558" s="31">
        <f t="shared" si="127"/>
        <v>5863076.3400000008</v>
      </c>
      <c r="I558" s="31">
        <f t="shared" si="127"/>
        <v>11292150.210000001</v>
      </c>
      <c r="J558" s="31">
        <f t="shared" si="127"/>
        <v>0</v>
      </c>
      <c r="K558" s="76">
        <f t="shared" si="127"/>
        <v>20</v>
      </c>
      <c r="L558" s="31">
        <f t="shared" si="127"/>
        <v>43404333.829999998</v>
      </c>
      <c r="M558" s="31">
        <f t="shared" si="127"/>
        <v>155346.49888180295</v>
      </c>
      <c r="N558" s="31">
        <f t="shared" si="127"/>
        <v>721465406.25999987</v>
      </c>
      <c r="O558" s="31">
        <f t="shared" si="127"/>
        <v>278</v>
      </c>
      <c r="P558" s="31">
        <f t="shared" si="127"/>
        <v>1318378.6100000001</v>
      </c>
      <c r="Q558" s="31">
        <f t="shared" si="127"/>
        <v>41328.589999999997</v>
      </c>
      <c r="R558" s="31">
        <f t="shared" si="127"/>
        <v>118024952.62000002</v>
      </c>
      <c r="S558" s="31">
        <f t="shared" si="127"/>
        <v>854.8</v>
      </c>
      <c r="T558" s="31">
        <f t="shared" si="127"/>
        <v>13798587.84</v>
      </c>
      <c r="U558" s="31">
        <f t="shared" si="127"/>
        <v>19290393.84</v>
      </c>
      <c r="V558" s="31">
        <f t="shared" si="127"/>
        <v>0</v>
      </c>
      <c r="W558" s="31">
        <f t="shared" si="127"/>
        <v>0</v>
      </c>
      <c r="X558" s="31">
        <f t="shared" si="127"/>
        <v>0</v>
      </c>
      <c r="Y558" s="31">
        <f t="shared" si="127"/>
        <v>0</v>
      </c>
      <c r="Z558" s="31">
        <f t="shared" si="127"/>
        <v>0</v>
      </c>
      <c r="AA558" s="31">
        <f t="shared" si="127"/>
        <v>0</v>
      </c>
      <c r="AB558" s="31">
        <f t="shared" si="127"/>
        <v>0</v>
      </c>
      <c r="AC558" s="31">
        <f t="shared" si="127"/>
        <v>13769009.9</v>
      </c>
      <c r="AD558" s="31">
        <f t="shared" si="127"/>
        <v>40540743.770000003</v>
      </c>
      <c r="AE558" s="31">
        <f t="shared" si="127"/>
        <v>1560000</v>
      </c>
      <c r="AF558" s="72" t="s">
        <v>764</v>
      </c>
      <c r="AG558" s="72" t="s">
        <v>764</v>
      </c>
      <c r="AH558" s="87" t="s">
        <v>764</v>
      </c>
      <c r="AT558" s="20" t="e">
        <f t="shared" si="126"/>
        <v>#N/A</v>
      </c>
      <c r="BZ558" s="71">
        <v>799638471.25999999</v>
      </c>
      <c r="CD558" s="20" t="e">
        <f t="shared" si="107"/>
        <v>#N/A</v>
      </c>
    </row>
    <row r="559" spans="1:82" ht="61.5" x14ac:dyDescent="0.85">
      <c r="B559" s="24" t="s">
        <v>1105</v>
      </c>
      <c r="C559" s="114"/>
      <c r="D559" s="31">
        <f>SUM(D560:D689)</f>
        <v>254600033.64999992</v>
      </c>
      <c r="E559" s="31">
        <f t="shared" ref="E559:AE559" si="128">SUM(E560:E689)</f>
        <v>102509.44</v>
      </c>
      <c r="F559" s="31">
        <f t="shared" si="128"/>
        <v>0</v>
      </c>
      <c r="G559" s="31">
        <f t="shared" si="128"/>
        <v>0</v>
      </c>
      <c r="H559" s="31">
        <f t="shared" si="128"/>
        <v>115886.17</v>
      </c>
      <c r="I559" s="31">
        <f t="shared" si="128"/>
        <v>0</v>
      </c>
      <c r="J559" s="31">
        <f t="shared" si="128"/>
        <v>0</v>
      </c>
      <c r="K559" s="33">
        <f t="shared" si="128"/>
        <v>6</v>
      </c>
      <c r="L559" s="31">
        <f t="shared" si="128"/>
        <v>12958390</v>
      </c>
      <c r="M559" s="31">
        <f t="shared" si="128"/>
        <v>42093.48</v>
      </c>
      <c r="N559" s="31">
        <f t="shared" si="128"/>
        <v>187518316.13000003</v>
      </c>
      <c r="O559" s="31">
        <f t="shared" si="128"/>
        <v>278</v>
      </c>
      <c r="P559" s="31">
        <f t="shared" si="128"/>
        <v>1318378.6100000001</v>
      </c>
      <c r="Q559" s="31">
        <f t="shared" si="128"/>
        <v>12202.61</v>
      </c>
      <c r="R559" s="31">
        <f t="shared" si="128"/>
        <v>37641509.420000002</v>
      </c>
      <c r="S559" s="31">
        <f t="shared" si="128"/>
        <v>0</v>
      </c>
      <c r="T559" s="31">
        <f t="shared" si="128"/>
        <v>0</v>
      </c>
      <c r="U559" s="31">
        <f t="shared" si="128"/>
        <v>0</v>
      </c>
      <c r="V559" s="31">
        <f t="shared" si="128"/>
        <v>0</v>
      </c>
      <c r="W559" s="31">
        <f t="shared" si="128"/>
        <v>0</v>
      </c>
      <c r="X559" s="31">
        <f t="shared" si="128"/>
        <v>0</v>
      </c>
      <c r="Y559" s="31">
        <f t="shared" si="128"/>
        <v>0</v>
      </c>
      <c r="Z559" s="31">
        <f t="shared" si="128"/>
        <v>0</v>
      </c>
      <c r="AA559" s="31">
        <f t="shared" si="128"/>
        <v>0</v>
      </c>
      <c r="AB559" s="31">
        <f t="shared" si="128"/>
        <v>0</v>
      </c>
      <c r="AC559" s="31">
        <f t="shared" si="128"/>
        <v>3399888.0099999993</v>
      </c>
      <c r="AD559" s="31">
        <f t="shared" si="128"/>
        <v>11545155.869999999</v>
      </c>
      <c r="AE559" s="31">
        <f t="shared" si="128"/>
        <v>0</v>
      </c>
      <c r="AF559" s="72" t="s">
        <v>764</v>
      </c>
      <c r="AG559" s="72" t="s">
        <v>764</v>
      </c>
      <c r="AH559" s="87" t="s">
        <v>764</v>
      </c>
      <c r="AT559" s="20" t="e">
        <f t="shared" si="126"/>
        <v>#N/A</v>
      </c>
      <c r="BZ559" s="71">
        <v>225509821.20999989</v>
      </c>
      <c r="CD559" s="20" t="e">
        <f t="shared" si="107"/>
        <v>#N/A</v>
      </c>
    </row>
    <row r="560" spans="1:82" ht="61.5" x14ac:dyDescent="0.85">
      <c r="A560" s="20">
        <v>1</v>
      </c>
      <c r="B560" s="66">
        <f>SUBTOTAL(103,$A$560:A560)</f>
        <v>1</v>
      </c>
      <c r="C560" s="24" t="s">
        <v>535</v>
      </c>
      <c r="D560" s="31">
        <f t="shared" ref="D560:D673" si="129">E560+F560+G560+H560+I560+J560+L560+N560+P560+R560+T560+U560+V560+W560+X560+Y560+Z560+AA560+AB560+AC560+AD560+AE560</f>
        <v>4549323.9899999993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3">
        <v>0</v>
      </c>
      <c r="L560" s="31">
        <v>0</v>
      </c>
      <c r="M560" s="31">
        <v>960</v>
      </c>
      <c r="N560" s="31">
        <v>4383570.43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65753.56</v>
      </c>
      <c r="AD560" s="31">
        <v>100000</v>
      </c>
      <c r="AE560" s="31">
        <v>0</v>
      </c>
      <c r="AF560" s="34">
        <v>2021</v>
      </c>
      <c r="AG560" s="34">
        <v>2021</v>
      </c>
      <c r="AH560" s="35">
        <v>2021</v>
      </c>
      <c r="AT560" s="20" t="e">
        <f t="shared" si="126"/>
        <v>#N/A</v>
      </c>
      <c r="BZ560" s="71"/>
      <c r="CD560" s="20" t="e">
        <f t="shared" si="107"/>
        <v>#N/A</v>
      </c>
    </row>
    <row r="561" spans="1:82" ht="61.5" x14ac:dyDescent="0.85">
      <c r="A561" s="20">
        <v>1</v>
      </c>
      <c r="B561" s="66">
        <f>SUBTOTAL(103,$A$560:A561)</f>
        <v>2</v>
      </c>
      <c r="C561" s="24" t="s">
        <v>536</v>
      </c>
      <c r="D561" s="31">
        <f t="shared" si="129"/>
        <v>4549323.9899999993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3">
        <v>0</v>
      </c>
      <c r="L561" s="31">
        <v>0</v>
      </c>
      <c r="M561" s="31">
        <v>960</v>
      </c>
      <c r="N561" s="31">
        <v>4383570.43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v>65753.56</v>
      </c>
      <c r="AD561" s="31">
        <v>100000</v>
      </c>
      <c r="AE561" s="31">
        <v>0</v>
      </c>
      <c r="AF561" s="34">
        <v>2021</v>
      </c>
      <c r="AG561" s="34">
        <v>2021</v>
      </c>
      <c r="AH561" s="35">
        <v>2021</v>
      </c>
      <c r="AT561" s="20" t="e">
        <f t="shared" si="126"/>
        <v>#N/A</v>
      </c>
      <c r="BZ561" s="71"/>
      <c r="CD561" s="20" t="e">
        <f t="shared" si="107"/>
        <v>#N/A</v>
      </c>
    </row>
    <row r="562" spans="1:82" ht="61.5" x14ac:dyDescent="0.85">
      <c r="A562" s="20">
        <v>1</v>
      </c>
      <c r="B562" s="66">
        <f>SUBTOTAL(103,$A$560:A562)</f>
        <v>3</v>
      </c>
      <c r="C562" s="24" t="s">
        <v>537</v>
      </c>
      <c r="D562" s="31">
        <f t="shared" si="129"/>
        <v>3263607.5799999996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3">
        <v>0</v>
      </c>
      <c r="L562" s="31">
        <v>0</v>
      </c>
      <c r="M562" s="31">
        <v>657.1</v>
      </c>
      <c r="N562" s="31">
        <v>3116854.76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46752.82</v>
      </c>
      <c r="AD562" s="31">
        <v>100000</v>
      </c>
      <c r="AE562" s="31">
        <v>0</v>
      </c>
      <c r="AF562" s="34">
        <v>2021</v>
      </c>
      <c r="AG562" s="34">
        <v>2021</v>
      </c>
      <c r="AH562" s="35">
        <v>2021</v>
      </c>
      <c r="BZ562" s="71"/>
      <c r="CD562" s="20" t="e">
        <f t="shared" si="107"/>
        <v>#N/A</v>
      </c>
    </row>
    <row r="563" spans="1:82" ht="61.5" x14ac:dyDescent="0.85">
      <c r="A563" s="20">
        <v>1</v>
      </c>
      <c r="B563" s="66">
        <f>SUBTOTAL(103,$A$560:A563)</f>
        <v>4</v>
      </c>
      <c r="C563" s="24" t="s">
        <v>541</v>
      </c>
      <c r="D563" s="31">
        <f t="shared" si="129"/>
        <v>3518296.02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3">
        <v>0</v>
      </c>
      <c r="L563" s="31">
        <v>0</v>
      </c>
      <c r="M563" s="31">
        <v>710</v>
      </c>
      <c r="N563" s="31">
        <v>3367779.33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50516.69</v>
      </c>
      <c r="AD563" s="31">
        <v>100000</v>
      </c>
      <c r="AE563" s="31">
        <v>0</v>
      </c>
      <c r="AF563" s="34">
        <v>2021</v>
      </c>
      <c r="AG563" s="34">
        <v>2021</v>
      </c>
      <c r="AH563" s="35">
        <v>2021</v>
      </c>
      <c r="AT563" s="20" t="e">
        <f t="shared" ref="AT563:AT573" si="130">VLOOKUP(C563,AW:AX,2,FALSE)</f>
        <v>#N/A</v>
      </c>
      <c r="BZ563" s="71"/>
      <c r="CD563" s="20" t="e">
        <f t="shared" si="107"/>
        <v>#N/A</v>
      </c>
    </row>
    <row r="564" spans="1:82" ht="61.5" x14ac:dyDescent="0.85">
      <c r="A564" s="20">
        <v>1</v>
      </c>
      <c r="B564" s="66">
        <f>SUBTOTAL(103,$A$560:A564)</f>
        <v>5</v>
      </c>
      <c r="C564" s="24" t="s">
        <v>542</v>
      </c>
      <c r="D564" s="31">
        <f t="shared" si="129"/>
        <v>2570383.31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3">
        <v>0</v>
      </c>
      <c r="L564" s="31">
        <v>0</v>
      </c>
      <c r="M564" s="31">
        <v>520</v>
      </c>
      <c r="N564" s="31">
        <v>2433875.1800000002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1">
        <v>0</v>
      </c>
      <c r="AA564" s="31">
        <v>0</v>
      </c>
      <c r="AB564" s="31">
        <v>0</v>
      </c>
      <c r="AC564" s="31">
        <v>36508.129999999997</v>
      </c>
      <c r="AD564" s="31">
        <v>100000</v>
      </c>
      <c r="AE564" s="31">
        <v>0</v>
      </c>
      <c r="AF564" s="34">
        <v>2021</v>
      </c>
      <c r="AG564" s="34">
        <v>2021</v>
      </c>
      <c r="AH564" s="35">
        <v>2021</v>
      </c>
      <c r="AT564" s="20" t="e">
        <f t="shared" si="130"/>
        <v>#N/A</v>
      </c>
      <c r="BZ564" s="71"/>
      <c r="CD564" s="20" t="e">
        <f t="shared" si="107"/>
        <v>#N/A</v>
      </c>
    </row>
    <row r="565" spans="1:82" ht="61.5" x14ac:dyDescent="0.85">
      <c r="A565" s="20">
        <v>1</v>
      </c>
      <c r="B565" s="66">
        <f>SUBTOTAL(103,$A$560:A565)</f>
        <v>6</v>
      </c>
      <c r="C565" s="24" t="s">
        <v>543</v>
      </c>
      <c r="D565" s="31">
        <f t="shared" si="129"/>
        <v>4554037.87</v>
      </c>
      <c r="E565" s="31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3">
        <v>0</v>
      </c>
      <c r="L565" s="31">
        <v>0</v>
      </c>
      <c r="M565" s="31">
        <v>925.13</v>
      </c>
      <c r="N565" s="31">
        <v>4388214.6500000004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65823.22</v>
      </c>
      <c r="AD565" s="31">
        <v>100000</v>
      </c>
      <c r="AE565" s="31">
        <v>0</v>
      </c>
      <c r="AF565" s="34">
        <v>2021</v>
      </c>
      <c r="AG565" s="34">
        <v>2021</v>
      </c>
      <c r="AH565" s="35">
        <v>2021</v>
      </c>
      <c r="AT565" s="20" t="e">
        <f t="shared" si="130"/>
        <v>#N/A</v>
      </c>
      <c r="BZ565" s="71"/>
      <c r="CD565" s="20" t="e">
        <f t="shared" si="107"/>
        <v>#N/A</v>
      </c>
    </row>
    <row r="566" spans="1:82" ht="61.5" x14ac:dyDescent="0.85">
      <c r="A566" s="20">
        <v>1</v>
      </c>
      <c r="B566" s="66">
        <f>SUBTOTAL(103,$A$560:A566)</f>
        <v>7</v>
      </c>
      <c r="C566" s="24" t="s">
        <v>544</v>
      </c>
      <c r="D566" s="31">
        <f t="shared" si="129"/>
        <v>3759019.5700000003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3">
        <v>0</v>
      </c>
      <c r="L566" s="31">
        <v>0</v>
      </c>
      <c r="M566" s="31">
        <v>760</v>
      </c>
      <c r="N566" s="31">
        <v>3604945.39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0</v>
      </c>
      <c r="AA566" s="31">
        <v>0</v>
      </c>
      <c r="AB566" s="31">
        <v>0</v>
      </c>
      <c r="AC566" s="31">
        <v>54074.18</v>
      </c>
      <c r="AD566" s="31">
        <v>100000</v>
      </c>
      <c r="AE566" s="31">
        <v>0</v>
      </c>
      <c r="AF566" s="34">
        <v>2021</v>
      </c>
      <c r="AG566" s="34">
        <v>2021</v>
      </c>
      <c r="AH566" s="35">
        <v>2021</v>
      </c>
      <c r="AT566" s="20" t="e">
        <f t="shared" si="130"/>
        <v>#N/A</v>
      </c>
      <c r="BZ566" s="71"/>
      <c r="CD566" s="20" t="e">
        <f t="shared" si="107"/>
        <v>#N/A</v>
      </c>
    </row>
    <row r="567" spans="1:82" ht="61.5" x14ac:dyDescent="0.85">
      <c r="A567" s="20">
        <v>1</v>
      </c>
      <c r="B567" s="66">
        <f>SUBTOTAL(103,$A$560:A567)</f>
        <v>8</v>
      </c>
      <c r="C567" s="24" t="s">
        <v>545</v>
      </c>
      <c r="D567" s="31">
        <f t="shared" si="129"/>
        <v>2589386.2599999998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3">
        <v>0</v>
      </c>
      <c r="L567" s="31">
        <v>0</v>
      </c>
      <c r="M567" s="31">
        <v>524</v>
      </c>
      <c r="N567" s="31">
        <v>2452597.2999999998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v>36788.959999999999</v>
      </c>
      <c r="AD567" s="31">
        <v>100000</v>
      </c>
      <c r="AE567" s="31">
        <v>0</v>
      </c>
      <c r="AF567" s="34">
        <v>2021</v>
      </c>
      <c r="AG567" s="34">
        <v>2021</v>
      </c>
      <c r="AH567" s="35">
        <v>2021</v>
      </c>
      <c r="AT567" s="20" t="e">
        <f t="shared" si="130"/>
        <v>#N/A</v>
      </c>
      <c r="BZ567" s="71"/>
      <c r="CD567" s="20" t="e">
        <f t="shared" ref="CD567:CD630" si="131">VLOOKUP(C567,CE:CF,2,FALSE)</f>
        <v>#N/A</v>
      </c>
    </row>
    <row r="568" spans="1:82" ht="61.5" x14ac:dyDescent="0.85">
      <c r="A568" s="20">
        <v>1</v>
      </c>
      <c r="B568" s="66">
        <f>SUBTOTAL(103,$A$560:A568)</f>
        <v>9</v>
      </c>
      <c r="C568" s="24" t="s">
        <v>546</v>
      </c>
      <c r="D568" s="31">
        <f t="shared" si="129"/>
        <v>5092635.92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3">
        <v>0</v>
      </c>
      <c r="L568" s="31">
        <v>0</v>
      </c>
      <c r="M568" s="31">
        <v>1037</v>
      </c>
      <c r="N568" s="31">
        <v>4918853.12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73782.8</v>
      </c>
      <c r="AD568" s="31">
        <v>100000</v>
      </c>
      <c r="AE568" s="31">
        <v>0</v>
      </c>
      <c r="AF568" s="34">
        <v>2021</v>
      </c>
      <c r="AG568" s="34">
        <v>2021</v>
      </c>
      <c r="AH568" s="35">
        <v>2021</v>
      </c>
      <c r="AT568" s="20" t="e">
        <f t="shared" si="130"/>
        <v>#N/A</v>
      </c>
      <c r="BZ568" s="71"/>
      <c r="CD568" s="20" t="e">
        <f t="shared" si="131"/>
        <v>#N/A</v>
      </c>
    </row>
    <row r="569" spans="1:82" ht="61.5" x14ac:dyDescent="0.85">
      <c r="A569" s="20">
        <v>1</v>
      </c>
      <c r="B569" s="66">
        <f>SUBTOTAL(103,$A$560:A569)</f>
        <v>10</v>
      </c>
      <c r="C569" s="24" t="s">
        <v>549</v>
      </c>
      <c r="D569" s="31">
        <f>E569+F569+G569+H569+I569+J569+L569+N569+P569+R569+T569+U569+V569+W569+X569+Y569+Z569+AA569+AB569+AC569+AD569+AE569</f>
        <v>5145091.9399999995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3">
        <v>0</v>
      </c>
      <c r="L569" s="31">
        <v>0</v>
      </c>
      <c r="M569" s="31">
        <v>1062</v>
      </c>
      <c r="N569" s="31">
        <v>4970533.93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74558.009999999995</v>
      </c>
      <c r="AD569" s="31">
        <v>100000</v>
      </c>
      <c r="AE569" s="31">
        <v>0</v>
      </c>
      <c r="AF569" s="34">
        <v>2021</v>
      </c>
      <c r="AG569" s="34">
        <v>2021</v>
      </c>
      <c r="AH569" s="35">
        <v>2021</v>
      </c>
      <c r="AT569" s="20" t="e">
        <f t="shared" si="130"/>
        <v>#N/A</v>
      </c>
      <c r="BZ569" s="71"/>
      <c r="CD569" s="20" t="e">
        <f t="shared" si="131"/>
        <v>#N/A</v>
      </c>
    </row>
    <row r="570" spans="1:82" ht="61.5" x14ac:dyDescent="0.85">
      <c r="A570" s="20">
        <v>1</v>
      </c>
      <c r="B570" s="66">
        <f>SUBTOTAL(103,$A$560:A570)</f>
        <v>11</v>
      </c>
      <c r="C570" s="24" t="s">
        <v>548</v>
      </c>
      <c r="D570" s="31">
        <f t="shared" si="129"/>
        <v>5398710.1299999999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3">
        <v>0</v>
      </c>
      <c r="L570" s="31">
        <v>0</v>
      </c>
      <c r="M570" s="31">
        <v>1068</v>
      </c>
      <c r="N570" s="31">
        <v>5220404.07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78306.06</v>
      </c>
      <c r="AD570" s="31">
        <v>100000</v>
      </c>
      <c r="AE570" s="31">
        <v>0</v>
      </c>
      <c r="AF570" s="34">
        <v>2021</v>
      </c>
      <c r="AG570" s="34">
        <v>2021</v>
      </c>
      <c r="AH570" s="35">
        <v>2021</v>
      </c>
      <c r="AT570" s="20" t="e">
        <f t="shared" si="130"/>
        <v>#N/A</v>
      </c>
      <c r="BZ570" s="71"/>
      <c r="CD570" s="20" t="e">
        <f t="shared" si="131"/>
        <v>#N/A</v>
      </c>
    </row>
    <row r="571" spans="1:82" ht="61.5" x14ac:dyDescent="0.85">
      <c r="A571" s="20">
        <v>1</v>
      </c>
      <c r="B571" s="66">
        <f>SUBTOTAL(103,$A$560:A571)</f>
        <v>12</v>
      </c>
      <c r="C571" s="24" t="s">
        <v>810</v>
      </c>
      <c r="D571" s="31">
        <f t="shared" si="129"/>
        <v>2739901.57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3">
        <v>0</v>
      </c>
      <c r="L571" s="31">
        <v>0</v>
      </c>
      <c r="M571" s="31">
        <v>635</v>
      </c>
      <c r="N571" s="31">
        <v>2600888.25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39013.32</v>
      </c>
      <c r="AD571" s="31">
        <v>100000</v>
      </c>
      <c r="AE571" s="31">
        <v>0</v>
      </c>
      <c r="AF571" s="34">
        <v>2021</v>
      </c>
      <c r="AG571" s="34">
        <v>2021</v>
      </c>
      <c r="AH571" s="35">
        <v>2021</v>
      </c>
      <c r="AT571" s="20" t="e">
        <f t="shared" si="130"/>
        <v>#N/A</v>
      </c>
      <c r="BZ571" s="71"/>
      <c r="CD571" s="20" t="e">
        <f t="shared" si="131"/>
        <v>#N/A</v>
      </c>
    </row>
    <row r="572" spans="1:82" ht="61.5" x14ac:dyDescent="0.85">
      <c r="A572" s="20">
        <v>1</v>
      </c>
      <c r="B572" s="66">
        <f>SUBTOTAL(103,$A$560:A572)</f>
        <v>13</v>
      </c>
      <c r="C572" s="24" t="s">
        <v>551</v>
      </c>
      <c r="D572" s="31">
        <f t="shared" si="129"/>
        <v>5019175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3">
        <v>0</v>
      </c>
      <c r="L572" s="31">
        <v>0</v>
      </c>
      <c r="M572" s="31">
        <v>960</v>
      </c>
      <c r="N572" s="206">
        <v>4945000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206">
        <v>74175</v>
      </c>
      <c r="AD572" s="206">
        <v>0</v>
      </c>
      <c r="AE572" s="31">
        <v>0</v>
      </c>
      <c r="AF572" s="34" t="s">
        <v>271</v>
      </c>
      <c r="AG572" s="34">
        <v>2021</v>
      </c>
      <c r="AH572" s="35">
        <v>2021</v>
      </c>
      <c r="AT572" s="20" t="e">
        <f t="shared" si="130"/>
        <v>#N/A</v>
      </c>
      <c r="BZ572" s="71"/>
      <c r="CD572" s="20" t="e">
        <f t="shared" si="131"/>
        <v>#N/A</v>
      </c>
    </row>
    <row r="573" spans="1:82" ht="61.5" x14ac:dyDescent="0.85">
      <c r="A573" s="20">
        <v>1</v>
      </c>
      <c r="B573" s="66">
        <f>SUBTOTAL(103,$A$560:A573)</f>
        <v>14</v>
      </c>
      <c r="C573" s="24" t="s">
        <v>552</v>
      </c>
      <c r="D573" s="31">
        <f t="shared" si="129"/>
        <v>4077255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3">
        <v>0</v>
      </c>
      <c r="L573" s="31">
        <v>0</v>
      </c>
      <c r="M573" s="31">
        <v>775</v>
      </c>
      <c r="N573" s="206">
        <v>4017000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206">
        <v>60255</v>
      </c>
      <c r="AD573" s="206">
        <v>0</v>
      </c>
      <c r="AE573" s="31">
        <v>0</v>
      </c>
      <c r="AF573" s="34" t="s">
        <v>271</v>
      </c>
      <c r="AG573" s="34">
        <v>2021</v>
      </c>
      <c r="AH573" s="35">
        <v>2021</v>
      </c>
      <c r="AT573" s="20" t="e">
        <f t="shared" si="130"/>
        <v>#N/A</v>
      </c>
      <c r="BZ573" s="71"/>
      <c r="CD573" s="20" t="e">
        <f t="shared" si="131"/>
        <v>#N/A</v>
      </c>
    </row>
    <row r="574" spans="1:82" ht="61.5" x14ac:dyDescent="0.85">
      <c r="A574" s="20">
        <v>1</v>
      </c>
      <c r="B574" s="66">
        <f>SUBTOTAL(103,$A$560:A574)</f>
        <v>15</v>
      </c>
      <c r="C574" s="24" t="s">
        <v>1416</v>
      </c>
      <c r="D574" s="31">
        <f t="shared" si="129"/>
        <v>5691105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3">
        <v>0</v>
      </c>
      <c r="L574" s="31">
        <v>0</v>
      </c>
      <c r="M574" s="31">
        <v>1207.0999999999999</v>
      </c>
      <c r="N574" s="206">
        <v>5607000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206">
        <v>84105</v>
      </c>
      <c r="AD574" s="206">
        <v>0</v>
      </c>
      <c r="AE574" s="31">
        <v>0</v>
      </c>
      <c r="AF574" s="34" t="s">
        <v>271</v>
      </c>
      <c r="AG574" s="34">
        <v>2021</v>
      </c>
      <c r="AH574" s="35">
        <v>2021</v>
      </c>
      <c r="BZ574" s="71"/>
      <c r="CD574" s="20" t="e">
        <f t="shared" si="131"/>
        <v>#N/A</v>
      </c>
    </row>
    <row r="575" spans="1:82" ht="61.5" x14ac:dyDescent="0.85">
      <c r="A575" s="20">
        <v>1</v>
      </c>
      <c r="B575" s="66">
        <f>SUBTOTAL(103,$A$560:A575)</f>
        <v>16</v>
      </c>
      <c r="C575" s="24" t="s">
        <v>811</v>
      </c>
      <c r="D575" s="31">
        <f t="shared" si="129"/>
        <v>3110127.71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3">
        <v>0</v>
      </c>
      <c r="L575" s="31">
        <v>0</v>
      </c>
      <c r="M575" s="31">
        <v>700</v>
      </c>
      <c r="N575" s="31">
        <v>2867120.9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43006.81</v>
      </c>
      <c r="AD575" s="31">
        <v>200000</v>
      </c>
      <c r="AE575" s="31">
        <v>0</v>
      </c>
      <c r="AF575" s="34">
        <v>2021</v>
      </c>
      <c r="AG575" s="34">
        <v>2021</v>
      </c>
      <c r="AH575" s="35">
        <v>2021</v>
      </c>
      <c r="AT575" s="20" t="e">
        <f t="shared" ref="AT575:AT587" si="132">VLOOKUP(C575,AW:AX,2,FALSE)</f>
        <v>#N/A</v>
      </c>
      <c r="BZ575" s="71"/>
      <c r="CD575" s="20" t="e">
        <f t="shared" si="131"/>
        <v>#N/A</v>
      </c>
    </row>
    <row r="576" spans="1:82" ht="61.5" x14ac:dyDescent="0.85">
      <c r="A576" s="20">
        <v>1</v>
      </c>
      <c r="B576" s="66">
        <f>SUBTOTAL(103,$A$560:A576)</f>
        <v>17</v>
      </c>
      <c r="C576" s="24" t="s">
        <v>554</v>
      </c>
      <c r="D576" s="31">
        <f t="shared" si="129"/>
        <v>1126135.8999999999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3">
        <v>0</v>
      </c>
      <c r="L576" s="31">
        <v>0</v>
      </c>
      <c r="M576" s="31">
        <v>210</v>
      </c>
      <c r="N576" s="31">
        <v>996103.33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14941.55</v>
      </c>
      <c r="AD576" s="31">
        <v>115091.02</v>
      </c>
      <c r="AE576" s="31">
        <v>0</v>
      </c>
      <c r="AF576" s="34">
        <v>2021</v>
      </c>
      <c r="AG576" s="34">
        <v>2021</v>
      </c>
      <c r="AH576" s="35">
        <v>2021</v>
      </c>
      <c r="AT576" s="20" t="e">
        <f t="shared" si="132"/>
        <v>#N/A</v>
      </c>
      <c r="BZ576" s="71"/>
      <c r="CD576" s="20" t="e">
        <f t="shared" si="131"/>
        <v>#N/A</v>
      </c>
    </row>
    <row r="577" spans="1:82" ht="61.5" x14ac:dyDescent="0.85">
      <c r="A577" s="20">
        <v>1</v>
      </c>
      <c r="B577" s="66">
        <f>SUBTOTAL(103,$A$560:A577)</f>
        <v>18</v>
      </c>
      <c r="C577" s="24" t="s">
        <v>555</v>
      </c>
      <c r="D577" s="31">
        <f t="shared" si="129"/>
        <v>4057359.23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3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940.98</v>
      </c>
      <c r="R577" s="31">
        <v>3849615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57744.23</v>
      </c>
      <c r="AD577" s="31">
        <v>150000</v>
      </c>
      <c r="AE577" s="31">
        <v>0</v>
      </c>
      <c r="AF577" s="34">
        <v>2021</v>
      </c>
      <c r="AG577" s="34">
        <v>2021</v>
      </c>
      <c r="AH577" s="35">
        <v>2021</v>
      </c>
      <c r="AT577" s="20" t="e">
        <f t="shared" si="132"/>
        <v>#N/A</v>
      </c>
      <c r="BZ577" s="71"/>
      <c r="CD577" s="20" t="e">
        <f t="shared" si="131"/>
        <v>#N/A</v>
      </c>
    </row>
    <row r="578" spans="1:82" ht="61.5" x14ac:dyDescent="0.85">
      <c r="A578" s="20">
        <v>1</v>
      </c>
      <c r="B578" s="66">
        <f>SUBTOTAL(103,$A$560:A578)</f>
        <v>19</v>
      </c>
      <c r="C578" s="24" t="s">
        <v>556</v>
      </c>
      <c r="D578" s="31">
        <f t="shared" si="129"/>
        <v>2760412.39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3">
        <v>0</v>
      </c>
      <c r="L578" s="31">
        <v>0</v>
      </c>
      <c r="M578" s="31">
        <v>560</v>
      </c>
      <c r="N578" s="31">
        <v>2621095.9500000002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39316.44</v>
      </c>
      <c r="AD578" s="31">
        <v>100000</v>
      </c>
      <c r="AE578" s="31">
        <v>0</v>
      </c>
      <c r="AF578" s="34">
        <v>2021</v>
      </c>
      <c r="AG578" s="34">
        <v>2021</v>
      </c>
      <c r="AH578" s="35">
        <v>2021</v>
      </c>
      <c r="AT578" s="20" t="e">
        <f t="shared" si="132"/>
        <v>#N/A</v>
      </c>
      <c r="BZ578" s="71"/>
      <c r="CD578" s="20" t="e">
        <f t="shared" si="131"/>
        <v>#N/A</v>
      </c>
    </row>
    <row r="579" spans="1:82" ht="61.5" x14ac:dyDescent="0.85">
      <c r="A579" s="20">
        <v>1</v>
      </c>
      <c r="B579" s="66">
        <f>SUBTOTAL(103,$A$560:A579)</f>
        <v>20</v>
      </c>
      <c r="C579" s="24" t="s">
        <v>813</v>
      </c>
      <c r="D579" s="31">
        <f t="shared" si="129"/>
        <v>5592560.8499999996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3">
        <v>0</v>
      </c>
      <c r="L579" s="31">
        <v>0</v>
      </c>
      <c r="M579" s="31">
        <v>1391</v>
      </c>
      <c r="N579" s="31">
        <v>5411390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81170.850000000006</v>
      </c>
      <c r="AD579" s="31">
        <v>100000</v>
      </c>
      <c r="AE579" s="31">
        <v>0</v>
      </c>
      <c r="AF579" s="34">
        <v>2021</v>
      </c>
      <c r="AG579" s="34">
        <v>2021</v>
      </c>
      <c r="AH579" s="35">
        <v>2021</v>
      </c>
      <c r="AT579" s="20" t="e">
        <f t="shared" si="132"/>
        <v>#N/A</v>
      </c>
      <c r="BZ579" s="71"/>
      <c r="CD579" s="20" t="e">
        <f t="shared" si="131"/>
        <v>#N/A</v>
      </c>
    </row>
    <row r="580" spans="1:82" ht="61.5" x14ac:dyDescent="0.85">
      <c r="A580" s="20">
        <v>1</v>
      </c>
      <c r="B580" s="66">
        <f>SUBTOTAL(103,$A$560:A580)</f>
        <v>21</v>
      </c>
      <c r="C580" s="24" t="s">
        <v>557</v>
      </c>
      <c r="D580" s="31">
        <f t="shared" si="129"/>
        <v>4005106.45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3">
        <v>0</v>
      </c>
      <c r="L580" s="31">
        <v>0</v>
      </c>
      <c r="M580" s="31">
        <v>822</v>
      </c>
      <c r="N580" s="31">
        <v>3847395.52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57710.93</v>
      </c>
      <c r="AD580" s="31">
        <v>100000</v>
      </c>
      <c r="AE580" s="31">
        <v>0</v>
      </c>
      <c r="AF580" s="34">
        <v>2021</v>
      </c>
      <c r="AG580" s="34">
        <v>2021</v>
      </c>
      <c r="AH580" s="35">
        <v>2021</v>
      </c>
      <c r="AT580" s="20" t="e">
        <f t="shared" si="132"/>
        <v>#N/A</v>
      </c>
      <c r="BZ580" s="71"/>
      <c r="CD580" s="20" t="e">
        <f t="shared" si="131"/>
        <v>#N/A</v>
      </c>
    </row>
    <row r="581" spans="1:82" ht="61.5" x14ac:dyDescent="0.85">
      <c r="A581" s="20">
        <v>1</v>
      </c>
      <c r="B581" s="66">
        <f>SUBTOTAL(103,$A$560:A581)</f>
        <v>22</v>
      </c>
      <c r="C581" s="24" t="s">
        <v>559</v>
      </c>
      <c r="D581" s="31">
        <f t="shared" si="129"/>
        <v>4448638.5999999996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3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1047.25</v>
      </c>
      <c r="R581" s="31">
        <v>4284373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v>64265.599999999999</v>
      </c>
      <c r="AD581" s="31">
        <v>100000</v>
      </c>
      <c r="AE581" s="31">
        <v>0</v>
      </c>
      <c r="AF581" s="34">
        <v>2021</v>
      </c>
      <c r="AG581" s="34">
        <v>2021</v>
      </c>
      <c r="AH581" s="35">
        <v>2021</v>
      </c>
      <c r="AT581" s="20" t="e">
        <f t="shared" si="132"/>
        <v>#N/A</v>
      </c>
      <c r="BZ581" s="71"/>
      <c r="CD581" s="20" t="e">
        <f t="shared" si="131"/>
        <v>#N/A</v>
      </c>
    </row>
    <row r="582" spans="1:82" ht="61.5" x14ac:dyDescent="0.85">
      <c r="A582" s="20">
        <v>1</v>
      </c>
      <c r="B582" s="66">
        <f>SUBTOTAL(103,$A$560:A582)</f>
        <v>23</v>
      </c>
      <c r="C582" s="24" t="s">
        <v>1651</v>
      </c>
      <c r="D582" s="31">
        <f t="shared" si="129"/>
        <v>2397304.5699999998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3">
        <v>0</v>
      </c>
      <c r="L582" s="31">
        <v>0</v>
      </c>
      <c r="M582" s="31">
        <v>485</v>
      </c>
      <c r="N582" s="31">
        <v>2263354.2599999998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v>33950.31</v>
      </c>
      <c r="AD582" s="31">
        <v>100000</v>
      </c>
      <c r="AE582" s="31">
        <v>0</v>
      </c>
      <c r="AF582" s="34">
        <v>2021</v>
      </c>
      <c r="AG582" s="34">
        <v>2021</v>
      </c>
      <c r="AH582" s="35">
        <v>2021</v>
      </c>
      <c r="AT582" s="20" t="e">
        <f t="shared" si="132"/>
        <v>#N/A</v>
      </c>
      <c r="BZ582" s="71"/>
      <c r="CD582" s="20" t="e">
        <f t="shared" si="131"/>
        <v>#N/A</v>
      </c>
    </row>
    <row r="583" spans="1:82" ht="61.5" x14ac:dyDescent="0.85">
      <c r="A583" s="20">
        <v>1</v>
      </c>
      <c r="B583" s="66">
        <f>SUBTOTAL(103,$A$560:A583)</f>
        <v>24</v>
      </c>
      <c r="C583" s="24" t="s">
        <v>560</v>
      </c>
      <c r="D583" s="31">
        <f t="shared" si="129"/>
        <v>2564514.5199999996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3">
        <v>0</v>
      </c>
      <c r="L583" s="31">
        <v>0</v>
      </c>
      <c r="M583" s="31">
        <v>606</v>
      </c>
      <c r="N583" s="31">
        <v>2425477.84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36382.17</v>
      </c>
      <c r="AD583" s="31">
        <v>102654.51</v>
      </c>
      <c r="AE583" s="31">
        <v>0</v>
      </c>
      <c r="AF583" s="34">
        <v>2021</v>
      </c>
      <c r="AG583" s="34">
        <v>2021</v>
      </c>
      <c r="AH583" s="35">
        <v>2021</v>
      </c>
      <c r="AT583" s="20" t="e">
        <f t="shared" si="132"/>
        <v>#N/A</v>
      </c>
      <c r="BZ583" s="71"/>
      <c r="CD583" s="20" t="e">
        <f t="shared" si="131"/>
        <v>#N/A</v>
      </c>
    </row>
    <row r="584" spans="1:82" ht="61.5" x14ac:dyDescent="0.85">
      <c r="A584" s="20">
        <v>1</v>
      </c>
      <c r="B584" s="66">
        <f>SUBTOTAL(103,$A$560:A584)</f>
        <v>25</v>
      </c>
      <c r="C584" s="24" t="s">
        <v>562</v>
      </c>
      <c r="D584" s="31">
        <f t="shared" si="129"/>
        <v>5133796.7</v>
      </c>
      <c r="E584" s="31">
        <v>0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3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206">
        <v>1160</v>
      </c>
      <c r="R584" s="206">
        <v>4959405.62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74391.08</v>
      </c>
      <c r="AD584" s="31">
        <v>100000</v>
      </c>
      <c r="AE584" s="31">
        <v>0</v>
      </c>
      <c r="AF584" s="34">
        <v>2021</v>
      </c>
      <c r="AG584" s="34">
        <v>2021</v>
      </c>
      <c r="AH584" s="35">
        <v>2021</v>
      </c>
      <c r="AT584" s="20" t="e">
        <f t="shared" si="132"/>
        <v>#N/A</v>
      </c>
      <c r="BZ584" s="71"/>
      <c r="CD584" s="20" t="e">
        <f t="shared" si="131"/>
        <v>#N/A</v>
      </c>
    </row>
    <row r="585" spans="1:82" ht="61.5" x14ac:dyDescent="0.85">
      <c r="A585" s="20">
        <v>1</v>
      </c>
      <c r="B585" s="66">
        <f>SUBTOTAL(103,$A$560:A585)</f>
        <v>26</v>
      </c>
      <c r="C585" s="24" t="s">
        <v>563</v>
      </c>
      <c r="D585" s="31">
        <f t="shared" si="129"/>
        <v>2171781.17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3">
        <v>0</v>
      </c>
      <c r="L585" s="31">
        <v>0</v>
      </c>
      <c r="M585" s="31">
        <v>432.6</v>
      </c>
      <c r="N585" s="31">
        <v>2070720.36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0</v>
      </c>
      <c r="U585" s="31">
        <v>0</v>
      </c>
      <c r="V585" s="31">
        <v>0</v>
      </c>
      <c r="W585" s="31">
        <v>0</v>
      </c>
      <c r="X585" s="31">
        <v>0</v>
      </c>
      <c r="Y585" s="31">
        <v>0</v>
      </c>
      <c r="Z585" s="31">
        <v>0</v>
      </c>
      <c r="AA585" s="31">
        <v>0</v>
      </c>
      <c r="AB585" s="31">
        <v>0</v>
      </c>
      <c r="AC585" s="31">
        <v>31060.81</v>
      </c>
      <c r="AD585" s="31">
        <v>70000</v>
      </c>
      <c r="AE585" s="31">
        <v>0</v>
      </c>
      <c r="AF585" s="34">
        <v>2021</v>
      </c>
      <c r="AG585" s="34">
        <v>2021</v>
      </c>
      <c r="AH585" s="35">
        <v>2021</v>
      </c>
      <c r="AT585" s="20" t="e">
        <f t="shared" si="132"/>
        <v>#N/A</v>
      </c>
      <c r="BZ585" s="71"/>
      <c r="CD585" s="20" t="e">
        <f t="shared" si="131"/>
        <v>#N/A</v>
      </c>
    </row>
    <row r="586" spans="1:82" ht="61.5" x14ac:dyDescent="0.85">
      <c r="A586" s="20">
        <v>1</v>
      </c>
      <c r="B586" s="66">
        <f>SUBTOTAL(103,$A$560:A586)</f>
        <v>27</v>
      </c>
      <c r="C586" s="24" t="s">
        <v>564</v>
      </c>
      <c r="D586" s="31">
        <f t="shared" si="129"/>
        <v>763048.75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3">
        <v>0</v>
      </c>
      <c r="L586" s="31">
        <v>0</v>
      </c>
      <c r="M586" s="31">
        <v>185.8</v>
      </c>
      <c r="N586" s="31">
        <v>653250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9798.75</v>
      </c>
      <c r="AD586" s="31">
        <v>100000</v>
      </c>
      <c r="AE586" s="31">
        <v>0</v>
      </c>
      <c r="AF586" s="34">
        <v>2021</v>
      </c>
      <c r="AG586" s="34">
        <v>2021</v>
      </c>
      <c r="AH586" s="35">
        <v>2021</v>
      </c>
      <c r="AT586" s="20" t="e">
        <f t="shared" si="132"/>
        <v>#N/A</v>
      </c>
      <c r="BZ586" s="71"/>
      <c r="CD586" s="20" t="e">
        <f t="shared" si="131"/>
        <v>#N/A</v>
      </c>
    </row>
    <row r="587" spans="1:82" ht="61.5" x14ac:dyDescent="0.85">
      <c r="A587" s="20">
        <v>1</v>
      </c>
      <c r="B587" s="66">
        <f>SUBTOTAL(103,$A$560:A587)</f>
        <v>28</v>
      </c>
      <c r="C587" s="24" t="s">
        <v>565</v>
      </c>
      <c r="D587" s="31">
        <f t="shared" si="129"/>
        <v>2794940.58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3">
        <v>0</v>
      </c>
      <c r="L587" s="31">
        <v>0</v>
      </c>
      <c r="M587" s="31">
        <v>642</v>
      </c>
      <c r="N587" s="31">
        <v>2655113.87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39826.71</v>
      </c>
      <c r="AD587" s="31">
        <v>100000</v>
      </c>
      <c r="AE587" s="31">
        <v>0</v>
      </c>
      <c r="AF587" s="34">
        <v>2021</v>
      </c>
      <c r="AG587" s="34">
        <v>2021</v>
      </c>
      <c r="AH587" s="35">
        <v>2021</v>
      </c>
      <c r="AT587" s="20" t="e">
        <f t="shared" si="132"/>
        <v>#N/A</v>
      </c>
      <c r="BZ587" s="71"/>
      <c r="CD587" s="20" t="e">
        <f t="shared" si="131"/>
        <v>#N/A</v>
      </c>
    </row>
    <row r="588" spans="1:82" ht="61.5" x14ac:dyDescent="0.85">
      <c r="A588" s="20">
        <v>1</v>
      </c>
      <c r="B588" s="66">
        <f>SUBTOTAL(103,$A$560:A588)</f>
        <v>29</v>
      </c>
      <c r="C588" s="24" t="s">
        <v>1636</v>
      </c>
      <c r="D588" s="31">
        <f t="shared" si="129"/>
        <v>9602513.2699999996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3">
        <v>0</v>
      </c>
      <c r="L588" s="31">
        <v>0</v>
      </c>
      <c r="M588" s="31">
        <v>2300</v>
      </c>
      <c r="N588" s="31">
        <v>9362082.0399999991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140431.23000000001</v>
      </c>
      <c r="AD588" s="31">
        <v>100000</v>
      </c>
      <c r="AE588" s="31">
        <v>0</v>
      </c>
      <c r="AF588" s="34">
        <v>2021</v>
      </c>
      <c r="AG588" s="34">
        <v>2021</v>
      </c>
      <c r="AH588" s="35">
        <v>2021</v>
      </c>
      <c r="BZ588" s="71"/>
      <c r="CD588" s="20" t="e">
        <f t="shared" si="131"/>
        <v>#N/A</v>
      </c>
    </row>
    <row r="589" spans="1:82" ht="61.5" x14ac:dyDescent="0.85">
      <c r="A589" s="20">
        <v>1</v>
      </c>
      <c r="B589" s="66">
        <f>SUBTOTAL(103,$A$560:A589)</f>
        <v>30</v>
      </c>
      <c r="C589" s="24" t="s">
        <v>566</v>
      </c>
      <c r="D589" s="31">
        <f t="shared" si="129"/>
        <v>5877399.3300000001</v>
      </c>
      <c r="E589" s="31">
        <v>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3">
        <v>0</v>
      </c>
      <c r="L589" s="31">
        <v>0</v>
      </c>
      <c r="M589" s="31">
        <v>1200</v>
      </c>
      <c r="N589" s="31">
        <v>5692019.04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0</v>
      </c>
      <c r="U589" s="31">
        <v>0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31">
        <v>0</v>
      </c>
      <c r="AB589" s="31">
        <v>0</v>
      </c>
      <c r="AC589" s="31">
        <v>85380.29</v>
      </c>
      <c r="AD589" s="31">
        <v>100000</v>
      </c>
      <c r="AE589" s="31">
        <v>0</v>
      </c>
      <c r="AF589" s="34">
        <v>2021</v>
      </c>
      <c r="AG589" s="34">
        <v>2021</v>
      </c>
      <c r="AH589" s="35">
        <v>2021</v>
      </c>
      <c r="AT589" s="20" t="e">
        <f>VLOOKUP(C589,AW:AX,2,FALSE)</f>
        <v>#N/A</v>
      </c>
      <c r="BZ589" s="71"/>
      <c r="CD589" s="20" t="e">
        <f t="shared" si="131"/>
        <v>#N/A</v>
      </c>
    </row>
    <row r="590" spans="1:82" ht="61.5" x14ac:dyDescent="0.85">
      <c r="A590" s="20">
        <v>1</v>
      </c>
      <c r="B590" s="66">
        <f>SUBTOTAL(103,$A$560:A590)</f>
        <v>31</v>
      </c>
      <c r="C590" s="24" t="s">
        <v>567</v>
      </c>
      <c r="D590" s="31">
        <f t="shared" si="129"/>
        <v>2102735.67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3">
        <v>0</v>
      </c>
      <c r="L590" s="31">
        <v>0</v>
      </c>
      <c r="M590" s="31">
        <v>483</v>
      </c>
      <c r="N590" s="31">
        <v>1973138.59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29597.08</v>
      </c>
      <c r="AD590" s="31">
        <v>100000</v>
      </c>
      <c r="AE590" s="31">
        <v>0</v>
      </c>
      <c r="AF590" s="34">
        <v>2021</v>
      </c>
      <c r="AG590" s="34">
        <v>2021</v>
      </c>
      <c r="AH590" s="35">
        <v>2021</v>
      </c>
      <c r="AT590" s="20" t="e">
        <f>VLOOKUP(C590,AW:AX,2,FALSE)</f>
        <v>#N/A</v>
      </c>
      <c r="BZ590" s="71"/>
      <c r="CD590" s="20" t="e">
        <f t="shared" si="131"/>
        <v>#N/A</v>
      </c>
    </row>
    <row r="591" spans="1:82" ht="61.5" x14ac:dyDescent="0.85">
      <c r="A591" s="20">
        <v>1</v>
      </c>
      <c r="B591" s="66">
        <f>SUBTOTAL(103,$A$560:A591)</f>
        <v>32</v>
      </c>
      <c r="C591" s="24" t="s">
        <v>568</v>
      </c>
      <c r="D591" s="31">
        <f t="shared" si="129"/>
        <v>2323274.2000000002</v>
      </c>
      <c r="E591" s="31">
        <v>0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3">
        <v>0</v>
      </c>
      <c r="L591" s="31">
        <v>0</v>
      </c>
      <c r="M591" s="31">
        <v>506.2</v>
      </c>
      <c r="N591" s="31">
        <v>2190417.9300000002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>
        <v>0</v>
      </c>
      <c r="V591" s="31">
        <v>0</v>
      </c>
      <c r="W591" s="31">
        <v>0</v>
      </c>
      <c r="X591" s="31">
        <v>0</v>
      </c>
      <c r="Y591" s="31">
        <v>0</v>
      </c>
      <c r="Z591" s="31">
        <v>0</v>
      </c>
      <c r="AA591" s="31">
        <v>0</v>
      </c>
      <c r="AB591" s="31">
        <v>0</v>
      </c>
      <c r="AC591" s="31">
        <v>32856.269999999997</v>
      </c>
      <c r="AD591" s="31">
        <v>100000</v>
      </c>
      <c r="AE591" s="31">
        <v>0</v>
      </c>
      <c r="AF591" s="34">
        <v>2021</v>
      </c>
      <c r="AG591" s="34">
        <v>2021</v>
      </c>
      <c r="AH591" s="35">
        <v>2021</v>
      </c>
      <c r="AT591" s="20" t="e">
        <f>VLOOKUP(C591,AW:AX,2,FALSE)</f>
        <v>#N/A</v>
      </c>
      <c r="BZ591" s="71"/>
      <c r="CD591" s="20" t="e">
        <f t="shared" si="131"/>
        <v>#N/A</v>
      </c>
    </row>
    <row r="592" spans="1:82" ht="61.5" x14ac:dyDescent="0.85">
      <c r="A592" s="20">
        <v>1</v>
      </c>
      <c r="B592" s="66">
        <f>SUBTOTAL(103,$A$560:A592)</f>
        <v>33</v>
      </c>
      <c r="C592" s="24" t="s">
        <v>569</v>
      </c>
      <c r="D592" s="31">
        <f t="shared" si="129"/>
        <v>4748603.68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3">
        <v>0</v>
      </c>
      <c r="L592" s="31">
        <v>0</v>
      </c>
      <c r="M592" s="31">
        <v>960</v>
      </c>
      <c r="N592" s="31">
        <v>4579905.0999999996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68698.58</v>
      </c>
      <c r="AD592" s="31">
        <v>100000</v>
      </c>
      <c r="AE592" s="31">
        <v>0</v>
      </c>
      <c r="AF592" s="34">
        <v>2021</v>
      </c>
      <c r="AG592" s="34">
        <v>2021</v>
      </c>
      <c r="AH592" s="35">
        <v>2021</v>
      </c>
      <c r="BZ592" s="71"/>
      <c r="CD592" s="20" t="e">
        <f t="shared" si="131"/>
        <v>#N/A</v>
      </c>
    </row>
    <row r="593" spans="1:82" ht="61.5" x14ac:dyDescent="0.85">
      <c r="A593" s="20">
        <v>1</v>
      </c>
      <c r="B593" s="66">
        <f>SUBTOTAL(103,$A$560:A593)</f>
        <v>34</v>
      </c>
      <c r="C593" s="24" t="s">
        <v>570</v>
      </c>
      <c r="D593" s="31">
        <f t="shared" si="129"/>
        <v>3192730.04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3">
        <v>0</v>
      </c>
      <c r="L593" s="31">
        <v>0</v>
      </c>
      <c r="M593" s="31">
        <v>651</v>
      </c>
      <c r="N593" s="31">
        <v>3047024.67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45705.37</v>
      </c>
      <c r="AD593" s="31">
        <v>100000</v>
      </c>
      <c r="AE593" s="31">
        <v>0</v>
      </c>
      <c r="AF593" s="34">
        <v>2021</v>
      </c>
      <c r="AG593" s="34">
        <v>2021</v>
      </c>
      <c r="AH593" s="35">
        <v>2021</v>
      </c>
      <c r="AT593" s="20" t="e">
        <f>VLOOKUP(C593,AW:AX,2,FALSE)</f>
        <v>#N/A</v>
      </c>
      <c r="BZ593" s="71"/>
      <c r="CD593" s="20" t="e">
        <f t="shared" si="131"/>
        <v>#N/A</v>
      </c>
    </row>
    <row r="594" spans="1:82" ht="61.5" x14ac:dyDescent="0.85">
      <c r="A594" s="20">
        <v>1</v>
      </c>
      <c r="B594" s="66">
        <f>SUBTOTAL(103,$A$560:A594)</f>
        <v>35</v>
      </c>
      <c r="C594" s="24" t="s">
        <v>571</v>
      </c>
      <c r="D594" s="31">
        <f t="shared" si="129"/>
        <v>1265842.2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3">
        <v>0</v>
      </c>
      <c r="L594" s="31">
        <v>0</v>
      </c>
      <c r="M594" s="31">
        <v>287</v>
      </c>
      <c r="N594" s="31">
        <v>1148613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17229.2</v>
      </c>
      <c r="AD594" s="31">
        <v>100000</v>
      </c>
      <c r="AE594" s="31">
        <v>0</v>
      </c>
      <c r="AF594" s="34">
        <v>2021</v>
      </c>
      <c r="AG594" s="34">
        <v>2021</v>
      </c>
      <c r="AH594" s="35">
        <v>2021</v>
      </c>
      <c r="AT594" s="20" t="e">
        <f>VLOOKUP(C594,AW:AX,2,FALSE)</f>
        <v>#N/A</v>
      </c>
      <c r="BZ594" s="71"/>
      <c r="CD594" s="20" t="e">
        <f t="shared" si="131"/>
        <v>#N/A</v>
      </c>
    </row>
    <row r="595" spans="1:82" ht="61.5" x14ac:dyDescent="0.85">
      <c r="A595" s="20">
        <v>1</v>
      </c>
      <c r="B595" s="66">
        <f>SUBTOTAL(103,$A$560:A595)</f>
        <v>36</v>
      </c>
      <c r="C595" s="24" t="s">
        <v>572</v>
      </c>
      <c r="D595" s="31">
        <f t="shared" si="129"/>
        <v>3576070.0900000003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3">
        <v>0</v>
      </c>
      <c r="L595" s="31">
        <v>0</v>
      </c>
      <c r="M595" s="31">
        <v>722</v>
      </c>
      <c r="N595" s="31">
        <v>3424699.6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v>51370.49</v>
      </c>
      <c r="AD595" s="31">
        <v>100000</v>
      </c>
      <c r="AE595" s="31">
        <v>0</v>
      </c>
      <c r="AF595" s="34">
        <v>2021</v>
      </c>
      <c r="AG595" s="34">
        <v>2021</v>
      </c>
      <c r="AH595" s="35">
        <v>2021</v>
      </c>
      <c r="AT595" s="20" t="e">
        <f>VLOOKUP(C595,AW:AX,2,FALSE)</f>
        <v>#N/A</v>
      </c>
      <c r="BZ595" s="71"/>
      <c r="CD595" s="20" t="e">
        <f t="shared" si="131"/>
        <v>#N/A</v>
      </c>
    </row>
    <row r="596" spans="1:82" ht="61.5" x14ac:dyDescent="0.85">
      <c r="A596" s="20">
        <v>1</v>
      </c>
      <c r="B596" s="66">
        <f>SUBTOTAL(103,$A$560:A596)</f>
        <v>37</v>
      </c>
      <c r="C596" s="24" t="s">
        <v>573</v>
      </c>
      <c r="D596" s="31">
        <f t="shared" si="129"/>
        <v>8216874.9699999997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3">
        <v>0</v>
      </c>
      <c r="L596" s="31">
        <v>0</v>
      </c>
      <c r="M596" s="31">
        <v>1688</v>
      </c>
      <c r="N596" s="31">
        <v>8006773.3700000001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1">
        <v>120101.6</v>
      </c>
      <c r="AD596" s="31">
        <v>90000</v>
      </c>
      <c r="AE596" s="31">
        <v>0</v>
      </c>
      <c r="AF596" s="34">
        <v>2021</v>
      </c>
      <c r="AG596" s="34">
        <v>2021</v>
      </c>
      <c r="AH596" s="35">
        <v>2021</v>
      </c>
      <c r="AT596" s="20" t="e">
        <f>VLOOKUP(C596,AW:AX,2,FALSE)</f>
        <v>#N/A</v>
      </c>
      <c r="BZ596" s="71"/>
      <c r="CD596" s="20" t="e">
        <f t="shared" si="131"/>
        <v>#N/A</v>
      </c>
    </row>
    <row r="597" spans="1:82" ht="61.5" x14ac:dyDescent="0.85">
      <c r="A597" s="20">
        <v>1</v>
      </c>
      <c r="B597" s="66">
        <f>SUBTOTAL(103,$A$560:A597)</f>
        <v>38</v>
      </c>
      <c r="C597" s="24" t="s">
        <v>574</v>
      </c>
      <c r="D597" s="31">
        <f t="shared" si="129"/>
        <v>5458332.7699999996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3">
        <v>0</v>
      </c>
      <c r="L597" s="31">
        <v>0</v>
      </c>
      <c r="M597" s="31">
        <v>1130</v>
      </c>
      <c r="N597" s="31">
        <v>5288997.8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79334.97</v>
      </c>
      <c r="AD597" s="31">
        <v>90000</v>
      </c>
      <c r="AE597" s="31">
        <v>0</v>
      </c>
      <c r="AF597" s="34">
        <v>2021</v>
      </c>
      <c r="AG597" s="34">
        <v>2021</v>
      </c>
      <c r="AH597" s="35">
        <v>2021</v>
      </c>
      <c r="AT597" s="20" t="e">
        <f>VLOOKUP(C597,AW:AX,2,FALSE)</f>
        <v>#N/A</v>
      </c>
      <c r="BZ597" s="71"/>
      <c r="CD597" s="20" t="e">
        <f t="shared" si="131"/>
        <v>#N/A</v>
      </c>
    </row>
    <row r="598" spans="1:82" ht="61.5" x14ac:dyDescent="0.85">
      <c r="A598" s="20">
        <v>1</v>
      </c>
      <c r="B598" s="66">
        <f>SUBTOTAL(103,$A$560:A598)</f>
        <v>39</v>
      </c>
      <c r="C598" s="24" t="s">
        <v>1392</v>
      </c>
      <c r="D598" s="31">
        <f t="shared" si="129"/>
        <v>4022975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3">
        <v>0</v>
      </c>
      <c r="L598" s="31">
        <v>0</v>
      </c>
      <c r="M598" s="31">
        <v>756</v>
      </c>
      <c r="N598" s="206">
        <v>3865000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57975</v>
      </c>
      <c r="AD598" s="31">
        <v>100000</v>
      </c>
      <c r="AE598" s="31">
        <v>0</v>
      </c>
      <c r="AF598" s="34">
        <v>2021</v>
      </c>
      <c r="AG598" s="34">
        <v>2021</v>
      </c>
      <c r="AH598" s="35">
        <v>2021</v>
      </c>
      <c r="BZ598" s="71"/>
      <c r="CD598" s="20" t="e">
        <f t="shared" si="131"/>
        <v>#N/A</v>
      </c>
    </row>
    <row r="599" spans="1:82" ht="61.5" x14ac:dyDescent="0.85">
      <c r="A599" s="20">
        <v>1</v>
      </c>
      <c r="B599" s="66">
        <f>SUBTOTAL(103,$A$560:A599)</f>
        <v>40</v>
      </c>
      <c r="C599" s="24" t="s">
        <v>1393</v>
      </c>
      <c r="D599" s="31">
        <f t="shared" si="129"/>
        <v>3214943.65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3">
        <v>0</v>
      </c>
      <c r="L599" s="31">
        <v>0</v>
      </c>
      <c r="M599" s="31">
        <v>670</v>
      </c>
      <c r="N599" s="31">
        <v>3068910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46033.65</v>
      </c>
      <c r="AD599" s="31">
        <v>100000</v>
      </c>
      <c r="AE599" s="31">
        <v>0</v>
      </c>
      <c r="AF599" s="34">
        <v>2021</v>
      </c>
      <c r="AG599" s="34">
        <v>2021</v>
      </c>
      <c r="AH599" s="35">
        <v>2021</v>
      </c>
      <c r="BZ599" s="71"/>
      <c r="CD599" s="20" t="e">
        <f t="shared" si="131"/>
        <v>#N/A</v>
      </c>
    </row>
    <row r="600" spans="1:82" ht="61.5" x14ac:dyDescent="0.85">
      <c r="A600" s="20">
        <v>1</v>
      </c>
      <c r="B600" s="66">
        <f>SUBTOTAL(103,$A$560:A600)</f>
        <v>41</v>
      </c>
      <c r="C600" s="24" t="s">
        <v>1394</v>
      </c>
      <c r="D600" s="31">
        <f t="shared" si="129"/>
        <v>1335035.1000000001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3">
        <v>0</v>
      </c>
      <c r="L600" s="31">
        <v>0</v>
      </c>
      <c r="M600" s="31">
        <v>272.05</v>
      </c>
      <c r="N600" s="31">
        <v>1246340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v>18695.099999999999</v>
      </c>
      <c r="AD600" s="31">
        <v>70000</v>
      </c>
      <c r="AE600" s="31">
        <v>0</v>
      </c>
      <c r="AF600" s="34">
        <v>2021</v>
      </c>
      <c r="AG600" s="34">
        <v>2021</v>
      </c>
      <c r="AH600" s="35">
        <v>2021</v>
      </c>
      <c r="BZ600" s="71"/>
      <c r="CD600" s="20" t="e">
        <f t="shared" si="131"/>
        <v>#N/A</v>
      </c>
    </row>
    <row r="601" spans="1:82" ht="61.5" x14ac:dyDescent="0.85">
      <c r="A601" s="20">
        <v>1</v>
      </c>
      <c r="B601" s="66">
        <f>SUBTOTAL(103,$A$560:A601)</f>
        <v>42</v>
      </c>
      <c r="C601" s="24" t="s">
        <v>1395</v>
      </c>
      <c r="D601" s="31">
        <f t="shared" si="129"/>
        <v>4219164.3499999996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3">
        <v>0</v>
      </c>
      <c r="L601" s="31">
        <v>0</v>
      </c>
      <c r="M601" s="31">
        <v>886</v>
      </c>
      <c r="N601" s="31">
        <v>4058290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60874.35</v>
      </c>
      <c r="AD601" s="31">
        <v>100000</v>
      </c>
      <c r="AE601" s="31">
        <v>0</v>
      </c>
      <c r="AF601" s="34">
        <v>2021</v>
      </c>
      <c r="AG601" s="34">
        <v>2021</v>
      </c>
      <c r="AH601" s="35">
        <v>2021</v>
      </c>
      <c r="BZ601" s="71"/>
      <c r="CD601" s="20" t="e">
        <f t="shared" si="131"/>
        <v>#N/A</v>
      </c>
    </row>
    <row r="602" spans="1:82" ht="61.5" x14ac:dyDescent="0.85">
      <c r="A602" s="20">
        <v>1</v>
      </c>
      <c r="B602" s="66">
        <f>SUBTOTAL(103,$A$560:A602)</f>
        <v>43</v>
      </c>
      <c r="C602" s="24" t="s">
        <v>1396</v>
      </c>
      <c r="D602" s="31">
        <f t="shared" si="129"/>
        <v>3434742.09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3">
        <v>0</v>
      </c>
      <c r="L602" s="31">
        <v>0</v>
      </c>
      <c r="M602" s="31">
        <v>630</v>
      </c>
      <c r="N602" s="206">
        <v>3285460.19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49281.9</v>
      </c>
      <c r="AD602" s="31">
        <v>100000</v>
      </c>
      <c r="AE602" s="31">
        <v>0</v>
      </c>
      <c r="AF602" s="34">
        <v>2021</v>
      </c>
      <c r="AG602" s="34">
        <v>2021</v>
      </c>
      <c r="AH602" s="35">
        <v>2021</v>
      </c>
      <c r="BZ602" s="71"/>
      <c r="CD602" s="20" t="e">
        <f t="shared" si="131"/>
        <v>#N/A</v>
      </c>
    </row>
    <row r="603" spans="1:82" ht="61.5" x14ac:dyDescent="0.85">
      <c r="A603" s="20">
        <v>1</v>
      </c>
      <c r="B603" s="66">
        <f>SUBTOTAL(103,$A$560:A603)</f>
        <v>44</v>
      </c>
      <c r="C603" s="24" t="s">
        <v>491</v>
      </c>
      <c r="D603" s="31">
        <f t="shared" si="129"/>
        <v>4371676.9000000004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3">
        <v>0</v>
      </c>
      <c r="L603" s="31">
        <v>0</v>
      </c>
      <c r="M603" s="31">
        <v>1089.5999999999999</v>
      </c>
      <c r="N603" s="206">
        <v>4208548.67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0</v>
      </c>
      <c r="AA603" s="31">
        <v>0</v>
      </c>
      <c r="AB603" s="31">
        <v>0</v>
      </c>
      <c r="AC603" s="31">
        <v>63128.23</v>
      </c>
      <c r="AD603" s="31">
        <v>100000</v>
      </c>
      <c r="AE603" s="31">
        <v>0</v>
      </c>
      <c r="AF603" s="34">
        <v>2021</v>
      </c>
      <c r="AG603" s="34">
        <v>2021</v>
      </c>
      <c r="AH603" s="35">
        <v>2021</v>
      </c>
      <c r="BZ603" s="71"/>
      <c r="CD603" s="20" t="e">
        <f t="shared" si="131"/>
        <v>#N/A</v>
      </c>
    </row>
    <row r="604" spans="1:82" ht="61.5" x14ac:dyDescent="0.85">
      <c r="A604" s="20">
        <v>1</v>
      </c>
      <c r="B604" s="66">
        <f>SUBTOTAL(103,$A$560:A604)</f>
        <v>45</v>
      </c>
      <c r="C604" s="24" t="s">
        <v>505</v>
      </c>
      <c r="D604" s="31">
        <f t="shared" si="129"/>
        <v>5829375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3">
        <v>0</v>
      </c>
      <c r="L604" s="31">
        <v>0</v>
      </c>
      <c r="M604" s="31">
        <v>0</v>
      </c>
      <c r="N604" s="31">
        <v>0</v>
      </c>
      <c r="O604" s="31">
        <v>0</v>
      </c>
      <c r="P604" s="31">
        <v>0</v>
      </c>
      <c r="Q604" s="31">
        <v>2002</v>
      </c>
      <c r="R604" s="206">
        <v>5625000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1">
        <v>0</v>
      </c>
      <c r="Y604" s="31">
        <v>0</v>
      </c>
      <c r="Z604" s="31">
        <v>0</v>
      </c>
      <c r="AA604" s="31">
        <v>0</v>
      </c>
      <c r="AB604" s="31">
        <v>0</v>
      </c>
      <c r="AC604" s="31">
        <v>84375</v>
      </c>
      <c r="AD604" s="31">
        <v>120000</v>
      </c>
      <c r="AE604" s="31">
        <v>0</v>
      </c>
      <c r="AF604" s="34">
        <v>2021</v>
      </c>
      <c r="AG604" s="34">
        <v>2021</v>
      </c>
      <c r="AH604" s="35">
        <v>2021</v>
      </c>
      <c r="BZ604" s="71"/>
      <c r="CD604" s="20" t="e">
        <f t="shared" si="131"/>
        <v>#N/A</v>
      </c>
    </row>
    <row r="605" spans="1:82" ht="61.5" x14ac:dyDescent="0.85">
      <c r="A605" s="20">
        <v>1</v>
      </c>
      <c r="B605" s="66">
        <f>SUBTOTAL(103,$A$560:A605)</f>
        <v>46</v>
      </c>
      <c r="C605" s="24" t="s">
        <v>1081</v>
      </c>
      <c r="D605" s="31">
        <f t="shared" si="129"/>
        <v>2856740</v>
      </c>
      <c r="E605" s="31">
        <v>0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3">
        <v>0</v>
      </c>
      <c r="L605" s="31">
        <v>0</v>
      </c>
      <c r="M605" s="31">
        <v>0</v>
      </c>
      <c r="N605" s="31">
        <v>0</v>
      </c>
      <c r="O605" s="31">
        <v>0</v>
      </c>
      <c r="P605" s="31">
        <v>0</v>
      </c>
      <c r="Q605" s="31">
        <v>860</v>
      </c>
      <c r="R605" s="206">
        <v>2716000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31">
        <v>0</v>
      </c>
      <c r="AC605" s="31">
        <v>40740</v>
      </c>
      <c r="AD605" s="31">
        <v>100000</v>
      </c>
      <c r="AE605" s="31">
        <v>0</v>
      </c>
      <c r="AF605" s="34">
        <v>2021</v>
      </c>
      <c r="AG605" s="34">
        <v>2021</v>
      </c>
      <c r="AH605" s="35">
        <v>2021</v>
      </c>
      <c r="BZ605" s="71"/>
      <c r="CD605" s="20" t="e">
        <f t="shared" si="131"/>
        <v>#N/A</v>
      </c>
    </row>
    <row r="606" spans="1:82" ht="61.5" x14ac:dyDescent="0.85">
      <c r="A606" s="20">
        <v>1</v>
      </c>
      <c r="B606" s="66">
        <f>SUBTOTAL(103,$A$560:A606)</f>
        <v>47</v>
      </c>
      <c r="C606" s="24" t="s">
        <v>1415</v>
      </c>
      <c r="D606" s="31">
        <f t="shared" si="129"/>
        <v>4012975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3">
        <v>0</v>
      </c>
      <c r="L606" s="31">
        <v>0</v>
      </c>
      <c r="M606" s="31">
        <v>831.1</v>
      </c>
      <c r="N606" s="206">
        <v>3865000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v>57975</v>
      </c>
      <c r="AD606" s="31">
        <v>90000</v>
      </c>
      <c r="AE606" s="31">
        <v>0</v>
      </c>
      <c r="AF606" s="34">
        <v>2021</v>
      </c>
      <c r="AG606" s="34">
        <v>2021</v>
      </c>
      <c r="AH606" s="35">
        <v>2021</v>
      </c>
      <c r="BZ606" s="71"/>
      <c r="CD606" s="20" t="e">
        <f t="shared" si="131"/>
        <v>#N/A</v>
      </c>
    </row>
    <row r="607" spans="1:82" ht="61.5" x14ac:dyDescent="0.85">
      <c r="A607" s="20">
        <v>1</v>
      </c>
      <c r="B607" s="66">
        <f>SUBTOTAL(103,$A$560:A607)</f>
        <v>48</v>
      </c>
      <c r="C607" s="24" t="s">
        <v>1388</v>
      </c>
      <c r="D607" s="31">
        <f t="shared" si="129"/>
        <v>2248303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3">
        <v>0</v>
      </c>
      <c r="L607" s="31">
        <v>0</v>
      </c>
      <c r="M607" s="31">
        <v>0</v>
      </c>
      <c r="N607" s="31">
        <v>0</v>
      </c>
      <c r="O607" s="31">
        <v>0</v>
      </c>
      <c r="P607" s="31">
        <v>0</v>
      </c>
      <c r="Q607" s="31">
        <v>554</v>
      </c>
      <c r="R607" s="31">
        <v>2146111.33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32191.67</v>
      </c>
      <c r="AD607" s="31">
        <v>70000</v>
      </c>
      <c r="AE607" s="31">
        <v>0</v>
      </c>
      <c r="AF607" s="34">
        <v>2021</v>
      </c>
      <c r="AG607" s="34">
        <v>2021</v>
      </c>
      <c r="AH607" s="35">
        <v>2021</v>
      </c>
      <c r="BZ607" s="71"/>
      <c r="CD607" s="20" t="e">
        <f t="shared" si="131"/>
        <v>#N/A</v>
      </c>
    </row>
    <row r="608" spans="1:82" ht="61.5" x14ac:dyDescent="0.85">
      <c r="A608" s="20">
        <v>1</v>
      </c>
      <c r="B608" s="66">
        <f>SUBTOTAL(103,$A$560:A608)</f>
        <v>49</v>
      </c>
      <c r="C608" s="24" t="s">
        <v>1120</v>
      </c>
      <c r="D608" s="31">
        <f t="shared" si="129"/>
        <v>2785299.21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3">
        <v>0</v>
      </c>
      <c r="L608" s="31">
        <v>0</v>
      </c>
      <c r="M608" s="31">
        <v>0</v>
      </c>
      <c r="N608" s="31">
        <v>0</v>
      </c>
      <c r="O608" s="31">
        <v>0</v>
      </c>
      <c r="P608" s="31">
        <v>0</v>
      </c>
      <c r="Q608" s="31">
        <v>1524.32</v>
      </c>
      <c r="R608" s="31">
        <v>2744339.94</v>
      </c>
      <c r="S608" s="31">
        <v>0</v>
      </c>
      <c r="T608" s="31">
        <v>0</v>
      </c>
      <c r="U608" s="31">
        <v>0</v>
      </c>
      <c r="V608" s="31">
        <v>0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40959.269999999997</v>
      </c>
      <c r="AD608" s="31">
        <v>0</v>
      </c>
      <c r="AE608" s="31">
        <v>0</v>
      </c>
      <c r="AF608" s="34" t="s">
        <v>271</v>
      </c>
      <c r="AG608" s="34">
        <v>2021</v>
      </c>
      <c r="AH608" s="35">
        <v>2021</v>
      </c>
      <c r="BZ608" s="71"/>
      <c r="CD608" s="20" t="e">
        <f t="shared" si="131"/>
        <v>#N/A</v>
      </c>
    </row>
    <row r="609" spans="1:84" ht="61.5" x14ac:dyDescent="0.85">
      <c r="A609" s="20">
        <v>1</v>
      </c>
      <c r="B609" s="66">
        <f>SUBTOTAL(103,$A$560:A609)</f>
        <v>50</v>
      </c>
      <c r="C609" s="24" t="s">
        <v>1130</v>
      </c>
      <c r="D609" s="31">
        <f t="shared" si="129"/>
        <v>1338055.4100000001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3">
        <v>0</v>
      </c>
      <c r="L609" s="31">
        <v>0</v>
      </c>
      <c r="M609" s="31">
        <v>0</v>
      </c>
      <c r="N609" s="31">
        <v>0</v>
      </c>
      <c r="O609" s="31">
        <v>278</v>
      </c>
      <c r="P609" s="31">
        <v>1318378.6100000001</v>
      </c>
      <c r="Q609" s="31">
        <v>0</v>
      </c>
      <c r="R609" s="31">
        <v>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v>19676.8</v>
      </c>
      <c r="AD609" s="31">
        <v>0</v>
      </c>
      <c r="AE609" s="31">
        <v>0</v>
      </c>
      <c r="AF609" s="34" t="s">
        <v>271</v>
      </c>
      <c r="AG609" s="34">
        <v>2021</v>
      </c>
      <c r="AH609" s="35">
        <v>2021</v>
      </c>
      <c r="BZ609" s="71"/>
      <c r="CD609" s="20" t="e">
        <f t="shared" si="131"/>
        <v>#N/A</v>
      </c>
    </row>
    <row r="610" spans="1:84" ht="61.5" x14ac:dyDescent="0.85">
      <c r="A610" s="20">
        <v>1</v>
      </c>
      <c r="B610" s="66">
        <f>SUBTOTAL(103,$A$560:A610)</f>
        <v>51</v>
      </c>
      <c r="C610" s="24" t="s">
        <v>1131</v>
      </c>
      <c r="D610" s="31">
        <f t="shared" si="129"/>
        <v>221655.15999999997</v>
      </c>
      <c r="E610" s="31">
        <v>102509.44</v>
      </c>
      <c r="F610" s="31">
        <v>0</v>
      </c>
      <c r="G610" s="31">
        <v>0</v>
      </c>
      <c r="H610" s="31">
        <v>115886.17</v>
      </c>
      <c r="I610" s="31">
        <v>0</v>
      </c>
      <c r="J610" s="31">
        <v>0</v>
      </c>
      <c r="K610" s="33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0</v>
      </c>
      <c r="R610" s="31">
        <v>0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3259.55</v>
      </c>
      <c r="AD610" s="31">
        <v>0</v>
      </c>
      <c r="AE610" s="31">
        <v>0</v>
      </c>
      <c r="AF610" s="34" t="s">
        <v>271</v>
      </c>
      <c r="AG610" s="34">
        <v>2021</v>
      </c>
      <c r="AH610" s="35">
        <v>2021</v>
      </c>
      <c r="BZ610" s="71"/>
      <c r="CD610" s="20" t="e">
        <f t="shared" si="131"/>
        <v>#N/A</v>
      </c>
    </row>
    <row r="611" spans="1:84" ht="61.5" x14ac:dyDescent="0.85">
      <c r="A611" s="20">
        <v>1</v>
      </c>
      <c r="B611" s="66">
        <f>SUBTOTAL(103,$A$560:A611)</f>
        <v>52</v>
      </c>
      <c r="C611" s="24" t="s">
        <v>1133</v>
      </c>
      <c r="D611" s="31">
        <f t="shared" si="129"/>
        <v>2696648.14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3">
        <v>0</v>
      </c>
      <c r="L611" s="31">
        <v>0</v>
      </c>
      <c r="M611" s="31">
        <v>453.4</v>
      </c>
      <c r="N611" s="31">
        <v>2656796.2000000002</v>
      </c>
      <c r="O611" s="31">
        <v>0</v>
      </c>
      <c r="P611" s="31">
        <v>0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39851.94</v>
      </c>
      <c r="AD611" s="31">
        <v>0</v>
      </c>
      <c r="AE611" s="31">
        <v>0</v>
      </c>
      <c r="AF611" s="34" t="s">
        <v>271</v>
      </c>
      <c r="AG611" s="34">
        <v>2021</v>
      </c>
      <c r="AH611" s="35">
        <v>2021</v>
      </c>
      <c r="BZ611" s="71"/>
      <c r="CD611" s="20">
        <f t="shared" si="131"/>
        <v>453.4</v>
      </c>
    </row>
    <row r="612" spans="1:84" ht="61.5" x14ac:dyDescent="0.85">
      <c r="A612" s="20">
        <v>1</v>
      </c>
      <c r="B612" s="66">
        <f>SUBTOTAL(103,$A$560:A612)</f>
        <v>53</v>
      </c>
      <c r="C612" s="24" t="s">
        <v>1135</v>
      </c>
      <c r="D612" s="31">
        <f t="shared" si="129"/>
        <v>4348142.72</v>
      </c>
      <c r="E612" s="31">
        <v>0</v>
      </c>
      <c r="F612" s="31">
        <v>0</v>
      </c>
      <c r="G612" s="31">
        <v>0</v>
      </c>
      <c r="H612" s="31">
        <v>0</v>
      </c>
      <c r="I612" s="31">
        <v>0</v>
      </c>
      <c r="J612" s="31">
        <v>0</v>
      </c>
      <c r="K612" s="33">
        <v>0</v>
      </c>
      <c r="L612" s="31">
        <v>0</v>
      </c>
      <c r="M612" s="31">
        <v>0</v>
      </c>
      <c r="N612" s="31">
        <v>0</v>
      </c>
      <c r="O612" s="31">
        <v>0</v>
      </c>
      <c r="P612" s="31">
        <v>0</v>
      </c>
      <c r="Q612" s="31">
        <v>1389</v>
      </c>
      <c r="R612" s="206">
        <v>4165657.85</v>
      </c>
      <c r="S612" s="31">
        <v>0</v>
      </c>
      <c r="T612" s="31">
        <v>0</v>
      </c>
      <c r="U612" s="31">
        <v>0</v>
      </c>
      <c r="V612" s="31">
        <v>0</v>
      </c>
      <c r="W612" s="31">
        <v>0</v>
      </c>
      <c r="X612" s="31">
        <v>0</v>
      </c>
      <c r="Y612" s="31">
        <v>0</v>
      </c>
      <c r="Z612" s="31">
        <v>0</v>
      </c>
      <c r="AA612" s="31">
        <v>0</v>
      </c>
      <c r="AB612" s="31">
        <v>0</v>
      </c>
      <c r="AC612" s="206">
        <v>62484.87</v>
      </c>
      <c r="AD612" s="31">
        <v>120000</v>
      </c>
      <c r="AE612" s="31">
        <v>0</v>
      </c>
      <c r="AF612" s="34">
        <v>2021</v>
      </c>
      <c r="AG612" s="34">
        <v>2021</v>
      </c>
      <c r="AH612" s="35">
        <v>2021</v>
      </c>
      <c r="BZ612" s="71"/>
      <c r="CD612" s="20" t="e">
        <f t="shared" si="131"/>
        <v>#N/A</v>
      </c>
    </row>
    <row r="613" spans="1:84" ht="61.5" x14ac:dyDescent="0.85">
      <c r="A613" s="20">
        <v>1</v>
      </c>
      <c r="B613" s="66">
        <f>SUBTOTAL(103,$A$560:A613)</f>
        <v>54</v>
      </c>
      <c r="C613" s="24" t="s">
        <v>1136</v>
      </c>
      <c r="D613" s="31">
        <f t="shared" si="129"/>
        <v>3246745.9499999997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3">
        <v>0</v>
      </c>
      <c r="L613" s="31">
        <v>0</v>
      </c>
      <c r="M613" s="31">
        <v>1093</v>
      </c>
      <c r="N613" s="31">
        <v>3199000.86</v>
      </c>
      <c r="O613" s="31">
        <v>0</v>
      </c>
      <c r="P613" s="31">
        <v>0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47745.09</v>
      </c>
      <c r="AD613" s="31">
        <v>0</v>
      </c>
      <c r="AE613" s="31">
        <v>0</v>
      </c>
      <c r="AF613" s="34" t="s">
        <v>271</v>
      </c>
      <c r="AG613" s="34">
        <v>2021</v>
      </c>
      <c r="AH613" s="35">
        <v>2021</v>
      </c>
      <c r="BZ613" s="71"/>
      <c r="CD613" s="20">
        <f t="shared" si="131"/>
        <v>1093</v>
      </c>
    </row>
    <row r="614" spans="1:84" ht="61.5" x14ac:dyDescent="0.85">
      <c r="A614" s="20">
        <v>1</v>
      </c>
      <c r="B614" s="66">
        <f>SUBTOTAL(103,$A$560:A614)</f>
        <v>55</v>
      </c>
      <c r="C614" s="24" t="s">
        <v>1147</v>
      </c>
      <c r="D614" s="31">
        <f t="shared" si="129"/>
        <v>2364441.7000000002</v>
      </c>
      <c r="E614" s="31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3">
        <v>0</v>
      </c>
      <c r="L614" s="31">
        <v>0</v>
      </c>
      <c r="M614" s="31">
        <v>543.4</v>
      </c>
      <c r="N614" s="206">
        <v>2278000</v>
      </c>
      <c r="O614" s="31">
        <v>0</v>
      </c>
      <c r="P614" s="31">
        <v>0</v>
      </c>
      <c r="Q614" s="31">
        <v>0</v>
      </c>
      <c r="R614" s="31">
        <v>0</v>
      </c>
      <c r="S614" s="31">
        <v>0</v>
      </c>
      <c r="T614" s="31">
        <v>0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206">
        <v>34170</v>
      </c>
      <c r="AD614" s="206">
        <v>52271.7</v>
      </c>
      <c r="AE614" s="31">
        <v>0</v>
      </c>
      <c r="AF614" s="34">
        <v>2021</v>
      </c>
      <c r="AG614" s="34">
        <v>2021</v>
      </c>
      <c r="AH614" s="35">
        <v>2021</v>
      </c>
      <c r="BZ614" s="71"/>
      <c r="CD614" s="20" t="e">
        <f t="shared" si="131"/>
        <v>#N/A</v>
      </c>
    </row>
    <row r="615" spans="1:84" ht="61.5" x14ac:dyDescent="0.85">
      <c r="A615" s="20">
        <v>1</v>
      </c>
      <c r="B615" s="66">
        <f>SUBTOTAL(103,$A$560:A615)</f>
        <v>56</v>
      </c>
      <c r="C615" s="24" t="s">
        <v>1148</v>
      </c>
      <c r="D615" s="31">
        <f t="shared" si="129"/>
        <v>2747544.12</v>
      </c>
      <c r="E615" s="31">
        <v>0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3">
        <v>0</v>
      </c>
      <c r="L615" s="31">
        <v>0</v>
      </c>
      <c r="M615" s="31">
        <v>665</v>
      </c>
      <c r="N615" s="206">
        <v>2657000</v>
      </c>
      <c r="O615" s="31">
        <v>0</v>
      </c>
      <c r="P615" s="31">
        <v>0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1">
        <v>0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206">
        <v>39855</v>
      </c>
      <c r="AD615" s="206">
        <v>50689.120000000003</v>
      </c>
      <c r="AE615" s="31">
        <v>0</v>
      </c>
      <c r="AF615" s="34">
        <v>2021</v>
      </c>
      <c r="AG615" s="34">
        <v>2021</v>
      </c>
      <c r="AH615" s="35">
        <v>2021</v>
      </c>
      <c r="BZ615" s="71"/>
      <c r="CD615" s="20" t="e">
        <f t="shared" si="131"/>
        <v>#N/A</v>
      </c>
    </row>
    <row r="616" spans="1:84" ht="61.5" x14ac:dyDescent="0.85">
      <c r="A616" s="20">
        <v>1</v>
      </c>
      <c r="B616" s="66">
        <f>SUBTOTAL(103,$A$560:A616)</f>
        <v>57</v>
      </c>
      <c r="C616" s="24" t="s">
        <v>1607</v>
      </c>
      <c r="D616" s="31">
        <f t="shared" si="129"/>
        <v>2292500.0499999998</v>
      </c>
      <c r="E616" s="31">
        <v>0</v>
      </c>
      <c r="F616" s="31">
        <v>0</v>
      </c>
      <c r="G616" s="31">
        <v>0</v>
      </c>
      <c r="H616" s="31">
        <v>0</v>
      </c>
      <c r="I616" s="31">
        <v>0</v>
      </c>
      <c r="J616" s="31">
        <v>0</v>
      </c>
      <c r="K616" s="33">
        <v>0</v>
      </c>
      <c r="L616" s="31">
        <v>0</v>
      </c>
      <c r="M616" s="31">
        <v>0</v>
      </c>
      <c r="N616" s="31">
        <v>0</v>
      </c>
      <c r="O616" s="31">
        <v>0</v>
      </c>
      <c r="P616" s="31">
        <v>0</v>
      </c>
      <c r="Q616" s="31">
        <v>840</v>
      </c>
      <c r="R616" s="31">
        <v>2179803</v>
      </c>
      <c r="S616" s="31">
        <v>0</v>
      </c>
      <c r="T616" s="31">
        <v>0</v>
      </c>
      <c r="U616" s="31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0</v>
      </c>
      <c r="AA616" s="31">
        <v>0</v>
      </c>
      <c r="AB616" s="31">
        <v>0</v>
      </c>
      <c r="AC616" s="31">
        <v>32697.05</v>
      </c>
      <c r="AD616" s="31">
        <v>80000</v>
      </c>
      <c r="AE616" s="31">
        <v>0</v>
      </c>
      <c r="AF616" s="34">
        <v>2021</v>
      </c>
      <c r="AG616" s="34">
        <v>2021</v>
      </c>
      <c r="AH616" s="35">
        <v>2021</v>
      </c>
      <c r="BZ616" s="71"/>
      <c r="CD616" s="20" t="e">
        <f t="shared" si="131"/>
        <v>#N/A</v>
      </c>
    </row>
    <row r="617" spans="1:84" ht="61.5" x14ac:dyDescent="0.85">
      <c r="A617" s="20">
        <v>1</v>
      </c>
      <c r="B617" s="66">
        <f>SUBTOTAL(103,$A$560:A617)</f>
        <v>58</v>
      </c>
      <c r="C617" s="24" t="s">
        <v>1637</v>
      </c>
      <c r="D617" s="31">
        <f t="shared" si="129"/>
        <v>3926550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3">
        <v>0</v>
      </c>
      <c r="L617" s="31">
        <v>0</v>
      </c>
      <c r="M617" s="31">
        <v>900</v>
      </c>
      <c r="N617" s="31">
        <v>3770000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56550</v>
      </c>
      <c r="AD617" s="31">
        <v>100000</v>
      </c>
      <c r="AE617" s="31">
        <v>0</v>
      </c>
      <c r="AF617" s="34">
        <v>2021</v>
      </c>
      <c r="AG617" s="34">
        <v>2021</v>
      </c>
      <c r="AH617" s="35">
        <v>2021</v>
      </c>
      <c r="BZ617" s="71"/>
      <c r="CD617" s="20" t="e">
        <f t="shared" si="131"/>
        <v>#N/A</v>
      </c>
    </row>
    <row r="618" spans="1:84" ht="61.5" x14ac:dyDescent="0.85">
      <c r="A618" s="20">
        <v>1</v>
      </c>
      <c r="B618" s="66">
        <f>SUBTOTAL(103,$A$560:A618)</f>
        <v>59</v>
      </c>
      <c r="C618" s="24" t="s">
        <v>1639</v>
      </c>
      <c r="D618" s="31">
        <f t="shared" si="129"/>
        <v>3058283.01</v>
      </c>
      <c r="E618" s="31">
        <v>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3">
        <v>0</v>
      </c>
      <c r="L618" s="31">
        <v>0</v>
      </c>
      <c r="M618" s="31">
        <v>0</v>
      </c>
      <c r="N618" s="31">
        <v>0</v>
      </c>
      <c r="O618" s="31">
        <v>0</v>
      </c>
      <c r="P618" s="31">
        <v>0</v>
      </c>
      <c r="Q618" s="31">
        <v>1343.2</v>
      </c>
      <c r="R618" s="31">
        <v>3013086.71</v>
      </c>
      <c r="S618" s="31">
        <v>0</v>
      </c>
      <c r="T618" s="31">
        <v>0</v>
      </c>
      <c r="U618" s="31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45196.3</v>
      </c>
      <c r="AD618" s="31">
        <v>0</v>
      </c>
      <c r="AE618" s="31">
        <v>0</v>
      </c>
      <c r="AF618" s="34" t="s">
        <v>271</v>
      </c>
      <c r="AG618" s="34">
        <v>2021</v>
      </c>
      <c r="AH618" s="35">
        <v>2021</v>
      </c>
      <c r="BZ618" s="71"/>
      <c r="CD618" s="20" t="e">
        <f t="shared" si="131"/>
        <v>#N/A</v>
      </c>
    </row>
    <row r="619" spans="1:84" s="134" customFormat="1" ht="61.5" x14ac:dyDescent="0.85">
      <c r="A619" s="134">
        <v>1</v>
      </c>
      <c r="B619" s="66">
        <f>SUBTOTAL(103,$A$560:A619)</f>
        <v>60</v>
      </c>
      <c r="C619" s="24" t="s">
        <v>1711</v>
      </c>
      <c r="D619" s="31">
        <f t="shared" ref="D619:D625" si="133">E619+F619+G619+H619+I619+J619+L619+N619+P619+R619+T619+U619+V619+W619+X619+Y619+Z619+AA619+AB619+AC619+AD619+AE619</f>
        <v>4115178</v>
      </c>
      <c r="E619" s="31">
        <v>0</v>
      </c>
      <c r="F619" s="31">
        <v>0</v>
      </c>
      <c r="G619" s="31">
        <v>0</v>
      </c>
      <c r="H619" s="31">
        <v>0</v>
      </c>
      <c r="I619" s="31">
        <v>0</v>
      </c>
      <c r="J619" s="31">
        <v>0</v>
      </c>
      <c r="K619" s="33">
        <v>2</v>
      </c>
      <c r="L619" s="31">
        <v>4115178</v>
      </c>
      <c r="M619" s="31">
        <v>0</v>
      </c>
      <c r="N619" s="31">
        <v>0</v>
      </c>
      <c r="O619" s="31">
        <v>0</v>
      </c>
      <c r="P619" s="31">
        <v>0</v>
      </c>
      <c r="Q619" s="31">
        <v>0</v>
      </c>
      <c r="R619" s="31">
        <v>0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  <c r="AC619" s="31">
        <v>0</v>
      </c>
      <c r="AD619" s="31">
        <v>0</v>
      </c>
      <c r="AE619" s="31">
        <v>0</v>
      </c>
      <c r="AF619" s="34" t="s">
        <v>271</v>
      </c>
      <c r="AG619" s="34">
        <v>2021</v>
      </c>
      <c r="AH619" s="35" t="s">
        <v>271</v>
      </c>
      <c r="AI619" s="20"/>
      <c r="AJ619" s="20"/>
      <c r="AK619" s="20"/>
      <c r="AL619" s="20"/>
      <c r="BZ619" s="135"/>
      <c r="CD619" s="134" t="e">
        <f t="shared" si="131"/>
        <v>#N/A</v>
      </c>
    </row>
    <row r="620" spans="1:84" ht="61.5" x14ac:dyDescent="0.85">
      <c r="A620" s="20">
        <v>1</v>
      </c>
      <c r="B620" s="66">
        <f>SUBTOTAL(103,$A$560:A620)</f>
        <v>61</v>
      </c>
      <c r="C620" s="211" t="s">
        <v>487</v>
      </c>
      <c r="D620" s="31">
        <f t="shared" si="133"/>
        <v>3545096.7899999996</v>
      </c>
      <c r="E620" s="31">
        <v>0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3">
        <v>0</v>
      </c>
      <c r="L620" s="31">
        <v>0</v>
      </c>
      <c r="M620" s="31">
        <v>600</v>
      </c>
      <c r="N620" s="206">
        <v>3392486.84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50887.3</v>
      </c>
      <c r="AD620" s="31">
        <v>101722.65</v>
      </c>
      <c r="AE620" s="31">
        <v>0</v>
      </c>
      <c r="AF620" s="34">
        <v>2021</v>
      </c>
      <c r="AG620" s="34">
        <v>2021</v>
      </c>
      <c r="AH620" s="34">
        <v>2021</v>
      </c>
      <c r="AT620" s="20" t="e">
        <f>VLOOKUP(C620,AW:AX,2,FALSE)</f>
        <v>#N/A</v>
      </c>
      <c r="AW620" s="20" t="s">
        <v>49</v>
      </c>
      <c r="AX620" s="20">
        <v>1</v>
      </c>
      <c r="BZ620" s="71"/>
      <c r="CD620" s="20" t="e">
        <f t="shared" si="131"/>
        <v>#N/A</v>
      </c>
      <c r="CE620" s="115" t="s">
        <v>523</v>
      </c>
      <c r="CF620" s="115">
        <v>1603.24</v>
      </c>
    </row>
    <row r="621" spans="1:84" ht="61.5" x14ac:dyDescent="0.85">
      <c r="A621" s="20">
        <v>1</v>
      </c>
      <c r="B621" s="66">
        <f>SUBTOTAL(103,$A$560:A621)</f>
        <v>62</v>
      </c>
      <c r="C621" s="211" t="s">
        <v>497</v>
      </c>
      <c r="D621" s="31">
        <f t="shared" si="133"/>
        <v>1987488.72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3">
        <v>0</v>
      </c>
      <c r="L621" s="31">
        <v>0</v>
      </c>
      <c r="M621" s="31">
        <v>0</v>
      </c>
      <c r="N621" s="206">
        <v>0</v>
      </c>
      <c r="O621" s="31">
        <v>0</v>
      </c>
      <c r="P621" s="31">
        <v>0</v>
      </c>
      <c r="Q621" s="31">
        <v>541.86</v>
      </c>
      <c r="R621" s="31">
        <v>1958116.97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29371.75</v>
      </c>
      <c r="AD621" s="31">
        <v>0</v>
      </c>
      <c r="AE621" s="31">
        <v>0</v>
      </c>
      <c r="AF621" s="34" t="s">
        <v>271</v>
      </c>
      <c r="AG621" s="34">
        <v>2021</v>
      </c>
      <c r="AH621" s="34">
        <v>2021</v>
      </c>
      <c r="AT621" s="20" t="e">
        <f>VLOOKUP(C621,AW:AX,2,FALSE)</f>
        <v>#N/A</v>
      </c>
      <c r="AW621" s="20" t="s">
        <v>826</v>
      </c>
      <c r="AX621" s="20">
        <v>1</v>
      </c>
      <c r="BZ621" s="71"/>
      <c r="CD621" s="20" t="e">
        <f t="shared" si="131"/>
        <v>#N/A</v>
      </c>
      <c r="CE621" s="115" t="s">
        <v>674</v>
      </c>
      <c r="CF621" s="115">
        <v>900</v>
      </c>
    </row>
    <row r="622" spans="1:84" ht="61.5" x14ac:dyDescent="0.85">
      <c r="A622" s="20">
        <v>1</v>
      </c>
      <c r="B622" s="66">
        <f>SUBTOTAL(103,$A$560:A622)</f>
        <v>63</v>
      </c>
      <c r="C622" s="211" t="s">
        <v>502</v>
      </c>
      <c r="D622" s="31">
        <f t="shared" si="133"/>
        <v>2420775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3">
        <v>0</v>
      </c>
      <c r="L622" s="31">
        <v>0</v>
      </c>
      <c r="M622" s="31">
        <v>1020</v>
      </c>
      <c r="N622" s="206">
        <v>2385000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v>35775</v>
      </c>
      <c r="AD622" s="31">
        <v>0</v>
      </c>
      <c r="AE622" s="31">
        <v>0</v>
      </c>
      <c r="AF622" s="34" t="s">
        <v>271</v>
      </c>
      <c r="AG622" s="34">
        <v>2021</v>
      </c>
      <c r="AH622" s="34">
        <v>2021</v>
      </c>
      <c r="AT622" s="20" t="e">
        <f>VLOOKUP(C622,AW:AX,2,FALSE)</f>
        <v>#N/A</v>
      </c>
      <c r="BZ622" s="71"/>
      <c r="CD622" s="20" t="e">
        <f t="shared" si="131"/>
        <v>#N/A</v>
      </c>
      <c r="CE622" s="115" t="s">
        <v>170</v>
      </c>
      <c r="CF622" s="115">
        <v>412.82</v>
      </c>
    </row>
    <row r="623" spans="1:84" ht="61.5" x14ac:dyDescent="0.85">
      <c r="A623" s="20">
        <v>1</v>
      </c>
      <c r="B623" s="66">
        <f>SUBTOTAL(103,$A$560:A623)</f>
        <v>64</v>
      </c>
      <c r="C623" s="211" t="s">
        <v>503</v>
      </c>
      <c r="D623" s="31">
        <f t="shared" si="133"/>
        <v>1273825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3">
        <v>0</v>
      </c>
      <c r="L623" s="31">
        <v>0</v>
      </c>
      <c r="M623" s="31">
        <v>350</v>
      </c>
      <c r="N623" s="206">
        <v>1255000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18825</v>
      </c>
      <c r="AD623" s="31">
        <v>0</v>
      </c>
      <c r="AE623" s="31">
        <v>0</v>
      </c>
      <c r="AF623" s="34" t="s">
        <v>271</v>
      </c>
      <c r="AG623" s="34">
        <v>2021</v>
      </c>
      <c r="AH623" s="34">
        <v>2021</v>
      </c>
      <c r="AT623" s="20" t="e">
        <f>VLOOKUP(C623,AW:AX,2,FALSE)</f>
        <v>#N/A</v>
      </c>
      <c r="BZ623" s="71"/>
      <c r="CD623" s="20" t="e">
        <f t="shared" si="131"/>
        <v>#N/A</v>
      </c>
      <c r="CE623" s="115" t="s">
        <v>1307</v>
      </c>
      <c r="CF623" s="115">
        <v>735</v>
      </c>
    </row>
    <row r="624" spans="1:84" ht="61.5" x14ac:dyDescent="0.85">
      <c r="A624" s="20">
        <v>1</v>
      </c>
      <c r="B624" s="66">
        <f>SUBTOTAL(103,$A$560:A624)</f>
        <v>65</v>
      </c>
      <c r="C624" s="211" t="s">
        <v>509</v>
      </c>
      <c r="D624" s="31">
        <f t="shared" si="133"/>
        <v>2536990.1700000004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3">
        <v>0</v>
      </c>
      <c r="L624" s="31">
        <v>0</v>
      </c>
      <c r="M624" s="31">
        <v>489</v>
      </c>
      <c r="N624" s="206">
        <v>2499497.7000000002</v>
      </c>
      <c r="O624" s="31">
        <v>0</v>
      </c>
      <c r="P624" s="31">
        <v>0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37492.47</v>
      </c>
      <c r="AD624" s="31">
        <v>0</v>
      </c>
      <c r="AE624" s="31">
        <v>0</v>
      </c>
      <c r="AF624" s="34" t="s">
        <v>271</v>
      </c>
      <c r="AG624" s="34">
        <v>2021</v>
      </c>
      <c r="AH624" s="34">
        <v>2021</v>
      </c>
      <c r="AT624" s="20" t="e">
        <f>VLOOKUP(C624,AW:AX,2,FALSE)</f>
        <v>#N/A</v>
      </c>
      <c r="BZ624" s="71"/>
      <c r="CD624" s="20" t="e">
        <f t="shared" si="131"/>
        <v>#N/A</v>
      </c>
      <c r="CE624" s="115" t="s">
        <v>525</v>
      </c>
      <c r="CF624" s="115">
        <v>777.1</v>
      </c>
    </row>
    <row r="625" spans="1:84" ht="61.5" x14ac:dyDescent="0.85">
      <c r="A625" s="20">
        <v>1</v>
      </c>
      <c r="B625" s="66">
        <f>SUBTOTAL(103,$A$560:A625)</f>
        <v>66</v>
      </c>
      <c r="C625" s="211" t="s">
        <v>1635</v>
      </c>
      <c r="D625" s="31">
        <f t="shared" si="133"/>
        <v>2380804.91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3">
        <v>0</v>
      </c>
      <c r="L625" s="31">
        <v>0</v>
      </c>
      <c r="M625" s="31">
        <v>573</v>
      </c>
      <c r="N625" s="206">
        <v>2345620.6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35184.31</v>
      </c>
      <c r="AD625" s="31">
        <v>0</v>
      </c>
      <c r="AE625" s="31">
        <v>0</v>
      </c>
      <c r="AF625" s="34" t="s">
        <v>271</v>
      </c>
      <c r="AG625" s="34">
        <v>2021</v>
      </c>
      <c r="AH625" s="34">
        <v>2021</v>
      </c>
      <c r="BZ625" s="71"/>
      <c r="CD625" s="20" t="e">
        <f t="shared" si="131"/>
        <v>#N/A</v>
      </c>
      <c r="CE625" s="115" t="s">
        <v>1574</v>
      </c>
      <c r="CF625" s="115">
        <v>747.3</v>
      </c>
    </row>
    <row r="626" spans="1:84" ht="61.5" x14ac:dyDescent="0.85">
      <c r="A626" s="20">
        <v>1</v>
      </c>
      <c r="B626" s="66">
        <f>SUBTOTAL(103,$A$560:A626)</f>
        <v>67</v>
      </c>
      <c r="C626" s="212" t="s">
        <v>1726</v>
      </c>
      <c r="D626" s="31">
        <f t="shared" ref="D626" si="134">E626+F626+G626+H626+I626+J626+L626+N626+P626+R626+T626+U626+V626+W626+X626+Y626+Z626+AA626+AB626+AC626+AD626+AE626</f>
        <v>8993212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3">
        <v>4</v>
      </c>
      <c r="L626" s="31">
        <v>8843212</v>
      </c>
      <c r="M626" s="31">
        <v>0</v>
      </c>
      <c r="N626" s="31">
        <v>0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0</v>
      </c>
      <c r="AD626" s="31">
        <v>150000</v>
      </c>
      <c r="AE626" s="31">
        <v>0</v>
      </c>
      <c r="AF626" s="34">
        <v>2021</v>
      </c>
      <c r="AG626" s="34">
        <v>2021</v>
      </c>
      <c r="AH626" s="35" t="s">
        <v>271</v>
      </c>
      <c r="BZ626" s="71"/>
      <c r="CD626" s="20" t="e">
        <f t="shared" si="131"/>
        <v>#N/A</v>
      </c>
    </row>
    <row r="627" spans="1:84" ht="61.5" x14ac:dyDescent="0.85">
      <c r="A627" s="20">
        <v>1</v>
      </c>
      <c r="B627" s="66">
        <f>SUBTOTAL(103,$A$560:A627)</f>
        <v>68</v>
      </c>
      <c r="C627" s="212" t="s">
        <v>1727</v>
      </c>
      <c r="D627" s="31">
        <f t="shared" ref="D627:D628" si="135">E627+F627+G627+H627+I627+J627+L627+N627+P627+R627+T627+U627+V627+W627+X627+Y627+Z627+AA627+AB627+AC627+AD627+AE627</f>
        <v>4622702.9800000004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3">
        <v>0</v>
      </c>
      <c r="L627" s="31">
        <v>0</v>
      </c>
      <c r="M627" s="31">
        <v>952</v>
      </c>
      <c r="N627" s="31">
        <v>4455865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66837.98</v>
      </c>
      <c r="AD627" s="31">
        <v>100000</v>
      </c>
      <c r="AE627" s="31">
        <v>0</v>
      </c>
      <c r="AF627" s="34">
        <v>2021</v>
      </c>
      <c r="AG627" s="34">
        <v>2021</v>
      </c>
      <c r="AH627" s="34">
        <v>2021</v>
      </c>
      <c r="BZ627" s="71"/>
      <c r="CD627" s="20" t="e">
        <f t="shared" si="131"/>
        <v>#N/A</v>
      </c>
    </row>
    <row r="628" spans="1:84" ht="61.5" x14ac:dyDescent="0.85">
      <c r="A628" s="20">
        <v>1</v>
      </c>
      <c r="B628" s="66">
        <f>SUBTOTAL(103,$A$560:A628)</f>
        <v>69</v>
      </c>
      <c r="C628" s="212" t="s">
        <v>1902</v>
      </c>
      <c r="D628" s="31">
        <f t="shared" si="135"/>
        <v>2182080.86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3">
        <v>0</v>
      </c>
      <c r="L628" s="31">
        <v>0</v>
      </c>
      <c r="M628" s="31">
        <v>598</v>
      </c>
      <c r="N628" s="31">
        <v>2090720.06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0</v>
      </c>
      <c r="U628" s="31">
        <v>0</v>
      </c>
      <c r="V628" s="31">
        <v>0</v>
      </c>
      <c r="W628" s="31">
        <v>0</v>
      </c>
      <c r="X628" s="31">
        <v>0</v>
      </c>
      <c r="Y628" s="31">
        <v>0</v>
      </c>
      <c r="Z628" s="31">
        <v>0</v>
      </c>
      <c r="AA628" s="31">
        <v>0</v>
      </c>
      <c r="AB628" s="31">
        <v>0</v>
      </c>
      <c r="AC628" s="31">
        <v>31360.799999999999</v>
      </c>
      <c r="AD628" s="31">
        <v>60000</v>
      </c>
      <c r="AE628" s="31">
        <v>0</v>
      </c>
      <c r="AF628" s="34">
        <v>2021</v>
      </c>
      <c r="AG628" s="34">
        <v>2021</v>
      </c>
      <c r="AH628" s="34">
        <v>2021</v>
      </c>
      <c r="BZ628" s="71"/>
      <c r="CD628" s="20" t="e">
        <f t="shared" si="131"/>
        <v>#N/A</v>
      </c>
    </row>
    <row r="629" spans="1:84" ht="61.5" x14ac:dyDescent="0.85">
      <c r="A629" s="20">
        <v>1</v>
      </c>
      <c r="B629" s="66">
        <f>SUBTOTAL(103,$A$560:A629)</f>
        <v>70</v>
      </c>
      <c r="C629" s="24" t="s">
        <v>575</v>
      </c>
      <c r="D629" s="31">
        <f t="shared" si="129"/>
        <v>80000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3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  <c r="S629" s="31">
        <v>0</v>
      </c>
      <c r="T629" s="31">
        <v>0</v>
      </c>
      <c r="U629" s="31">
        <v>0</v>
      </c>
      <c r="V629" s="31">
        <v>0</v>
      </c>
      <c r="W629" s="31">
        <v>0</v>
      </c>
      <c r="X629" s="31">
        <v>0</v>
      </c>
      <c r="Y629" s="31">
        <v>0</v>
      </c>
      <c r="Z629" s="31">
        <v>0</v>
      </c>
      <c r="AA629" s="31">
        <v>0</v>
      </c>
      <c r="AB629" s="31">
        <v>0</v>
      </c>
      <c r="AC629" s="31">
        <v>0</v>
      </c>
      <c r="AD629" s="31">
        <v>80000</v>
      </c>
      <c r="AE629" s="31">
        <v>0</v>
      </c>
      <c r="AF629" s="34">
        <v>2021</v>
      </c>
      <c r="AG629" s="34" t="s">
        <v>271</v>
      </c>
      <c r="AH629" s="35" t="s">
        <v>271</v>
      </c>
      <c r="BZ629" s="71"/>
      <c r="CD629" s="20" t="e">
        <f t="shared" si="131"/>
        <v>#N/A</v>
      </c>
    </row>
    <row r="630" spans="1:84" ht="61.5" x14ac:dyDescent="0.85">
      <c r="A630" s="20">
        <v>1</v>
      </c>
      <c r="B630" s="66">
        <f>SUBTOTAL(103,$A$560:A630)</f>
        <v>71</v>
      </c>
      <c r="C630" s="24" t="s">
        <v>576</v>
      </c>
      <c r="D630" s="31">
        <f t="shared" si="129"/>
        <v>70000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3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1">
        <v>0</v>
      </c>
      <c r="Y630" s="31">
        <v>0</v>
      </c>
      <c r="Z630" s="31">
        <v>0</v>
      </c>
      <c r="AA630" s="31">
        <v>0</v>
      </c>
      <c r="AB630" s="31">
        <v>0</v>
      </c>
      <c r="AC630" s="31">
        <v>0</v>
      </c>
      <c r="AD630" s="31">
        <v>70000</v>
      </c>
      <c r="AE630" s="31">
        <v>0</v>
      </c>
      <c r="AF630" s="34">
        <v>2021</v>
      </c>
      <c r="AG630" s="34" t="s">
        <v>271</v>
      </c>
      <c r="AH630" s="35" t="s">
        <v>271</v>
      </c>
      <c r="BZ630" s="71"/>
      <c r="CD630" s="20" t="e">
        <f t="shared" si="131"/>
        <v>#N/A</v>
      </c>
    </row>
    <row r="631" spans="1:84" ht="61.5" x14ac:dyDescent="0.85">
      <c r="A631" s="20">
        <v>1</v>
      </c>
      <c r="B631" s="66">
        <f>SUBTOTAL(103,$A$560:A631)</f>
        <v>72</v>
      </c>
      <c r="C631" s="24" t="s">
        <v>1082</v>
      </c>
      <c r="D631" s="31">
        <f t="shared" si="129"/>
        <v>80000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3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31">
        <v>0</v>
      </c>
      <c r="AC631" s="31">
        <v>0</v>
      </c>
      <c r="AD631" s="31">
        <v>80000</v>
      </c>
      <c r="AE631" s="31">
        <v>0</v>
      </c>
      <c r="AF631" s="34">
        <v>2021</v>
      </c>
      <c r="AG631" s="34" t="s">
        <v>271</v>
      </c>
      <c r="AH631" s="35" t="s">
        <v>271</v>
      </c>
      <c r="BZ631" s="71"/>
      <c r="CD631" s="20" t="e">
        <f t="shared" ref="CD631:CD694" si="136">VLOOKUP(C631,CE:CF,2,FALSE)</f>
        <v>#N/A</v>
      </c>
    </row>
    <row r="632" spans="1:84" ht="61.5" x14ac:dyDescent="0.85">
      <c r="A632" s="20">
        <v>1</v>
      </c>
      <c r="B632" s="66">
        <f>SUBTOTAL(103,$A$560:A632)</f>
        <v>73</v>
      </c>
      <c r="C632" s="24" t="s">
        <v>577</v>
      </c>
      <c r="D632" s="31">
        <f t="shared" si="129"/>
        <v>100000</v>
      </c>
      <c r="E632" s="31">
        <v>0</v>
      </c>
      <c r="F632" s="31">
        <v>0</v>
      </c>
      <c r="G632" s="31">
        <v>0</v>
      </c>
      <c r="H632" s="31">
        <v>0</v>
      </c>
      <c r="I632" s="31">
        <v>0</v>
      </c>
      <c r="J632" s="31">
        <v>0</v>
      </c>
      <c r="K632" s="33">
        <v>0</v>
      </c>
      <c r="L632" s="31">
        <v>0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0</v>
      </c>
      <c r="AC632" s="31">
        <v>0</v>
      </c>
      <c r="AD632" s="31">
        <v>100000</v>
      </c>
      <c r="AE632" s="31">
        <v>0</v>
      </c>
      <c r="AF632" s="34">
        <v>2021</v>
      </c>
      <c r="AG632" s="34" t="s">
        <v>271</v>
      </c>
      <c r="AH632" s="35" t="s">
        <v>271</v>
      </c>
      <c r="BZ632" s="71"/>
      <c r="CD632" s="20" t="e">
        <f t="shared" si="136"/>
        <v>#N/A</v>
      </c>
    </row>
    <row r="633" spans="1:84" ht="61.5" x14ac:dyDescent="0.85">
      <c r="A633" s="20">
        <v>1</v>
      </c>
      <c r="B633" s="66">
        <f>SUBTOTAL(103,$A$560:A633)</f>
        <v>74</v>
      </c>
      <c r="C633" s="24" t="s">
        <v>578</v>
      </c>
      <c r="D633" s="31">
        <f t="shared" si="129"/>
        <v>100000</v>
      </c>
      <c r="E633" s="31">
        <v>0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3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1">
        <v>100000</v>
      </c>
      <c r="AE633" s="31">
        <v>0</v>
      </c>
      <c r="AF633" s="34">
        <v>2021</v>
      </c>
      <c r="AG633" s="34" t="s">
        <v>271</v>
      </c>
      <c r="AH633" s="35" t="s">
        <v>271</v>
      </c>
      <c r="BZ633" s="71"/>
      <c r="CD633" s="20" t="e">
        <f t="shared" si="136"/>
        <v>#N/A</v>
      </c>
    </row>
    <row r="634" spans="1:84" ht="61.5" x14ac:dyDescent="0.85">
      <c r="A634" s="20">
        <v>1</v>
      </c>
      <c r="B634" s="66">
        <f>SUBTOTAL(103,$A$560:A634)</f>
        <v>75</v>
      </c>
      <c r="C634" s="24" t="s">
        <v>579</v>
      </c>
      <c r="D634" s="31">
        <f t="shared" si="129"/>
        <v>100000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3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100000</v>
      </c>
      <c r="AE634" s="31">
        <v>0</v>
      </c>
      <c r="AF634" s="34">
        <v>2021</v>
      </c>
      <c r="AG634" s="34" t="s">
        <v>271</v>
      </c>
      <c r="AH634" s="35" t="s">
        <v>271</v>
      </c>
      <c r="BZ634" s="71"/>
      <c r="CD634" s="20" t="e">
        <f t="shared" si="136"/>
        <v>#N/A</v>
      </c>
    </row>
    <row r="635" spans="1:84" ht="61.5" x14ac:dyDescent="0.85">
      <c r="A635" s="20">
        <v>1</v>
      </c>
      <c r="B635" s="66">
        <f>SUBTOTAL(103,$A$560:A635)</f>
        <v>76</v>
      </c>
      <c r="C635" s="24" t="s">
        <v>580</v>
      </c>
      <c r="D635" s="31">
        <f t="shared" si="129"/>
        <v>100000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3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100000</v>
      </c>
      <c r="AE635" s="31">
        <v>0</v>
      </c>
      <c r="AF635" s="34">
        <v>2021</v>
      </c>
      <c r="AG635" s="34" t="s">
        <v>271</v>
      </c>
      <c r="AH635" s="35" t="s">
        <v>271</v>
      </c>
      <c r="BZ635" s="71"/>
      <c r="CD635" s="20" t="e">
        <f t="shared" si="136"/>
        <v>#N/A</v>
      </c>
    </row>
    <row r="636" spans="1:84" ht="61.5" x14ac:dyDescent="0.85">
      <c r="A636" s="20">
        <v>1</v>
      </c>
      <c r="B636" s="66">
        <f>SUBTOTAL(103,$A$560:A636)</f>
        <v>77</v>
      </c>
      <c r="C636" s="24" t="s">
        <v>1652</v>
      </c>
      <c r="D636" s="31">
        <f t="shared" si="129"/>
        <v>100001.92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3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1">
        <v>100001.92</v>
      </c>
      <c r="AE636" s="31">
        <v>0</v>
      </c>
      <c r="AF636" s="34">
        <v>2021</v>
      </c>
      <c r="AG636" s="34" t="s">
        <v>271</v>
      </c>
      <c r="AH636" s="35" t="s">
        <v>271</v>
      </c>
      <c r="BZ636" s="71"/>
      <c r="CD636" s="20" t="e">
        <f t="shared" si="136"/>
        <v>#N/A</v>
      </c>
    </row>
    <row r="637" spans="1:84" ht="61.5" x14ac:dyDescent="0.85">
      <c r="A637" s="20">
        <v>1</v>
      </c>
      <c r="B637" s="66">
        <f>SUBTOTAL(103,$A$560:A637)</f>
        <v>78</v>
      </c>
      <c r="C637" s="24" t="s">
        <v>581</v>
      </c>
      <c r="D637" s="31">
        <f t="shared" si="129"/>
        <v>100000</v>
      </c>
      <c r="E637" s="31">
        <v>0</v>
      </c>
      <c r="F637" s="31">
        <v>0</v>
      </c>
      <c r="G637" s="31">
        <v>0</v>
      </c>
      <c r="H637" s="31">
        <v>0</v>
      </c>
      <c r="I637" s="31">
        <v>0</v>
      </c>
      <c r="J637" s="31">
        <v>0</v>
      </c>
      <c r="K637" s="33">
        <v>0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v>0</v>
      </c>
      <c r="AD637" s="31">
        <v>100000</v>
      </c>
      <c r="AE637" s="31">
        <v>0</v>
      </c>
      <c r="AF637" s="34">
        <v>2021</v>
      </c>
      <c r="AG637" s="34" t="s">
        <v>271</v>
      </c>
      <c r="AH637" s="35" t="s">
        <v>271</v>
      </c>
      <c r="BZ637" s="71"/>
      <c r="CD637" s="20" t="e">
        <f t="shared" si="136"/>
        <v>#N/A</v>
      </c>
    </row>
    <row r="638" spans="1:84" ht="61.5" x14ac:dyDescent="0.85">
      <c r="A638" s="20">
        <v>1</v>
      </c>
      <c r="B638" s="66">
        <f>SUBTOTAL(103,$A$560:A638)</f>
        <v>79</v>
      </c>
      <c r="C638" s="24" t="s">
        <v>1653</v>
      </c>
      <c r="D638" s="31">
        <f t="shared" si="129"/>
        <v>100000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3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1">
        <v>100000</v>
      </c>
      <c r="AE638" s="31">
        <v>0</v>
      </c>
      <c r="AF638" s="34">
        <v>2021</v>
      </c>
      <c r="AG638" s="34" t="s">
        <v>271</v>
      </c>
      <c r="AH638" s="35" t="s">
        <v>271</v>
      </c>
      <c r="BZ638" s="71"/>
      <c r="CD638" s="20" t="e">
        <f t="shared" si="136"/>
        <v>#N/A</v>
      </c>
    </row>
    <row r="639" spans="1:84" ht="61.5" x14ac:dyDescent="0.85">
      <c r="A639" s="20">
        <v>1</v>
      </c>
      <c r="B639" s="66">
        <f>SUBTOTAL(103,$A$560:A639)</f>
        <v>80</v>
      </c>
      <c r="C639" s="24" t="s">
        <v>582</v>
      </c>
      <c r="D639" s="31">
        <f t="shared" si="129"/>
        <v>100000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3">
        <v>0</v>
      </c>
      <c r="L639" s="31">
        <v>0</v>
      </c>
      <c r="M639" s="31">
        <v>0</v>
      </c>
      <c r="N639" s="31">
        <v>0</v>
      </c>
      <c r="O639" s="31">
        <v>0</v>
      </c>
      <c r="P639" s="31">
        <v>0</v>
      </c>
      <c r="Q639" s="31">
        <v>0</v>
      </c>
      <c r="R639" s="31">
        <v>0</v>
      </c>
      <c r="S639" s="31">
        <v>0</v>
      </c>
      <c r="T639" s="31">
        <v>0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0</v>
      </c>
      <c r="AA639" s="31">
        <v>0</v>
      </c>
      <c r="AB639" s="31">
        <v>0</v>
      </c>
      <c r="AC639" s="31">
        <v>0</v>
      </c>
      <c r="AD639" s="31">
        <v>100000</v>
      </c>
      <c r="AE639" s="31">
        <v>0</v>
      </c>
      <c r="AF639" s="34">
        <v>2021</v>
      </c>
      <c r="AG639" s="34" t="s">
        <v>271</v>
      </c>
      <c r="AH639" s="35" t="s">
        <v>271</v>
      </c>
      <c r="BZ639" s="71"/>
      <c r="CD639" s="20" t="e">
        <f t="shared" si="136"/>
        <v>#N/A</v>
      </c>
    </row>
    <row r="640" spans="1:84" ht="61.5" x14ac:dyDescent="0.85">
      <c r="A640" s="20">
        <v>1</v>
      </c>
      <c r="B640" s="66">
        <f>SUBTOTAL(103,$A$560:A640)</f>
        <v>81</v>
      </c>
      <c r="C640" s="24" t="s">
        <v>583</v>
      </c>
      <c r="D640" s="31">
        <f t="shared" si="129"/>
        <v>100000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3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100000</v>
      </c>
      <c r="AE640" s="31">
        <v>0</v>
      </c>
      <c r="AF640" s="34">
        <v>2021</v>
      </c>
      <c r="AG640" s="34" t="s">
        <v>271</v>
      </c>
      <c r="AH640" s="35" t="s">
        <v>271</v>
      </c>
      <c r="BZ640" s="71"/>
      <c r="CD640" s="20" t="e">
        <f t="shared" si="136"/>
        <v>#N/A</v>
      </c>
    </row>
    <row r="641" spans="1:82" ht="61.5" x14ac:dyDescent="0.85">
      <c r="A641" s="20">
        <v>1</v>
      </c>
      <c r="B641" s="66">
        <f>SUBTOTAL(103,$A$560:A641)</f>
        <v>82</v>
      </c>
      <c r="C641" s="24" t="s">
        <v>584</v>
      </c>
      <c r="D641" s="31">
        <f t="shared" si="129"/>
        <v>100000</v>
      </c>
      <c r="E641" s="31">
        <v>0</v>
      </c>
      <c r="F641" s="31">
        <v>0</v>
      </c>
      <c r="G641" s="31">
        <v>0</v>
      </c>
      <c r="H641" s="31">
        <v>0</v>
      </c>
      <c r="I641" s="31">
        <v>0</v>
      </c>
      <c r="J641" s="31">
        <v>0</v>
      </c>
      <c r="K641" s="33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0</v>
      </c>
      <c r="AA641" s="31">
        <v>0</v>
      </c>
      <c r="AB641" s="31">
        <v>0</v>
      </c>
      <c r="AC641" s="31">
        <v>0</v>
      </c>
      <c r="AD641" s="31">
        <v>100000</v>
      </c>
      <c r="AE641" s="31">
        <v>0</v>
      </c>
      <c r="AF641" s="34">
        <v>2021</v>
      </c>
      <c r="AG641" s="34" t="s">
        <v>271</v>
      </c>
      <c r="AH641" s="35" t="s">
        <v>271</v>
      </c>
      <c r="BZ641" s="71"/>
      <c r="CD641" s="20" t="e">
        <f t="shared" si="136"/>
        <v>#N/A</v>
      </c>
    </row>
    <row r="642" spans="1:82" ht="61.5" x14ac:dyDescent="0.85">
      <c r="A642" s="20">
        <v>1</v>
      </c>
      <c r="B642" s="66">
        <f>SUBTOTAL(103,$A$560:A642)</f>
        <v>83</v>
      </c>
      <c r="C642" s="24" t="s">
        <v>585</v>
      </c>
      <c r="D642" s="31">
        <f t="shared" si="129"/>
        <v>100000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3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100000</v>
      </c>
      <c r="AE642" s="31">
        <v>0</v>
      </c>
      <c r="AF642" s="34">
        <v>2021</v>
      </c>
      <c r="AG642" s="34" t="s">
        <v>271</v>
      </c>
      <c r="AH642" s="35" t="s">
        <v>271</v>
      </c>
      <c r="BZ642" s="71"/>
      <c r="CD642" s="20" t="e">
        <f t="shared" si="136"/>
        <v>#N/A</v>
      </c>
    </row>
    <row r="643" spans="1:82" ht="61.5" x14ac:dyDescent="0.85">
      <c r="A643" s="20">
        <v>1</v>
      </c>
      <c r="B643" s="66">
        <f>SUBTOTAL(103,$A$560:A643)</f>
        <v>84</v>
      </c>
      <c r="C643" s="24" t="s">
        <v>586</v>
      </c>
      <c r="D643" s="31">
        <f t="shared" si="129"/>
        <v>99900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3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99900</v>
      </c>
      <c r="AE643" s="31">
        <v>0</v>
      </c>
      <c r="AF643" s="34">
        <v>2021</v>
      </c>
      <c r="AG643" s="34" t="s">
        <v>271</v>
      </c>
      <c r="AH643" s="35" t="s">
        <v>271</v>
      </c>
      <c r="BZ643" s="71"/>
      <c r="CD643" s="20" t="e">
        <f t="shared" si="136"/>
        <v>#N/A</v>
      </c>
    </row>
    <row r="644" spans="1:82" ht="61.5" x14ac:dyDescent="0.85">
      <c r="A644" s="20">
        <v>1</v>
      </c>
      <c r="B644" s="66">
        <f>SUBTOTAL(103,$A$560:A644)</f>
        <v>85</v>
      </c>
      <c r="C644" s="24" t="s">
        <v>1654</v>
      </c>
      <c r="D644" s="31">
        <f t="shared" si="129"/>
        <v>100000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3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100000</v>
      </c>
      <c r="AE644" s="31">
        <v>0</v>
      </c>
      <c r="AF644" s="34">
        <v>2021</v>
      </c>
      <c r="AG644" s="34" t="s">
        <v>271</v>
      </c>
      <c r="AH644" s="35" t="s">
        <v>271</v>
      </c>
      <c r="BZ644" s="71"/>
      <c r="CD644" s="20" t="e">
        <f t="shared" si="136"/>
        <v>#N/A</v>
      </c>
    </row>
    <row r="645" spans="1:82" ht="61.5" x14ac:dyDescent="0.85">
      <c r="A645" s="20">
        <v>1</v>
      </c>
      <c r="B645" s="66">
        <f>SUBTOTAL(103,$A$560:A645)</f>
        <v>86</v>
      </c>
      <c r="C645" s="24" t="s">
        <v>588</v>
      </c>
      <c r="D645" s="31">
        <f t="shared" si="129"/>
        <v>100000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3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31">
        <v>0</v>
      </c>
      <c r="AC645" s="31">
        <v>0</v>
      </c>
      <c r="AD645" s="31">
        <v>100000</v>
      </c>
      <c r="AE645" s="31">
        <v>0</v>
      </c>
      <c r="AF645" s="34">
        <v>2021</v>
      </c>
      <c r="AG645" s="34" t="s">
        <v>271</v>
      </c>
      <c r="AH645" s="35" t="s">
        <v>271</v>
      </c>
      <c r="BZ645" s="71"/>
      <c r="CD645" s="20" t="e">
        <f t="shared" si="136"/>
        <v>#N/A</v>
      </c>
    </row>
    <row r="646" spans="1:82" ht="61.5" x14ac:dyDescent="0.85">
      <c r="A646" s="20">
        <v>1</v>
      </c>
      <c r="B646" s="66">
        <f>SUBTOTAL(103,$A$560:A646)</f>
        <v>87</v>
      </c>
      <c r="C646" s="24" t="s">
        <v>589</v>
      </c>
      <c r="D646" s="31">
        <f t="shared" si="129"/>
        <v>100000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3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1">
        <v>0</v>
      </c>
      <c r="AD646" s="31">
        <v>100000</v>
      </c>
      <c r="AE646" s="31">
        <v>0</v>
      </c>
      <c r="AF646" s="34">
        <v>2021</v>
      </c>
      <c r="AG646" s="34" t="s">
        <v>271</v>
      </c>
      <c r="AH646" s="35" t="s">
        <v>271</v>
      </c>
      <c r="BZ646" s="71"/>
      <c r="CD646" s="20" t="e">
        <f t="shared" si="136"/>
        <v>#N/A</v>
      </c>
    </row>
    <row r="647" spans="1:82" ht="61.5" x14ac:dyDescent="0.85">
      <c r="A647" s="20">
        <v>1</v>
      </c>
      <c r="B647" s="66">
        <f>SUBTOTAL(103,$A$560:A647)</f>
        <v>88</v>
      </c>
      <c r="C647" s="24" t="s">
        <v>590</v>
      </c>
      <c r="D647" s="31">
        <f t="shared" si="129"/>
        <v>100000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3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v>0</v>
      </c>
      <c r="AD647" s="31">
        <v>100000</v>
      </c>
      <c r="AE647" s="31">
        <v>0</v>
      </c>
      <c r="AF647" s="34">
        <v>2021</v>
      </c>
      <c r="AG647" s="34" t="s">
        <v>271</v>
      </c>
      <c r="AH647" s="35" t="s">
        <v>271</v>
      </c>
      <c r="BZ647" s="71"/>
      <c r="CD647" s="20" t="e">
        <f t="shared" si="136"/>
        <v>#N/A</v>
      </c>
    </row>
    <row r="648" spans="1:82" ht="61.5" x14ac:dyDescent="0.85">
      <c r="A648" s="20">
        <v>1</v>
      </c>
      <c r="B648" s="66">
        <f>SUBTOTAL(103,$A$560:A648)</f>
        <v>89</v>
      </c>
      <c r="C648" s="24" t="s">
        <v>591</v>
      </c>
      <c r="D648" s="31">
        <f t="shared" si="129"/>
        <v>100000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3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100000</v>
      </c>
      <c r="AE648" s="31">
        <v>0</v>
      </c>
      <c r="AF648" s="34">
        <v>2021</v>
      </c>
      <c r="AG648" s="34" t="s">
        <v>271</v>
      </c>
      <c r="AH648" s="35" t="s">
        <v>271</v>
      </c>
      <c r="BZ648" s="71"/>
      <c r="CD648" s="20" t="e">
        <f t="shared" si="136"/>
        <v>#N/A</v>
      </c>
    </row>
    <row r="649" spans="1:82" ht="61.5" x14ac:dyDescent="0.85">
      <c r="A649" s="20">
        <v>1</v>
      </c>
      <c r="B649" s="66">
        <f>SUBTOTAL(103,$A$560:A649)</f>
        <v>90</v>
      </c>
      <c r="C649" s="24" t="s">
        <v>592</v>
      </c>
      <c r="D649" s="31">
        <f t="shared" si="129"/>
        <v>100000</v>
      </c>
      <c r="E649" s="31">
        <v>0</v>
      </c>
      <c r="F649" s="31">
        <v>0</v>
      </c>
      <c r="G649" s="31">
        <v>0</v>
      </c>
      <c r="H649" s="31">
        <v>0</v>
      </c>
      <c r="I649" s="31">
        <v>0</v>
      </c>
      <c r="J649" s="31">
        <v>0</v>
      </c>
      <c r="K649" s="33">
        <v>0</v>
      </c>
      <c r="L649" s="31">
        <v>0</v>
      </c>
      <c r="M649" s="31">
        <v>0</v>
      </c>
      <c r="N649" s="31">
        <v>0</v>
      </c>
      <c r="O649" s="31">
        <v>0</v>
      </c>
      <c r="P649" s="31">
        <v>0</v>
      </c>
      <c r="Q649" s="31">
        <v>0</v>
      </c>
      <c r="R649" s="31">
        <v>0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1">
        <v>100000</v>
      </c>
      <c r="AE649" s="31">
        <v>0</v>
      </c>
      <c r="AF649" s="34">
        <v>2021</v>
      </c>
      <c r="AG649" s="34" t="s">
        <v>271</v>
      </c>
      <c r="AH649" s="35" t="s">
        <v>271</v>
      </c>
      <c r="BZ649" s="71"/>
      <c r="CD649" s="20" t="e">
        <f t="shared" si="136"/>
        <v>#N/A</v>
      </c>
    </row>
    <row r="650" spans="1:82" ht="61.5" x14ac:dyDescent="0.85">
      <c r="A650" s="20">
        <v>1</v>
      </c>
      <c r="B650" s="66">
        <f>SUBTOTAL(103,$A$560:A650)</f>
        <v>91</v>
      </c>
      <c r="C650" s="24" t="s">
        <v>593</v>
      </c>
      <c r="D650" s="31">
        <f t="shared" si="129"/>
        <v>100000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3">
        <v>0</v>
      </c>
      <c r="L650" s="31">
        <v>0</v>
      </c>
      <c r="M650" s="31">
        <v>0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100000</v>
      </c>
      <c r="AE650" s="31">
        <v>0</v>
      </c>
      <c r="AF650" s="34">
        <v>2021</v>
      </c>
      <c r="AG650" s="34" t="s">
        <v>271</v>
      </c>
      <c r="AH650" s="35" t="s">
        <v>271</v>
      </c>
      <c r="BZ650" s="71"/>
      <c r="CD650" s="20" t="e">
        <f t="shared" si="136"/>
        <v>#N/A</v>
      </c>
    </row>
    <row r="651" spans="1:82" ht="61.5" x14ac:dyDescent="0.85">
      <c r="A651" s="20">
        <v>1</v>
      </c>
      <c r="B651" s="66">
        <f>SUBTOTAL(103,$A$560:A651)</f>
        <v>92</v>
      </c>
      <c r="C651" s="24" t="s">
        <v>594</v>
      </c>
      <c r="D651" s="31">
        <f t="shared" si="129"/>
        <v>100000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3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0</v>
      </c>
      <c r="Y651" s="31">
        <v>0</v>
      </c>
      <c r="Z651" s="31">
        <v>0</v>
      </c>
      <c r="AA651" s="31">
        <v>0</v>
      </c>
      <c r="AB651" s="31">
        <v>0</v>
      </c>
      <c r="AC651" s="31">
        <v>0</v>
      </c>
      <c r="AD651" s="31">
        <v>100000</v>
      </c>
      <c r="AE651" s="31">
        <v>0</v>
      </c>
      <c r="AF651" s="34">
        <v>2021</v>
      </c>
      <c r="AG651" s="34" t="s">
        <v>271</v>
      </c>
      <c r="AH651" s="35" t="s">
        <v>271</v>
      </c>
      <c r="BZ651" s="71"/>
      <c r="CD651" s="20" t="e">
        <f t="shared" si="136"/>
        <v>#N/A</v>
      </c>
    </row>
    <row r="652" spans="1:82" ht="61.5" x14ac:dyDescent="0.85">
      <c r="A652" s="20">
        <v>1</v>
      </c>
      <c r="B652" s="66">
        <f>SUBTOTAL(103,$A$560:A652)</f>
        <v>93</v>
      </c>
      <c r="C652" s="24" t="s">
        <v>595</v>
      </c>
      <c r="D652" s="31">
        <f t="shared" si="129"/>
        <v>100000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3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1">
        <v>100000</v>
      </c>
      <c r="AE652" s="31">
        <v>0</v>
      </c>
      <c r="AF652" s="34">
        <v>2021</v>
      </c>
      <c r="AG652" s="34" t="s">
        <v>271</v>
      </c>
      <c r="AH652" s="35" t="s">
        <v>271</v>
      </c>
      <c r="BZ652" s="71"/>
      <c r="CD652" s="20" t="e">
        <f t="shared" si="136"/>
        <v>#N/A</v>
      </c>
    </row>
    <row r="653" spans="1:82" ht="61.5" x14ac:dyDescent="0.85">
      <c r="A653" s="20">
        <v>1</v>
      </c>
      <c r="B653" s="66">
        <f>SUBTOTAL(103,$A$560:A653)</f>
        <v>94</v>
      </c>
      <c r="C653" s="24" t="s">
        <v>596</v>
      </c>
      <c r="D653" s="31">
        <f t="shared" si="129"/>
        <v>100000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3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0</v>
      </c>
      <c r="T653" s="31">
        <v>0</v>
      </c>
      <c r="U653" s="31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</v>
      </c>
      <c r="AC653" s="31">
        <v>0</v>
      </c>
      <c r="AD653" s="31">
        <v>100000</v>
      </c>
      <c r="AE653" s="31">
        <v>0</v>
      </c>
      <c r="AF653" s="34">
        <v>2021</v>
      </c>
      <c r="AG653" s="34" t="s">
        <v>271</v>
      </c>
      <c r="AH653" s="35" t="s">
        <v>271</v>
      </c>
      <c r="BZ653" s="71"/>
      <c r="CD653" s="20" t="e">
        <f t="shared" si="136"/>
        <v>#N/A</v>
      </c>
    </row>
    <row r="654" spans="1:82" ht="61.5" x14ac:dyDescent="0.85">
      <c r="A654" s="20">
        <v>1</v>
      </c>
      <c r="B654" s="66">
        <f>SUBTOTAL(103,$A$560:A654)</f>
        <v>95</v>
      </c>
      <c r="C654" s="24" t="s">
        <v>1655</v>
      </c>
      <c r="D654" s="31">
        <f t="shared" si="129"/>
        <v>100000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3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</v>
      </c>
      <c r="AC654" s="31">
        <v>0</v>
      </c>
      <c r="AD654" s="31">
        <v>100000</v>
      </c>
      <c r="AE654" s="31">
        <v>0</v>
      </c>
      <c r="AF654" s="34">
        <v>2021</v>
      </c>
      <c r="AG654" s="34" t="s">
        <v>271</v>
      </c>
      <c r="AH654" s="35" t="s">
        <v>271</v>
      </c>
      <c r="BZ654" s="71"/>
      <c r="CD654" s="20" t="e">
        <f t="shared" si="136"/>
        <v>#N/A</v>
      </c>
    </row>
    <row r="655" spans="1:82" ht="61.5" x14ac:dyDescent="0.85">
      <c r="A655" s="20">
        <v>1</v>
      </c>
      <c r="B655" s="66">
        <f>SUBTOTAL(103,$A$560:A655)</f>
        <v>96</v>
      </c>
      <c r="C655" s="24" t="s">
        <v>1656</v>
      </c>
      <c r="D655" s="31">
        <f t="shared" si="129"/>
        <v>100000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3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100000</v>
      </c>
      <c r="AE655" s="31">
        <v>0</v>
      </c>
      <c r="AF655" s="34">
        <v>2021</v>
      </c>
      <c r="AG655" s="34" t="s">
        <v>271</v>
      </c>
      <c r="AH655" s="35" t="s">
        <v>271</v>
      </c>
      <c r="BZ655" s="71"/>
      <c r="CD655" s="20" t="e">
        <f t="shared" si="136"/>
        <v>#N/A</v>
      </c>
    </row>
    <row r="656" spans="1:82" ht="61.5" x14ac:dyDescent="0.85">
      <c r="A656" s="20">
        <v>1</v>
      </c>
      <c r="B656" s="66">
        <f>SUBTOTAL(103,$A$560:A656)</f>
        <v>97</v>
      </c>
      <c r="C656" s="24" t="s">
        <v>597</v>
      </c>
      <c r="D656" s="31">
        <f t="shared" si="129"/>
        <v>100000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3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0</v>
      </c>
      <c r="U656" s="31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100000</v>
      </c>
      <c r="AE656" s="31">
        <v>0</v>
      </c>
      <c r="AF656" s="34">
        <v>2021</v>
      </c>
      <c r="AG656" s="34" t="s">
        <v>271</v>
      </c>
      <c r="AH656" s="35" t="s">
        <v>271</v>
      </c>
      <c r="BZ656" s="71"/>
      <c r="CD656" s="20" t="e">
        <f t="shared" si="136"/>
        <v>#N/A</v>
      </c>
    </row>
    <row r="657" spans="1:82" ht="61.5" x14ac:dyDescent="0.85">
      <c r="A657" s="20">
        <v>1</v>
      </c>
      <c r="B657" s="66">
        <f>SUBTOTAL(103,$A$560:A657)</f>
        <v>98</v>
      </c>
      <c r="C657" s="24" t="s">
        <v>598</v>
      </c>
      <c r="D657" s="31">
        <f t="shared" si="129"/>
        <v>100000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3">
        <v>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100000</v>
      </c>
      <c r="AE657" s="31">
        <v>0</v>
      </c>
      <c r="AF657" s="34">
        <v>2021</v>
      </c>
      <c r="AG657" s="34" t="s">
        <v>271</v>
      </c>
      <c r="AH657" s="35" t="s">
        <v>271</v>
      </c>
      <c r="BZ657" s="71"/>
      <c r="CD657" s="20" t="e">
        <f t="shared" si="136"/>
        <v>#N/A</v>
      </c>
    </row>
    <row r="658" spans="1:82" ht="61.5" x14ac:dyDescent="0.85">
      <c r="A658" s="20">
        <v>1</v>
      </c>
      <c r="B658" s="66">
        <f>SUBTOTAL(103,$A$560:A658)</f>
        <v>99</v>
      </c>
      <c r="C658" s="24" t="s">
        <v>599</v>
      </c>
      <c r="D658" s="31">
        <f t="shared" si="129"/>
        <v>100000</v>
      </c>
      <c r="E658" s="31">
        <v>0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3">
        <v>0</v>
      </c>
      <c r="L658" s="31">
        <v>0</v>
      </c>
      <c r="M658" s="31">
        <v>0</v>
      </c>
      <c r="N658" s="31">
        <v>0</v>
      </c>
      <c r="O658" s="31">
        <v>0</v>
      </c>
      <c r="P658" s="31">
        <v>0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100000</v>
      </c>
      <c r="AE658" s="31">
        <v>0</v>
      </c>
      <c r="AF658" s="34">
        <v>2021</v>
      </c>
      <c r="AG658" s="34" t="s">
        <v>271</v>
      </c>
      <c r="AH658" s="35" t="s">
        <v>271</v>
      </c>
      <c r="BZ658" s="71"/>
      <c r="CD658" s="20" t="e">
        <f t="shared" si="136"/>
        <v>#N/A</v>
      </c>
    </row>
    <row r="659" spans="1:82" ht="61.5" x14ac:dyDescent="0.85">
      <c r="A659" s="20">
        <v>1</v>
      </c>
      <c r="B659" s="66">
        <f>SUBTOTAL(103,$A$560:A659)</f>
        <v>100</v>
      </c>
      <c r="C659" s="24" t="s">
        <v>600</v>
      </c>
      <c r="D659" s="31">
        <f t="shared" si="129"/>
        <v>100000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3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1">
        <v>0</v>
      </c>
      <c r="AD659" s="31">
        <v>100000</v>
      </c>
      <c r="AE659" s="31">
        <v>0</v>
      </c>
      <c r="AF659" s="34">
        <v>2021</v>
      </c>
      <c r="AG659" s="34" t="s">
        <v>271</v>
      </c>
      <c r="AH659" s="35" t="s">
        <v>271</v>
      </c>
      <c r="BZ659" s="71"/>
      <c r="CD659" s="20" t="e">
        <f t="shared" si="136"/>
        <v>#N/A</v>
      </c>
    </row>
    <row r="660" spans="1:82" ht="61.5" x14ac:dyDescent="0.85">
      <c r="A660" s="20">
        <v>1</v>
      </c>
      <c r="B660" s="66">
        <f>SUBTOTAL(103,$A$560:A660)</f>
        <v>101</v>
      </c>
      <c r="C660" s="24" t="s">
        <v>1723</v>
      </c>
      <c r="D660" s="31">
        <f t="shared" si="129"/>
        <v>100000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3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</v>
      </c>
      <c r="AC660" s="31">
        <v>0</v>
      </c>
      <c r="AD660" s="31">
        <v>100000</v>
      </c>
      <c r="AE660" s="31">
        <v>0</v>
      </c>
      <c r="AF660" s="34">
        <v>2021</v>
      </c>
      <c r="AG660" s="34" t="s">
        <v>271</v>
      </c>
      <c r="AH660" s="35" t="s">
        <v>271</v>
      </c>
      <c r="BZ660" s="71"/>
      <c r="CD660" s="20" t="e">
        <f t="shared" si="136"/>
        <v>#N/A</v>
      </c>
    </row>
    <row r="661" spans="1:82" ht="61.5" x14ac:dyDescent="0.85">
      <c r="A661" s="20">
        <v>1</v>
      </c>
      <c r="B661" s="66">
        <f>SUBTOTAL(103,$A$560:A661)</f>
        <v>102</v>
      </c>
      <c r="C661" s="24" t="s">
        <v>1724</v>
      </c>
      <c r="D661" s="31">
        <f t="shared" si="129"/>
        <v>100000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3">
        <v>0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1">
        <v>100000</v>
      </c>
      <c r="AE661" s="31">
        <v>0</v>
      </c>
      <c r="AF661" s="34">
        <v>2021</v>
      </c>
      <c r="AG661" s="34" t="s">
        <v>271</v>
      </c>
      <c r="AH661" s="35" t="s">
        <v>271</v>
      </c>
      <c r="BZ661" s="71"/>
      <c r="CD661" s="20" t="e">
        <f t="shared" si="136"/>
        <v>#N/A</v>
      </c>
    </row>
    <row r="662" spans="1:82" ht="61.5" x14ac:dyDescent="0.85">
      <c r="A662" s="20">
        <v>1</v>
      </c>
      <c r="B662" s="66">
        <f>SUBTOTAL(103,$A$560:A662)</f>
        <v>103</v>
      </c>
      <c r="C662" s="24" t="s">
        <v>601</v>
      </c>
      <c r="D662" s="31">
        <f t="shared" si="129"/>
        <v>120000.25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3">
        <v>0</v>
      </c>
      <c r="L662" s="31">
        <v>0</v>
      </c>
      <c r="M662" s="31">
        <v>0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1">
        <v>120000.25</v>
      </c>
      <c r="AE662" s="31">
        <v>0</v>
      </c>
      <c r="AF662" s="34">
        <v>2021</v>
      </c>
      <c r="AG662" s="34" t="s">
        <v>271</v>
      </c>
      <c r="AH662" s="35" t="s">
        <v>271</v>
      </c>
      <c r="BZ662" s="71"/>
      <c r="CD662" s="20" t="e">
        <f t="shared" si="136"/>
        <v>#N/A</v>
      </c>
    </row>
    <row r="663" spans="1:82" ht="61.5" x14ac:dyDescent="0.85">
      <c r="A663" s="20">
        <v>1</v>
      </c>
      <c r="B663" s="66">
        <f>SUBTOTAL(103,$A$560:A663)</f>
        <v>104</v>
      </c>
      <c r="C663" s="24" t="s">
        <v>602</v>
      </c>
      <c r="D663" s="31">
        <f t="shared" si="129"/>
        <v>100000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3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31">
        <v>0</v>
      </c>
      <c r="AA663" s="31">
        <v>0</v>
      </c>
      <c r="AB663" s="31">
        <v>0</v>
      </c>
      <c r="AC663" s="31">
        <v>0</v>
      </c>
      <c r="AD663" s="31">
        <v>100000</v>
      </c>
      <c r="AE663" s="31">
        <v>0</v>
      </c>
      <c r="AF663" s="34">
        <v>2021</v>
      </c>
      <c r="AG663" s="34" t="s">
        <v>271</v>
      </c>
      <c r="AH663" s="35" t="s">
        <v>271</v>
      </c>
      <c r="BZ663" s="71"/>
      <c r="CD663" s="20" t="e">
        <f t="shared" si="136"/>
        <v>#N/A</v>
      </c>
    </row>
    <row r="664" spans="1:82" ht="61.5" x14ac:dyDescent="0.85">
      <c r="A664" s="20">
        <v>1</v>
      </c>
      <c r="B664" s="66">
        <f>SUBTOTAL(103,$A$560:A664)</f>
        <v>105</v>
      </c>
      <c r="C664" s="24" t="s">
        <v>603</v>
      </c>
      <c r="D664" s="31">
        <f t="shared" si="129"/>
        <v>100000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3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100000</v>
      </c>
      <c r="AE664" s="31">
        <v>0</v>
      </c>
      <c r="AF664" s="34">
        <v>2021</v>
      </c>
      <c r="AG664" s="34" t="s">
        <v>271</v>
      </c>
      <c r="AH664" s="35" t="s">
        <v>271</v>
      </c>
      <c r="BZ664" s="71"/>
      <c r="CD664" s="20" t="e">
        <f t="shared" si="136"/>
        <v>#N/A</v>
      </c>
    </row>
    <row r="665" spans="1:82" ht="61.5" x14ac:dyDescent="0.85">
      <c r="A665" s="20">
        <v>1</v>
      </c>
      <c r="B665" s="66">
        <f>SUBTOTAL(103,$A$560:A665)</f>
        <v>106</v>
      </c>
      <c r="C665" s="24" t="s">
        <v>604</v>
      </c>
      <c r="D665" s="31">
        <f t="shared" si="129"/>
        <v>100000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3">
        <v>0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0</v>
      </c>
      <c r="AA665" s="31">
        <v>0</v>
      </c>
      <c r="AB665" s="31">
        <v>0</v>
      </c>
      <c r="AC665" s="31">
        <v>0</v>
      </c>
      <c r="AD665" s="31">
        <v>100000</v>
      </c>
      <c r="AE665" s="31">
        <v>0</v>
      </c>
      <c r="AF665" s="34">
        <v>2021</v>
      </c>
      <c r="AG665" s="34" t="s">
        <v>271</v>
      </c>
      <c r="AH665" s="35" t="s">
        <v>271</v>
      </c>
      <c r="BZ665" s="71"/>
      <c r="CD665" s="20" t="e">
        <f t="shared" si="136"/>
        <v>#N/A</v>
      </c>
    </row>
    <row r="666" spans="1:82" ht="61.5" x14ac:dyDescent="0.85">
      <c r="A666" s="20">
        <v>1</v>
      </c>
      <c r="B666" s="66">
        <f>SUBTOTAL(103,$A$560:A666)</f>
        <v>107</v>
      </c>
      <c r="C666" s="24" t="s">
        <v>605</v>
      </c>
      <c r="D666" s="31">
        <f t="shared" si="129"/>
        <v>100000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3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1">
        <v>0</v>
      </c>
      <c r="AD666" s="31">
        <v>100000</v>
      </c>
      <c r="AE666" s="31">
        <v>0</v>
      </c>
      <c r="AF666" s="34">
        <v>2021</v>
      </c>
      <c r="AG666" s="34" t="s">
        <v>271</v>
      </c>
      <c r="AH666" s="35" t="s">
        <v>271</v>
      </c>
      <c r="BZ666" s="71"/>
      <c r="CD666" s="20" t="e">
        <f t="shared" si="136"/>
        <v>#N/A</v>
      </c>
    </row>
    <row r="667" spans="1:82" ht="61.5" x14ac:dyDescent="0.85">
      <c r="A667" s="20">
        <v>1</v>
      </c>
      <c r="B667" s="66">
        <f>SUBTOTAL(103,$A$560:A667)</f>
        <v>108</v>
      </c>
      <c r="C667" s="24" t="s">
        <v>606</v>
      </c>
      <c r="D667" s="31">
        <f t="shared" si="129"/>
        <v>100000</v>
      </c>
      <c r="E667" s="31">
        <v>0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3">
        <v>0</v>
      </c>
      <c r="L667" s="31">
        <v>0</v>
      </c>
      <c r="M667" s="31">
        <v>0</v>
      </c>
      <c r="N667" s="31">
        <v>0</v>
      </c>
      <c r="O667" s="31">
        <v>0</v>
      </c>
      <c r="P667" s="31">
        <v>0</v>
      </c>
      <c r="Q667" s="31">
        <v>0</v>
      </c>
      <c r="R667" s="31">
        <v>0</v>
      </c>
      <c r="S667" s="31">
        <v>0</v>
      </c>
      <c r="T667" s="31">
        <v>0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0</v>
      </c>
      <c r="AA667" s="31">
        <v>0</v>
      </c>
      <c r="AB667" s="31">
        <v>0</v>
      </c>
      <c r="AC667" s="31">
        <v>0</v>
      </c>
      <c r="AD667" s="31">
        <v>100000</v>
      </c>
      <c r="AE667" s="31">
        <v>0</v>
      </c>
      <c r="AF667" s="34">
        <v>2021</v>
      </c>
      <c r="AG667" s="34" t="s">
        <v>271</v>
      </c>
      <c r="AH667" s="35" t="s">
        <v>271</v>
      </c>
      <c r="BZ667" s="71"/>
      <c r="CD667" s="20" t="e">
        <f t="shared" si="136"/>
        <v>#N/A</v>
      </c>
    </row>
    <row r="668" spans="1:82" ht="61.5" x14ac:dyDescent="0.85">
      <c r="A668" s="20">
        <v>1</v>
      </c>
      <c r="B668" s="66">
        <f>SUBTOTAL(103,$A$560:A668)</f>
        <v>109</v>
      </c>
      <c r="C668" s="24" t="s">
        <v>607</v>
      </c>
      <c r="D668" s="31">
        <f t="shared" si="129"/>
        <v>100000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3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1">
        <v>0</v>
      </c>
      <c r="AD668" s="31">
        <v>100000</v>
      </c>
      <c r="AE668" s="31">
        <v>0</v>
      </c>
      <c r="AF668" s="34">
        <v>2021</v>
      </c>
      <c r="AG668" s="34" t="s">
        <v>271</v>
      </c>
      <c r="AH668" s="35" t="s">
        <v>271</v>
      </c>
      <c r="BZ668" s="71"/>
      <c r="CD668" s="20" t="e">
        <f t="shared" si="136"/>
        <v>#N/A</v>
      </c>
    </row>
    <row r="669" spans="1:82" ht="61.5" x14ac:dyDescent="0.85">
      <c r="A669" s="20">
        <v>1</v>
      </c>
      <c r="B669" s="66">
        <f>SUBTOTAL(103,$A$560:A669)</f>
        <v>110</v>
      </c>
      <c r="C669" s="24" t="s">
        <v>608</v>
      </c>
      <c r="D669" s="31">
        <f t="shared" si="129"/>
        <v>100000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3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1">
        <v>100000</v>
      </c>
      <c r="AE669" s="31">
        <v>0</v>
      </c>
      <c r="AF669" s="34">
        <v>2021</v>
      </c>
      <c r="AG669" s="34" t="s">
        <v>271</v>
      </c>
      <c r="AH669" s="35" t="s">
        <v>271</v>
      </c>
      <c r="BZ669" s="71"/>
      <c r="CD669" s="20" t="e">
        <f t="shared" si="136"/>
        <v>#N/A</v>
      </c>
    </row>
    <row r="670" spans="1:82" ht="61.5" x14ac:dyDescent="0.85">
      <c r="A670" s="20">
        <v>1</v>
      </c>
      <c r="B670" s="66">
        <f>SUBTOTAL(103,$A$560:A670)</f>
        <v>111</v>
      </c>
      <c r="C670" s="24" t="s">
        <v>609</v>
      </c>
      <c r="D670" s="31">
        <f t="shared" si="129"/>
        <v>70000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3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1">
        <v>70000</v>
      </c>
      <c r="AE670" s="31">
        <v>0</v>
      </c>
      <c r="AF670" s="34">
        <v>2021</v>
      </c>
      <c r="AG670" s="34" t="s">
        <v>271</v>
      </c>
      <c r="AH670" s="35" t="s">
        <v>271</v>
      </c>
      <c r="BZ670" s="71"/>
      <c r="CD670" s="20" t="e">
        <f t="shared" si="136"/>
        <v>#N/A</v>
      </c>
    </row>
    <row r="671" spans="1:82" ht="61.5" x14ac:dyDescent="0.85">
      <c r="A671" s="20">
        <v>1</v>
      </c>
      <c r="B671" s="66">
        <f>SUBTOTAL(103,$A$560:A671)</f>
        <v>112</v>
      </c>
      <c r="C671" s="24" t="s">
        <v>610</v>
      </c>
      <c r="D671" s="31">
        <f t="shared" si="129"/>
        <v>100000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3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1">
        <v>0</v>
      </c>
      <c r="AD671" s="31">
        <v>100000</v>
      </c>
      <c r="AE671" s="31">
        <v>0</v>
      </c>
      <c r="AF671" s="34">
        <v>2021</v>
      </c>
      <c r="AG671" s="34" t="s">
        <v>271</v>
      </c>
      <c r="AH671" s="35" t="s">
        <v>271</v>
      </c>
      <c r="BZ671" s="71"/>
      <c r="CD671" s="20" t="e">
        <f t="shared" si="136"/>
        <v>#N/A</v>
      </c>
    </row>
    <row r="672" spans="1:82" ht="61.5" x14ac:dyDescent="0.85">
      <c r="A672" s="20">
        <v>1</v>
      </c>
      <c r="B672" s="66">
        <f>SUBTOTAL(103,$A$560:A672)</f>
        <v>113</v>
      </c>
      <c r="C672" s="24" t="s">
        <v>1397</v>
      </c>
      <c r="D672" s="31">
        <f t="shared" si="129"/>
        <v>163844.70000000001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3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31">
        <v>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163844.70000000001</v>
      </c>
      <c r="AE672" s="31">
        <v>0</v>
      </c>
      <c r="AF672" s="34">
        <v>2021</v>
      </c>
      <c r="AG672" s="34" t="s">
        <v>271</v>
      </c>
      <c r="AH672" s="35" t="s">
        <v>271</v>
      </c>
      <c r="BZ672" s="71"/>
      <c r="CD672" s="20" t="e">
        <f t="shared" si="136"/>
        <v>#N/A</v>
      </c>
    </row>
    <row r="673" spans="1:82" ht="61.5" x14ac:dyDescent="0.85">
      <c r="A673" s="20">
        <v>1</v>
      </c>
      <c r="B673" s="66">
        <f>SUBTOTAL(103,$A$560:A673)</f>
        <v>114</v>
      </c>
      <c r="C673" s="24" t="s">
        <v>1657</v>
      </c>
      <c r="D673" s="31">
        <f t="shared" si="129"/>
        <v>150000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3">
        <v>0</v>
      </c>
      <c r="L673" s="31">
        <v>0</v>
      </c>
      <c r="M673" s="31">
        <v>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1">
        <v>150000</v>
      </c>
      <c r="AE673" s="31">
        <v>0</v>
      </c>
      <c r="AF673" s="34">
        <v>2021</v>
      </c>
      <c r="AG673" s="34" t="s">
        <v>271</v>
      </c>
      <c r="AH673" s="35" t="s">
        <v>271</v>
      </c>
      <c r="BZ673" s="71"/>
      <c r="CD673" s="20" t="e">
        <f t="shared" si="136"/>
        <v>#N/A</v>
      </c>
    </row>
    <row r="674" spans="1:82" ht="61.5" x14ac:dyDescent="0.85">
      <c r="A674" s="20">
        <v>1</v>
      </c>
      <c r="B674" s="66">
        <f>SUBTOTAL(103,$A$560:A674)</f>
        <v>115</v>
      </c>
      <c r="C674" s="24" t="s">
        <v>1658</v>
      </c>
      <c r="D674" s="31">
        <f t="shared" ref="D674:D683" si="137">E674+F674+G674+H674+I674+J674+L674+N674+P674+R674+T674+U674+V674+W674+X674+Y674+Z674+AA674+AB674+AC674+AD674+AE674</f>
        <v>100000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3">
        <v>0</v>
      </c>
      <c r="L674" s="31">
        <v>0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1">
        <v>100000</v>
      </c>
      <c r="AE674" s="31">
        <v>0</v>
      </c>
      <c r="AF674" s="34">
        <v>2021</v>
      </c>
      <c r="AG674" s="34" t="s">
        <v>271</v>
      </c>
      <c r="AH674" s="35" t="s">
        <v>271</v>
      </c>
      <c r="BZ674" s="71"/>
      <c r="CD674" s="20" t="e">
        <f t="shared" si="136"/>
        <v>#N/A</v>
      </c>
    </row>
    <row r="675" spans="1:82" ht="61.5" x14ac:dyDescent="0.85">
      <c r="A675" s="20">
        <v>1</v>
      </c>
      <c r="B675" s="66">
        <f>SUBTOTAL(103,$A$560:A675)</f>
        <v>116</v>
      </c>
      <c r="C675" s="24" t="s">
        <v>611</v>
      </c>
      <c r="D675" s="31">
        <f t="shared" si="137"/>
        <v>100000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3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0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100000</v>
      </c>
      <c r="AE675" s="31">
        <v>0</v>
      </c>
      <c r="AF675" s="34">
        <v>2021</v>
      </c>
      <c r="AG675" s="34" t="s">
        <v>271</v>
      </c>
      <c r="AH675" s="35" t="s">
        <v>271</v>
      </c>
      <c r="BZ675" s="71"/>
      <c r="CD675" s="20" t="e">
        <f t="shared" si="136"/>
        <v>#N/A</v>
      </c>
    </row>
    <row r="676" spans="1:82" ht="61.5" x14ac:dyDescent="0.85">
      <c r="A676" s="20">
        <v>1</v>
      </c>
      <c r="B676" s="66">
        <f>SUBTOTAL(103,$A$560:A676)</f>
        <v>117</v>
      </c>
      <c r="C676" s="24" t="s">
        <v>1640</v>
      </c>
      <c r="D676" s="31">
        <f t="shared" si="137"/>
        <v>100000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3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100000</v>
      </c>
      <c r="AE676" s="31">
        <v>0</v>
      </c>
      <c r="AF676" s="34">
        <v>2021</v>
      </c>
      <c r="AG676" s="34" t="s">
        <v>271</v>
      </c>
      <c r="AH676" s="35" t="s">
        <v>271</v>
      </c>
      <c r="BZ676" s="71"/>
      <c r="CD676" s="20" t="e">
        <f t="shared" si="136"/>
        <v>#N/A</v>
      </c>
    </row>
    <row r="677" spans="1:82" ht="61.5" x14ac:dyDescent="0.85">
      <c r="A677" s="20">
        <v>1</v>
      </c>
      <c r="B677" s="66">
        <f>SUBTOTAL(103,$A$560:A677)</f>
        <v>118</v>
      </c>
      <c r="C677" s="24" t="s">
        <v>612</v>
      </c>
      <c r="D677" s="31">
        <f t="shared" si="137"/>
        <v>100000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3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100000</v>
      </c>
      <c r="AE677" s="31">
        <v>0</v>
      </c>
      <c r="AF677" s="34">
        <v>2021</v>
      </c>
      <c r="AG677" s="34" t="s">
        <v>271</v>
      </c>
      <c r="AH677" s="35" t="s">
        <v>271</v>
      </c>
      <c r="BZ677" s="71"/>
      <c r="CD677" s="20" t="e">
        <f t="shared" si="136"/>
        <v>#N/A</v>
      </c>
    </row>
    <row r="678" spans="1:82" ht="61.5" x14ac:dyDescent="0.85">
      <c r="A678" s="20">
        <v>1</v>
      </c>
      <c r="B678" s="66">
        <f>SUBTOTAL(103,$A$560:A678)</f>
        <v>119</v>
      </c>
      <c r="C678" s="24" t="s">
        <v>613</v>
      </c>
      <c r="D678" s="31">
        <f t="shared" si="137"/>
        <v>100000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3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0</v>
      </c>
      <c r="AB678" s="31">
        <v>0</v>
      </c>
      <c r="AC678" s="31">
        <v>0</v>
      </c>
      <c r="AD678" s="31">
        <v>100000</v>
      </c>
      <c r="AE678" s="31">
        <v>0</v>
      </c>
      <c r="AF678" s="34">
        <v>2021</v>
      </c>
      <c r="AG678" s="34" t="s">
        <v>271</v>
      </c>
      <c r="AH678" s="35" t="s">
        <v>271</v>
      </c>
      <c r="BZ678" s="71"/>
      <c r="CD678" s="20" t="e">
        <f t="shared" si="136"/>
        <v>#N/A</v>
      </c>
    </row>
    <row r="679" spans="1:82" ht="61.5" x14ac:dyDescent="0.85">
      <c r="A679" s="20">
        <v>1</v>
      </c>
      <c r="B679" s="66">
        <f>SUBTOTAL(103,$A$560:A679)</f>
        <v>120</v>
      </c>
      <c r="C679" s="24" t="s">
        <v>614</v>
      </c>
      <c r="D679" s="31">
        <f t="shared" si="137"/>
        <v>100000</v>
      </c>
      <c r="E679" s="31">
        <v>0</v>
      </c>
      <c r="F679" s="31">
        <v>0</v>
      </c>
      <c r="G679" s="31">
        <v>0</v>
      </c>
      <c r="H679" s="31">
        <v>0</v>
      </c>
      <c r="I679" s="31">
        <v>0</v>
      </c>
      <c r="J679" s="31">
        <v>0</v>
      </c>
      <c r="K679" s="33">
        <v>0</v>
      </c>
      <c r="L679" s="31">
        <v>0</v>
      </c>
      <c r="M679" s="31">
        <v>0</v>
      </c>
      <c r="N679" s="31">
        <v>0</v>
      </c>
      <c r="O679" s="31">
        <v>0</v>
      </c>
      <c r="P679" s="31">
        <v>0</v>
      </c>
      <c r="Q679" s="31">
        <v>0</v>
      </c>
      <c r="R679" s="31">
        <v>0</v>
      </c>
      <c r="S679" s="31">
        <v>0</v>
      </c>
      <c r="T679" s="31">
        <v>0</v>
      </c>
      <c r="U679" s="31">
        <v>0</v>
      </c>
      <c r="V679" s="31">
        <v>0</v>
      </c>
      <c r="W679" s="31">
        <v>0</v>
      </c>
      <c r="X679" s="31">
        <v>0</v>
      </c>
      <c r="Y679" s="31">
        <v>0</v>
      </c>
      <c r="Z679" s="31">
        <v>0</v>
      </c>
      <c r="AA679" s="31">
        <v>0</v>
      </c>
      <c r="AB679" s="31">
        <v>0</v>
      </c>
      <c r="AC679" s="31">
        <v>0</v>
      </c>
      <c r="AD679" s="31">
        <v>100000</v>
      </c>
      <c r="AE679" s="31">
        <v>0</v>
      </c>
      <c r="AF679" s="34">
        <v>2021</v>
      </c>
      <c r="AG679" s="34" t="s">
        <v>271</v>
      </c>
      <c r="AH679" s="35" t="s">
        <v>271</v>
      </c>
      <c r="BZ679" s="71"/>
      <c r="CD679" s="20" t="e">
        <f t="shared" si="136"/>
        <v>#N/A</v>
      </c>
    </row>
    <row r="680" spans="1:82" ht="61.5" x14ac:dyDescent="0.85">
      <c r="A680" s="20">
        <v>1</v>
      </c>
      <c r="B680" s="66">
        <f>SUBTOTAL(103,$A$560:A680)</f>
        <v>121</v>
      </c>
      <c r="C680" s="24" t="s">
        <v>615</v>
      </c>
      <c r="D680" s="31">
        <f t="shared" si="137"/>
        <v>100000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3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0</v>
      </c>
      <c r="AC680" s="31">
        <v>0</v>
      </c>
      <c r="AD680" s="31">
        <v>100000</v>
      </c>
      <c r="AE680" s="31">
        <v>0</v>
      </c>
      <c r="AF680" s="34">
        <v>2021</v>
      </c>
      <c r="AG680" s="34" t="s">
        <v>271</v>
      </c>
      <c r="AH680" s="35" t="s">
        <v>271</v>
      </c>
      <c r="BZ680" s="71"/>
      <c r="CD680" s="20" t="e">
        <f t="shared" si="136"/>
        <v>#N/A</v>
      </c>
    </row>
    <row r="681" spans="1:82" ht="61.5" x14ac:dyDescent="0.85">
      <c r="A681" s="20">
        <v>1</v>
      </c>
      <c r="B681" s="66">
        <f>SUBTOTAL(103,$A$560:A681)</f>
        <v>122</v>
      </c>
      <c r="C681" s="24" t="s">
        <v>502</v>
      </c>
      <c r="D681" s="31">
        <f>E681+F681+G681+H681+I681+J681+L681+N681+P681+R681+T681+U681+V681+W681+X681+Y681+Z681+AA681+AB681+AC681+AD681+AE681</f>
        <v>80000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3">
        <v>0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80000</v>
      </c>
      <c r="AE681" s="31">
        <v>0</v>
      </c>
      <c r="AF681" s="34">
        <v>2021</v>
      </c>
      <c r="AG681" s="34" t="s">
        <v>271</v>
      </c>
      <c r="AH681" s="35" t="s">
        <v>271</v>
      </c>
      <c r="BZ681" s="71"/>
      <c r="CD681" s="20" t="e">
        <f t="shared" si="136"/>
        <v>#N/A</v>
      </c>
    </row>
    <row r="682" spans="1:82" ht="61.5" x14ac:dyDescent="0.85">
      <c r="A682" s="20">
        <v>1</v>
      </c>
      <c r="B682" s="66">
        <f>SUBTOTAL(103,$A$560:A682)</f>
        <v>123</v>
      </c>
      <c r="C682" s="24" t="s">
        <v>1083</v>
      </c>
      <c r="D682" s="31">
        <f>E682+F682+G682+H682+I682+J682+L682+N682+P682+R682+T682+U682+V682+W682+X682+Y682+Z682+AA682+AB682+AC682+AD682+AE682</f>
        <v>100000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3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1">
        <v>100000</v>
      </c>
      <c r="AE682" s="31">
        <v>0</v>
      </c>
      <c r="AF682" s="34">
        <v>2021</v>
      </c>
      <c r="AG682" s="34" t="s">
        <v>271</v>
      </c>
      <c r="AH682" s="35" t="s">
        <v>271</v>
      </c>
      <c r="BZ682" s="71"/>
      <c r="CD682" s="20" t="e">
        <f t="shared" si="136"/>
        <v>#N/A</v>
      </c>
    </row>
    <row r="683" spans="1:82" s="134" customFormat="1" ht="61.5" x14ac:dyDescent="0.85">
      <c r="A683" s="134">
        <v>1</v>
      </c>
      <c r="B683" s="66">
        <f>SUBTOTAL(103,$A$560:A683)</f>
        <v>124</v>
      </c>
      <c r="C683" s="24" t="s">
        <v>1709</v>
      </c>
      <c r="D683" s="31">
        <f t="shared" si="137"/>
        <v>101500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3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101500</v>
      </c>
      <c r="AE683" s="31">
        <v>0</v>
      </c>
      <c r="AF683" s="34">
        <v>2021</v>
      </c>
      <c r="AG683" s="34" t="s">
        <v>271</v>
      </c>
      <c r="AH683" s="35" t="s">
        <v>271</v>
      </c>
      <c r="AI683" s="20"/>
      <c r="AJ683" s="20"/>
      <c r="AK683" s="20"/>
      <c r="AL683" s="20"/>
      <c r="BZ683" s="135"/>
      <c r="CD683" s="134" t="e">
        <f t="shared" si="136"/>
        <v>#N/A</v>
      </c>
    </row>
    <row r="684" spans="1:82" s="134" customFormat="1" ht="61.5" x14ac:dyDescent="0.85">
      <c r="A684" s="134">
        <v>1</v>
      </c>
      <c r="B684" s="66">
        <f>SUBTOTAL(103,$A$560:A684)</f>
        <v>125</v>
      </c>
      <c r="C684" s="24" t="s">
        <v>1710</v>
      </c>
      <c r="D684" s="31">
        <f t="shared" ref="D684" si="138">E684+F684+G684+H684+I684+J684+L684+N684+P684+R684+T684+U684+V684+W684+X684+Y684+Z684+AA684+AB684+AC684+AD684+AE684</f>
        <v>100000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3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1">
        <v>0</v>
      </c>
      <c r="AD684" s="31">
        <v>100000</v>
      </c>
      <c r="AE684" s="31">
        <v>0</v>
      </c>
      <c r="AF684" s="34">
        <v>2021</v>
      </c>
      <c r="AG684" s="34" t="s">
        <v>271</v>
      </c>
      <c r="AH684" s="35" t="s">
        <v>271</v>
      </c>
      <c r="AI684" s="20"/>
      <c r="AJ684" s="20"/>
      <c r="AK684" s="20"/>
      <c r="AL684" s="20"/>
      <c r="BZ684" s="135"/>
      <c r="CD684" s="134" t="e">
        <f t="shared" si="136"/>
        <v>#N/A</v>
      </c>
    </row>
    <row r="685" spans="1:82" ht="61.5" x14ac:dyDescent="0.85">
      <c r="A685" s="20">
        <v>1</v>
      </c>
      <c r="B685" s="66">
        <f>SUBTOTAL(103,$A$560:A685)</f>
        <v>126</v>
      </c>
      <c r="C685" s="24" t="s">
        <v>547</v>
      </c>
      <c r="D685" s="31">
        <f>E685+F685+G685+H685+I685+J685+L685+N685+P685+R685+T685+U685+V685+W685+X685+Y685+Z685+AA685+AB685+AC685+AD685+AE685</f>
        <v>100000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3">
        <v>0</v>
      </c>
      <c r="L685" s="31">
        <v>0</v>
      </c>
      <c r="M685" s="31">
        <v>0</v>
      </c>
      <c r="N685" s="31">
        <v>0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v>0</v>
      </c>
      <c r="AD685" s="31">
        <v>100000</v>
      </c>
      <c r="AE685" s="31">
        <v>0</v>
      </c>
      <c r="AF685" s="34">
        <v>2021</v>
      </c>
      <c r="AG685" s="34" t="s">
        <v>271</v>
      </c>
      <c r="AH685" s="35" t="s">
        <v>271</v>
      </c>
      <c r="AT685" s="20" t="e">
        <f>VLOOKUP(C685,AW:AX,2,FALSE)</f>
        <v>#N/A</v>
      </c>
      <c r="BZ685" s="71"/>
      <c r="CD685" s="20" t="e">
        <f t="shared" si="136"/>
        <v>#N/A</v>
      </c>
    </row>
    <row r="686" spans="1:82" ht="61.5" x14ac:dyDescent="0.85">
      <c r="A686" s="20">
        <v>1</v>
      </c>
      <c r="B686" s="66">
        <f>SUBTOTAL(103,$A$560:A686)</f>
        <v>127</v>
      </c>
      <c r="C686" s="24" t="s">
        <v>550</v>
      </c>
      <c r="D686" s="31">
        <f>E686+F686+G686+H686+I686+J686+L686+N686+P686+R686+T686+U686+V686+W686+X686+Y686+Z686+AA686+AB686+AC686+AD686+AE686</f>
        <v>97480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3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v>0</v>
      </c>
      <c r="AD686" s="31">
        <v>97480</v>
      </c>
      <c r="AE686" s="31">
        <v>0</v>
      </c>
      <c r="AF686" s="34">
        <v>2021</v>
      </c>
      <c r="AG686" s="34" t="s">
        <v>271</v>
      </c>
      <c r="AH686" s="35" t="s">
        <v>271</v>
      </c>
      <c r="AT686" s="20" t="e">
        <f>VLOOKUP(C686,AW:AX,2,FALSE)</f>
        <v>#N/A</v>
      </c>
      <c r="BZ686" s="71"/>
      <c r="CD686" s="20" t="e">
        <f t="shared" si="136"/>
        <v>#N/A</v>
      </c>
    </row>
    <row r="687" spans="1:82" ht="61.5" x14ac:dyDescent="0.85">
      <c r="A687" s="20">
        <v>1</v>
      </c>
      <c r="B687" s="66">
        <f>SUBTOTAL(103,$A$560:A687)</f>
        <v>128</v>
      </c>
      <c r="C687" s="24" t="s">
        <v>534</v>
      </c>
      <c r="D687" s="31">
        <f t="shared" ref="D687" si="139">E687+F687+G687+H687+I687+J687+L687+N687+P687+R687+T687+U687+V687+W687+X687+Y687+Z687+AA687+AB687+AC687+AD687+AE687</f>
        <v>100000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3">
        <v>0</v>
      </c>
      <c r="L687" s="31">
        <v>0</v>
      </c>
      <c r="M687" s="31">
        <v>0</v>
      </c>
      <c r="N687" s="31">
        <v>0</v>
      </c>
      <c r="O687" s="31">
        <v>0</v>
      </c>
      <c r="P687" s="31">
        <v>0</v>
      </c>
      <c r="Q687" s="31">
        <v>0</v>
      </c>
      <c r="R687" s="31">
        <v>0</v>
      </c>
      <c r="S687" s="31">
        <v>0</v>
      </c>
      <c r="T687" s="31">
        <v>0</v>
      </c>
      <c r="U687" s="31">
        <v>0</v>
      </c>
      <c r="V687" s="31">
        <v>0</v>
      </c>
      <c r="W687" s="31">
        <v>0</v>
      </c>
      <c r="X687" s="31">
        <v>0</v>
      </c>
      <c r="Y687" s="31">
        <v>0</v>
      </c>
      <c r="Z687" s="31">
        <v>0</v>
      </c>
      <c r="AA687" s="31">
        <v>0</v>
      </c>
      <c r="AB687" s="31">
        <v>0</v>
      </c>
      <c r="AC687" s="31">
        <v>0</v>
      </c>
      <c r="AD687" s="31">
        <v>100000</v>
      </c>
      <c r="AE687" s="31">
        <v>0</v>
      </c>
      <c r="AF687" s="34">
        <v>2021</v>
      </c>
      <c r="AG687" s="34" t="s">
        <v>271</v>
      </c>
      <c r="AH687" s="35" t="s">
        <v>271</v>
      </c>
      <c r="AT687" s="20" t="e">
        <f>VLOOKUP(C687,AW:AX,2,FALSE)</f>
        <v>#N/A</v>
      </c>
      <c r="BZ687" s="71"/>
      <c r="CD687" s="20" t="e">
        <f t="shared" si="136"/>
        <v>#N/A</v>
      </c>
    </row>
    <row r="688" spans="1:82" ht="61.5" x14ac:dyDescent="0.85">
      <c r="A688" s="20">
        <v>1</v>
      </c>
      <c r="B688" s="66">
        <f>SUBTOTAL(103,$A$560:A688)</f>
        <v>129</v>
      </c>
      <c r="C688" s="24" t="s">
        <v>540</v>
      </c>
      <c r="D688" s="31">
        <f>E688+F688+G688+H688+I688+J688+L688+N688+P688+R688+T688+U688+V688+W688+X688+Y688+Z688+AA688+AB688+AC688+AD688+AE688</f>
        <v>100000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3">
        <v>0</v>
      </c>
      <c r="L688" s="31">
        <v>0</v>
      </c>
      <c r="M688" s="31">
        <v>0</v>
      </c>
      <c r="N688" s="31">
        <v>0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1">
        <v>0</v>
      </c>
      <c r="AD688" s="31">
        <v>100000</v>
      </c>
      <c r="AE688" s="31">
        <v>0</v>
      </c>
      <c r="AF688" s="34">
        <v>2021</v>
      </c>
      <c r="AG688" s="34" t="s">
        <v>271</v>
      </c>
      <c r="AH688" s="35" t="s">
        <v>271</v>
      </c>
      <c r="BZ688" s="71"/>
      <c r="CD688" s="20" t="e">
        <f t="shared" si="136"/>
        <v>#N/A</v>
      </c>
    </row>
    <row r="689" spans="1:82" ht="61.5" x14ac:dyDescent="0.85">
      <c r="A689" s="20">
        <v>1</v>
      </c>
      <c r="B689" s="66">
        <f>SUBTOTAL(103,$A$560:A689)</f>
        <v>130</v>
      </c>
      <c r="C689" s="24" t="s">
        <v>558</v>
      </c>
      <c r="D689" s="31">
        <f>E689+F689+G689+H689+I689+J689+L689+N689+P689+R689+T689+U689+V689+W689+X689+Y689+Z689+AA689+AB689+AC689+AD689+AE689</f>
        <v>150000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3">
        <v>0</v>
      </c>
      <c r="L689" s="31">
        <v>0</v>
      </c>
      <c r="M689" s="31">
        <v>0</v>
      </c>
      <c r="N689" s="31">
        <v>0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v>0</v>
      </c>
      <c r="AD689" s="31">
        <v>150000</v>
      </c>
      <c r="AE689" s="31">
        <v>0</v>
      </c>
      <c r="AF689" s="34">
        <v>2021</v>
      </c>
      <c r="AG689" s="34" t="s">
        <v>271</v>
      </c>
      <c r="AH689" s="35" t="s">
        <v>271</v>
      </c>
      <c r="AT689" s="20" t="e">
        <f t="shared" ref="AT689:AT702" si="140">VLOOKUP(C689,AW:AX,2,FALSE)</f>
        <v>#N/A</v>
      </c>
      <c r="BZ689" s="71"/>
      <c r="CD689" s="20" t="e">
        <f t="shared" si="136"/>
        <v>#N/A</v>
      </c>
    </row>
    <row r="690" spans="1:82" ht="61.5" x14ac:dyDescent="0.85">
      <c r="B690" s="24" t="s">
        <v>769</v>
      </c>
      <c r="C690" s="114"/>
      <c r="D690" s="31">
        <f t="shared" ref="D690:AE690" si="141">SUM(D691:D713)</f>
        <v>71633775.410000011</v>
      </c>
      <c r="E690" s="31">
        <f t="shared" si="141"/>
        <v>215356.42</v>
      </c>
      <c r="F690" s="31">
        <f t="shared" si="141"/>
        <v>0</v>
      </c>
      <c r="G690" s="31">
        <f t="shared" si="141"/>
        <v>8891895.6099999994</v>
      </c>
      <c r="H690" s="31">
        <f t="shared" si="141"/>
        <v>0</v>
      </c>
      <c r="I690" s="31">
        <f t="shared" si="141"/>
        <v>2829323.7</v>
      </c>
      <c r="J690" s="31">
        <f t="shared" si="141"/>
        <v>0</v>
      </c>
      <c r="K690" s="33">
        <f t="shared" si="141"/>
        <v>0</v>
      </c>
      <c r="L690" s="31">
        <f t="shared" si="141"/>
        <v>0</v>
      </c>
      <c r="M690" s="31">
        <f t="shared" si="141"/>
        <v>11099.67</v>
      </c>
      <c r="N690" s="31">
        <f t="shared" si="141"/>
        <v>49725236.25</v>
      </c>
      <c r="O690" s="31">
        <f t="shared" si="141"/>
        <v>0</v>
      </c>
      <c r="P690" s="31">
        <f t="shared" si="141"/>
        <v>0</v>
      </c>
      <c r="Q690" s="31">
        <f t="shared" si="141"/>
        <v>1837.2399999999998</v>
      </c>
      <c r="R690" s="31">
        <f t="shared" si="141"/>
        <v>6489689.3899999997</v>
      </c>
      <c r="S690" s="31">
        <f t="shared" si="141"/>
        <v>0</v>
      </c>
      <c r="T690" s="31">
        <f t="shared" si="141"/>
        <v>0</v>
      </c>
      <c r="U690" s="31">
        <f t="shared" si="141"/>
        <v>0</v>
      </c>
      <c r="V690" s="31">
        <f t="shared" si="141"/>
        <v>0</v>
      </c>
      <c r="W690" s="31">
        <f t="shared" si="141"/>
        <v>0</v>
      </c>
      <c r="X690" s="31">
        <f t="shared" si="141"/>
        <v>0</v>
      </c>
      <c r="Y690" s="31">
        <f t="shared" si="141"/>
        <v>0</v>
      </c>
      <c r="Z690" s="31">
        <f t="shared" si="141"/>
        <v>0</v>
      </c>
      <c r="AA690" s="31">
        <f t="shared" si="141"/>
        <v>0</v>
      </c>
      <c r="AB690" s="31">
        <f t="shared" si="141"/>
        <v>0</v>
      </c>
      <c r="AC690" s="31">
        <f t="shared" si="141"/>
        <v>1022272.5399999999</v>
      </c>
      <c r="AD690" s="31">
        <f t="shared" si="141"/>
        <v>2340001.5</v>
      </c>
      <c r="AE690" s="31">
        <f t="shared" si="141"/>
        <v>120000</v>
      </c>
      <c r="AF690" s="72" t="s">
        <v>764</v>
      </c>
      <c r="AG690" s="72" t="s">
        <v>764</v>
      </c>
      <c r="AH690" s="87" t="s">
        <v>764</v>
      </c>
      <c r="AT690" s="20" t="e">
        <f t="shared" si="140"/>
        <v>#N/A</v>
      </c>
      <c r="BZ690" s="71">
        <v>53022412.590000004</v>
      </c>
      <c r="CB690" s="71">
        <f>BZ690-D690</f>
        <v>-18611362.820000008</v>
      </c>
      <c r="CD690" s="20" t="e">
        <f t="shared" si="136"/>
        <v>#N/A</v>
      </c>
    </row>
    <row r="691" spans="1:82" ht="61.5" x14ac:dyDescent="0.85">
      <c r="A691" s="20">
        <v>1</v>
      </c>
      <c r="B691" s="66">
        <f>SUBTOTAL(103,$A$560:A691)</f>
        <v>131</v>
      </c>
      <c r="C691" s="24" t="s">
        <v>461</v>
      </c>
      <c r="D691" s="31">
        <f t="shared" ref="D691:D700" si="142">E691+F691+G691+H691+I691+J691+L691+N691+P691+R691+T691+U691+V691+W691+X691+Y691+Z691+AA691+AB691+AC691+AD691+AE691</f>
        <v>3616357.54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3">
        <v>0</v>
      </c>
      <c r="L691" s="31">
        <v>0</v>
      </c>
      <c r="M691" s="31">
        <v>620.9</v>
      </c>
      <c r="N691" s="31">
        <v>3415130.58</v>
      </c>
      <c r="O691" s="31">
        <v>0</v>
      </c>
      <c r="P691" s="31">
        <v>0</v>
      </c>
      <c r="Q691" s="31">
        <v>0</v>
      </c>
      <c r="R691" s="31">
        <v>0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31">
        <v>0</v>
      </c>
      <c r="AC691" s="31">
        <f>ROUND(N691*1.5%,2)</f>
        <v>51226.96</v>
      </c>
      <c r="AD691" s="31">
        <v>150000</v>
      </c>
      <c r="AE691" s="31">
        <v>0</v>
      </c>
      <c r="AF691" s="34">
        <v>2021</v>
      </c>
      <c r="AG691" s="34">
        <v>2021</v>
      </c>
      <c r="AH691" s="35">
        <v>2021</v>
      </c>
      <c r="AT691" s="20" t="e">
        <f t="shared" si="140"/>
        <v>#N/A</v>
      </c>
      <c r="BZ691" s="71"/>
      <c r="CD691" s="20" t="e">
        <f t="shared" si="136"/>
        <v>#N/A</v>
      </c>
    </row>
    <row r="692" spans="1:82" ht="61.5" x14ac:dyDescent="0.85">
      <c r="A692" s="20">
        <v>1</v>
      </c>
      <c r="B692" s="66">
        <f>SUBTOTAL(103,$A$560:A692)</f>
        <v>132</v>
      </c>
      <c r="C692" s="24" t="s">
        <v>462</v>
      </c>
      <c r="D692" s="31">
        <f t="shared" si="142"/>
        <v>1638422.64</v>
      </c>
      <c r="E692" s="31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33">
        <v>0</v>
      </c>
      <c r="L692" s="31">
        <v>0</v>
      </c>
      <c r="M692" s="31">
        <v>0</v>
      </c>
      <c r="N692" s="31">
        <v>0</v>
      </c>
      <c r="O692" s="31">
        <v>0</v>
      </c>
      <c r="P692" s="31">
        <v>0</v>
      </c>
      <c r="Q692" s="31">
        <v>439.04</v>
      </c>
      <c r="R692" s="31">
        <v>1486130.68</v>
      </c>
      <c r="S692" s="31">
        <v>0</v>
      </c>
      <c r="T692" s="31">
        <v>0</v>
      </c>
      <c r="U692" s="31">
        <v>0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1">
        <f>ROUND(R692*1.5%,2)</f>
        <v>22291.96</v>
      </c>
      <c r="AD692" s="31">
        <v>130000</v>
      </c>
      <c r="AE692" s="31">
        <v>0</v>
      </c>
      <c r="AF692" s="34">
        <v>2021</v>
      </c>
      <c r="AG692" s="34">
        <v>2021</v>
      </c>
      <c r="AH692" s="35">
        <v>2021</v>
      </c>
      <c r="AT692" s="20" t="e">
        <f t="shared" si="140"/>
        <v>#N/A</v>
      </c>
      <c r="BZ692" s="71"/>
      <c r="CD692" s="20" t="e">
        <f t="shared" si="136"/>
        <v>#N/A</v>
      </c>
    </row>
    <row r="693" spans="1:82" ht="61.5" x14ac:dyDescent="0.85">
      <c r="A693" s="20">
        <v>1</v>
      </c>
      <c r="B693" s="66">
        <f>SUBTOTAL(103,$A$560:A693)</f>
        <v>133</v>
      </c>
      <c r="C693" s="24" t="s">
        <v>463</v>
      </c>
      <c r="D693" s="31">
        <f t="shared" si="142"/>
        <v>4857938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3">
        <v>0</v>
      </c>
      <c r="L693" s="31">
        <v>0</v>
      </c>
      <c r="M693" s="31">
        <v>886</v>
      </c>
      <c r="N693" s="31">
        <v>4638362.5599999996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1">
        <f>ROUND(N693*1.5%,2)</f>
        <v>69575.44</v>
      </c>
      <c r="AD693" s="31">
        <v>150000</v>
      </c>
      <c r="AE693" s="31">
        <v>0</v>
      </c>
      <c r="AF693" s="34">
        <v>2021</v>
      </c>
      <c r="AG693" s="34">
        <v>2021</v>
      </c>
      <c r="AH693" s="35">
        <v>2021</v>
      </c>
      <c r="AT693" s="20" t="e">
        <f t="shared" si="140"/>
        <v>#N/A</v>
      </c>
      <c r="BZ693" s="71"/>
      <c r="CD693" s="20" t="e">
        <f t="shared" si="136"/>
        <v>#N/A</v>
      </c>
    </row>
    <row r="694" spans="1:82" ht="61.5" x14ac:dyDescent="0.85">
      <c r="A694" s="20">
        <v>1</v>
      </c>
      <c r="B694" s="66">
        <f>SUBTOTAL(103,$A$560:A694)</f>
        <v>134</v>
      </c>
      <c r="C694" s="24" t="s">
        <v>464</v>
      </c>
      <c r="D694" s="31">
        <f t="shared" si="142"/>
        <v>3345121.12</v>
      </c>
      <c r="E694" s="31">
        <v>0</v>
      </c>
      <c r="F694" s="31">
        <v>0</v>
      </c>
      <c r="G694" s="31">
        <v>0</v>
      </c>
      <c r="H694" s="31">
        <v>0</v>
      </c>
      <c r="I694" s="31">
        <v>0</v>
      </c>
      <c r="J694" s="31">
        <v>0</v>
      </c>
      <c r="K694" s="33">
        <v>0</v>
      </c>
      <c r="L694" s="31">
        <v>0</v>
      </c>
      <c r="M694" s="31">
        <v>604</v>
      </c>
      <c r="N694" s="31">
        <v>3147902.58</v>
      </c>
      <c r="O694" s="31">
        <v>0</v>
      </c>
      <c r="P694" s="31">
        <v>0</v>
      </c>
      <c r="Q694" s="31">
        <v>0</v>
      </c>
      <c r="R694" s="31">
        <v>0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f>ROUND(N694*1.5%,2)</f>
        <v>47218.54</v>
      </c>
      <c r="AD694" s="31">
        <v>150000</v>
      </c>
      <c r="AE694" s="31">
        <v>0</v>
      </c>
      <c r="AF694" s="34">
        <v>2021</v>
      </c>
      <c r="AG694" s="34">
        <v>2021</v>
      </c>
      <c r="AH694" s="35">
        <v>2021</v>
      </c>
      <c r="AT694" s="20" t="e">
        <f t="shared" si="140"/>
        <v>#N/A</v>
      </c>
      <c r="BZ694" s="71"/>
      <c r="CD694" s="20" t="e">
        <f t="shared" si="136"/>
        <v>#N/A</v>
      </c>
    </row>
    <row r="695" spans="1:82" ht="61.5" x14ac:dyDescent="0.85">
      <c r="A695" s="20">
        <v>1</v>
      </c>
      <c r="B695" s="66">
        <f>SUBTOTAL(103,$A$560:A695)</f>
        <v>135</v>
      </c>
      <c r="C695" s="24" t="s">
        <v>465</v>
      </c>
      <c r="D695" s="31">
        <f t="shared" si="142"/>
        <v>3345121.12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3">
        <v>0</v>
      </c>
      <c r="L695" s="31">
        <v>0</v>
      </c>
      <c r="M695" s="31">
        <v>604</v>
      </c>
      <c r="N695" s="31">
        <v>3147902.58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f>ROUND(N695*1.5%,2)</f>
        <v>47218.54</v>
      </c>
      <c r="AD695" s="31">
        <v>150000</v>
      </c>
      <c r="AE695" s="31">
        <v>0</v>
      </c>
      <c r="AF695" s="34">
        <v>2021</v>
      </c>
      <c r="AG695" s="34">
        <v>2021</v>
      </c>
      <c r="AH695" s="35">
        <v>2021</v>
      </c>
      <c r="AT695" s="20" t="e">
        <f t="shared" si="140"/>
        <v>#N/A</v>
      </c>
      <c r="BZ695" s="71"/>
      <c r="CD695" s="20" t="e">
        <f t="shared" ref="CD695:CD706" si="143">VLOOKUP(C695,CE:CF,2,FALSE)</f>
        <v>#N/A</v>
      </c>
    </row>
    <row r="696" spans="1:82" ht="61.5" x14ac:dyDescent="0.85">
      <c r="A696" s="20">
        <v>1</v>
      </c>
      <c r="B696" s="66">
        <f>SUBTOTAL(103,$A$560:A696)</f>
        <v>136</v>
      </c>
      <c r="C696" s="24" t="s">
        <v>466</v>
      </c>
      <c r="D696" s="31">
        <f t="shared" si="142"/>
        <v>3589208.68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3">
        <v>0</v>
      </c>
      <c r="L696" s="31">
        <v>0</v>
      </c>
      <c r="M696" s="31">
        <v>723.24</v>
      </c>
      <c r="N696" s="31">
        <v>3388382.94</v>
      </c>
      <c r="O696" s="31">
        <v>0</v>
      </c>
      <c r="P696" s="31">
        <v>0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0</v>
      </c>
      <c r="AA696" s="31">
        <v>0</v>
      </c>
      <c r="AB696" s="31">
        <v>0</v>
      </c>
      <c r="AC696" s="31">
        <f>ROUND(N696*1.5%,2)</f>
        <v>50825.74</v>
      </c>
      <c r="AD696" s="31">
        <v>150000</v>
      </c>
      <c r="AE696" s="31">
        <v>0</v>
      </c>
      <c r="AF696" s="34">
        <v>2021</v>
      </c>
      <c r="AG696" s="34">
        <v>2021</v>
      </c>
      <c r="AH696" s="35">
        <v>2021</v>
      </c>
      <c r="AT696" s="20" t="e">
        <f t="shared" si="140"/>
        <v>#N/A</v>
      </c>
      <c r="BZ696" s="71"/>
      <c r="CD696" s="20" t="e">
        <f t="shared" si="143"/>
        <v>#N/A</v>
      </c>
    </row>
    <row r="697" spans="1:82" ht="61.5" x14ac:dyDescent="0.85">
      <c r="A697" s="20">
        <v>1</v>
      </c>
      <c r="B697" s="66">
        <f>SUBTOTAL(103,$A$560:A697)</f>
        <v>137</v>
      </c>
      <c r="C697" s="24" t="s">
        <v>467</v>
      </c>
      <c r="D697" s="31">
        <f t="shared" si="142"/>
        <v>998954.77999999991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3">
        <v>0</v>
      </c>
      <c r="L697" s="31">
        <v>0</v>
      </c>
      <c r="M697" s="31">
        <v>0</v>
      </c>
      <c r="N697" s="31">
        <v>0</v>
      </c>
      <c r="O697" s="31">
        <v>0</v>
      </c>
      <c r="P697" s="31">
        <v>0</v>
      </c>
      <c r="Q697" s="31">
        <v>409.5</v>
      </c>
      <c r="R697" s="31">
        <v>856113.08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1">
        <f>ROUND(R697*1.5%,2)</f>
        <v>12841.7</v>
      </c>
      <c r="AD697" s="31">
        <v>130000</v>
      </c>
      <c r="AE697" s="31">
        <v>0</v>
      </c>
      <c r="AF697" s="34">
        <v>2021</v>
      </c>
      <c r="AG697" s="34">
        <v>2021</v>
      </c>
      <c r="AH697" s="35">
        <v>2021</v>
      </c>
      <c r="AT697" s="20" t="e">
        <f t="shared" si="140"/>
        <v>#N/A</v>
      </c>
      <c r="BZ697" s="71"/>
      <c r="CD697" s="20" t="e">
        <f t="shared" si="143"/>
        <v>#N/A</v>
      </c>
    </row>
    <row r="698" spans="1:82" ht="61.5" x14ac:dyDescent="0.85">
      <c r="A698" s="20">
        <v>1</v>
      </c>
      <c r="B698" s="66">
        <f>SUBTOTAL(103,$A$560:A698)</f>
        <v>138</v>
      </c>
      <c r="C698" s="24" t="s">
        <v>470</v>
      </c>
      <c r="D698" s="31">
        <f t="shared" si="142"/>
        <v>3504528.03</v>
      </c>
      <c r="E698" s="31">
        <f>177249.6+38106.82</f>
        <v>215356.42</v>
      </c>
      <c r="F698" s="31">
        <v>0</v>
      </c>
      <c r="G698" s="31">
        <v>2456692.4499999997</v>
      </c>
      <c r="H698" s="31">
        <v>0</v>
      </c>
      <c r="I698" s="31">
        <v>485121.6</v>
      </c>
      <c r="J698" s="31">
        <v>0</v>
      </c>
      <c r="K698" s="33">
        <v>0</v>
      </c>
      <c r="L698" s="31">
        <v>0</v>
      </c>
      <c r="M698" s="31">
        <v>0</v>
      </c>
      <c r="N698" s="31">
        <v>0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1">
        <f>ROUND((E698+F698+G698+H698+I698+J698)*1.5%,2)</f>
        <v>47357.56</v>
      </c>
      <c r="AD698" s="31">
        <v>300000</v>
      </c>
      <c r="AE698" s="31">
        <v>0</v>
      </c>
      <c r="AF698" s="34">
        <v>2021</v>
      </c>
      <c r="AG698" s="34">
        <v>2021</v>
      </c>
      <c r="AH698" s="35">
        <v>2021</v>
      </c>
      <c r="AT698" s="20" t="e">
        <f t="shared" si="140"/>
        <v>#N/A</v>
      </c>
      <c r="BZ698" s="71"/>
      <c r="CD698" s="20" t="e">
        <f t="shared" si="143"/>
        <v>#N/A</v>
      </c>
    </row>
    <row r="699" spans="1:82" ht="61.5" x14ac:dyDescent="0.85">
      <c r="A699" s="20">
        <v>1</v>
      </c>
      <c r="B699" s="66">
        <f>SUBTOTAL(103,$A$560:A699)</f>
        <v>139</v>
      </c>
      <c r="C699" s="24" t="s">
        <v>471</v>
      </c>
      <c r="D699" s="31">
        <f t="shared" si="142"/>
        <v>7806669.5300000003</v>
      </c>
      <c r="E699" s="31">
        <v>0</v>
      </c>
      <c r="F699" s="31">
        <v>0</v>
      </c>
      <c r="G699" s="31">
        <v>0</v>
      </c>
      <c r="H699" s="31">
        <v>0</v>
      </c>
      <c r="I699" s="31">
        <v>0</v>
      </c>
      <c r="J699" s="31">
        <v>0</v>
      </c>
      <c r="K699" s="33">
        <v>0</v>
      </c>
      <c r="L699" s="31">
        <v>0</v>
      </c>
      <c r="M699" s="31">
        <v>3073.45</v>
      </c>
      <c r="N699" s="31">
        <v>7513960.1299999999</v>
      </c>
      <c r="O699" s="31">
        <v>0</v>
      </c>
      <c r="P699" s="31">
        <v>0</v>
      </c>
      <c r="Q699" s="31">
        <v>0</v>
      </c>
      <c r="R699" s="31">
        <v>0</v>
      </c>
      <c r="S699" s="31">
        <v>0</v>
      </c>
      <c r="T699" s="31">
        <v>0</v>
      </c>
      <c r="U699" s="31">
        <v>0</v>
      </c>
      <c r="V699" s="31">
        <v>0</v>
      </c>
      <c r="W699" s="31">
        <v>0</v>
      </c>
      <c r="X699" s="31">
        <v>0</v>
      </c>
      <c r="Y699" s="31">
        <v>0</v>
      </c>
      <c r="Z699" s="31">
        <v>0</v>
      </c>
      <c r="AA699" s="31">
        <v>0</v>
      </c>
      <c r="AB699" s="31">
        <v>0</v>
      </c>
      <c r="AC699" s="31">
        <f t="shared" ref="AC699:AC706" si="144">ROUND(N699*1.5%,2)</f>
        <v>112709.4</v>
      </c>
      <c r="AD699" s="31">
        <v>180000</v>
      </c>
      <c r="AE699" s="31">
        <v>0</v>
      </c>
      <c r="AF699" s="34">
        <v>2021</v>
      </c>
      <c r="AG699" s="34">
        <v>2021</v>
      </c>
      <c r="AH699" s="35">
        <v>2021</v>
      </c>
      <c r="AT699" s="20" t="e">
        <f t="shared" si="140"/>
        <v>#N/A</v>
      </c>
      <c r="BZ699" s="71"/>
      <c r="CD699" s="20" t="e">
        <f t="shared" si="143"/>
        <v>#N/A</v>
      </c>
    </row>
    <row r="700" spans="1:82" ht="61.5" x14ac:dyDescent="0.85">
      <c r="A700" s="20">
        <v>1</v>
      </c>
      <c r="B700" s="66">
        <f>SUBTOTAL(103,$A$560:A700)</f>
        <v>140</v>
      </c>
      <c r="C700" s="24" t="s">
        <v>451</v>
      </c>
      <c r="D700" s="31">
        <f t="shared" si="142"/>
        <v>4800723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3">
        <v>0</v>
      </c>
      <c r="L700" s="31">
        <v>0</v>
      </c>
      <c r="M700" s="31">
        <v>850</v>
      </c>
      <c r="N700" s="31">
        <v>4729776.3499999996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f t="shared" si="144"/>
        <v>70946.649999999994</v>
      </c>
      <c r="AD700" s="31">
        <v>0</v>
      </c>
      <c r="AE700" s="31">
        <v>0</v>
      </c>
      <c r="AF700" s="34" t="s">
        <v>271</v>
      </c>
      <c r="AG700" s="34">
        <v>2021</v>
      </c>
      <c r="AH700" s="35">
        <v>2021</v>
      </c>
      <c r="AT700" s="20" t="e">
        <f t="shared" si="140"/>
        <v>#N/A</v>
      </c>
      <c r="BZ700" s="71"/>
      <c r="CD700" s="20" t="e">
        <f t="shared" si="143"/>
        <v>#N/A</v>
      </c>
    </row>
    <row r="701" spans="1:82" ht="61.5" x14ac:dyDescent="0.85">
      <c r="A701" s="20">
        <v>1</v>
      </c>
      <c r="B701" s="66">
        <f>SUBTOTAL(103,$A$560:A701)</f>
        <v>141</v>
      </c>
      <c r="C701" s="24" t="s">
        <v>1303</v>
      </c>
      <c r="D701" s="31">
        <f t="shared" ref="D701:D711" si="145">E701+F701+G701+H701+I701+J701+L701+N701+P701+R701+T701+U701+V701+W701+X701+Y701+Z701+AA701+AB701+AC701+AD701+AE701</f>
        <v>3973949.34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3">
        <v>0</v>
      </c>
      <c r="L701" s="31">
        <v>0</v>
      </c>
      <c r="M701" s="31">
        <v>716.68</v>
      </c>
      <c r="N701" s="31">
        <v>3767437.77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f t="shared" si="144"/>
        <v>56511.57</v>
      </c>
      <c r="AD701" s="31">
        <v>150000</v>
      </c>
      <c r="AE701" s="31">
        <v>0</v>
      </c>
      <c r="AF701" s="34">
        <v>2021</v>
      </c>
      <c r="AG701" s="34">
        <v>2021</v>
      </c>
      <c r="AH701" s="35">
        <v>2021</v>
      </c>
      <c r="AT701" s="20" t="e">
        <f t="shared" si="140"/>
        <v>#N/A</v>
      </c>
      <c r="BZ701" s="71"/>
      <c r="CD701" s="20" t="e">
        <f t="shared" si="143"/>
        <v>#N/A</v>
      </c>
    </row>
    <row r="702" spans="1:82" ht="61.5" x14ac:dyDescent="0.85">
      <c r="A702" s="20">
        <v>1</v>
      </c>
      <c r="B702" s="66">
        <f>SUBTOTAL(103,$A$560:A702)</f>
        <v>142</v>
      </c>
      <c r="C702" s="24" t="s">
        <v>469</v>
      </c>
      <c r="D702" s="31">
        <f t="shared" si="145"/>
        <v>3793636.92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3">
        <v>0</v>
      </c>
      <c r="L702" s="31">
        <v>0</v>
      </c>
      <c r="M702" s="31">
        <v>724</v>
      </c>
      <c r="N702" s="31">
        <v>3589790.07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0</v>
      </c>
      <c r="AA702" s="31">
        <v>0</v>
      </c>
      <c r="AB702" s="31">
        <v>0</v>
      </c>
      <c r="AC702" s="31">
        <f t="shared" si="144"/>
        <v>53846.85</v>
      </c>
      <c r="AD702" s="31">
        <v>150000</v>
      </c>
      <c r="AE702" s="31">
        <v>0</v>
      </c>
      <c r="AF702" s="34">
        <v>2021</v>
      </c>
      <c r="AG702" s="34">
        <v>2021</v>
      </c>
      <c r="AH702" s="35">
        <v>2021</v>
      </c>
      <c r="AT702" s="20" t="e">
        <f t="shared" si="140"/>
        <v>#N/A</v>
      </c>
      <c r="BZ702" s="71"/>
      <c r="CD702" s="20" t="e">
        <f t="shared" si="143"/>
        <v>#N/A</v>
      </c>
    </row>
    <row r="703" spans="1:82" ht="61.5" x14ac:dyDescent="0.85">
      <c r="A703" s="20">
        <v>1</v>
      </c>
      <c r="B703" s="66">
        <f>SUBTOTAL(103,$A$560:A703)</f>
        <v>143</v>
      </c>
      <c r="C703" s="24" t="s">
        <v>1646</v>
      </c>
      <c r="D703" s="31">
        <f t="shared" si="145"/>
        <v>3607695.84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3">
        <v>0</v>
      </c>
      <c r="L703" s="31">
        <v>0</v>
      </c>
      <c r="M703" s="31">
        <v>627.6</v>
      </c>
      <c r="N703" s="31">
        <v>3436153.54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1">
        <f t="shared" si="144"/>
        <v>51542.3</v>
      </c>
      <c r="AD703" s="31">
        <v>120000</v>
      </c>
      <c r="AE703" s="31">
        <v>0</v>
      </c>
      <c r="AF703" s="34">
        <v>2021</v>
      </c>
      <c r="AG703" s="34">
        <v>2021</v>
      </c>
      <c r="AH703" s="35">
        <v>2021</v>
      </c>
      <c r="BZ703" s="71"/>
      <c r="CD703" s="20" t="e">
        <f t="shared" si="143"/>
        <v>#N/A</v>
      </c>
    </row>
    <row r="704" spans="1:82" ht="61.5" x14ac:dyDescent="0.85">
      <c r="A704" s="20">
        <v>1</v>
      </c>
      <c r="B704" s="66">
        <f>SUBTOTAL(103,$A$560:A704)</f>
        <v>144</v>
      </c>
      <c r="C704" s="24" t="s">
        <v>1647</v>
      </c>
      <c r="D704" s="31">
        <f t="shared" si="145"/>
        <v>1597480.36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3">
        <v>0</v>
      </c>
      <c r="L704" s="31">
        <v>0</v>
      </c>
      <c r="M704" s="31">
        <v>277.89999999999998</v>
      </c>
      <c r="N704" s="31">
        <v>1495054.54</v>
      </c>
      <c r="O704" s="31">
        <v>0</v>
      </c>
      <c r="P704" s="31">
        <v>0</v>
      </c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1">
        <f t="shared" si="144"/>
        <v>22425.82</v>
      </c>
      <c r="AD704" s="31">
        <v>80000</v>
      </c>
      <c r="AE704" s="31">
        <v>0</v>
      </c>
      <c r="AF704" s="34">
        <v>2021</v>
      </c>
      <c r="AG704" s="34">
        <v>2021</v>
      </c>
      <c r="AH704" s="35">
        <v>2021</v>
      </c>
      <c r="BZ704" s="71"/>
      <c r="CD704" s="20" t="e">
        <f t="shared" si="143"/>
        <v>#N/A</v>
      </c>
    </row>
    <row r="705" spans="1:84" ht="61.5" x14ac:dyDescent="0.85">
      <c r="A705" s="20">
        <v>1</v>
      </c>
      <c r="B705" s="66">
        <f>SUBTOTAL(103,$A$560:A705)</f>
        <v>145</v>
      </c>
      <c r="C705" s="24" t="s">
        <v>1648</v>
      </c>
      <c r="D705" s="31">
        <f t="shared" si="145"/>
        <v>3132303.1599999997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3">
        <v>0</v>
      </c>
      <c r="L705" s="31">
        <v>0</v>
      </c>
      <c r="M705" s="31">
        <v>544.9</v>
      </c>
      <c r="N705" s="31">
        <v>2987490.8</v>
      </c>
      <c r="O705" s="31">
        <v>0</v>
      </c>
      <c r="P705" s="31">
        <v>0</v>
      </c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31">
        <v>0</v>
      </c>
      <c r="AB705" s="31">
        <v>0</v>
      </c>
      <c r="AC705" s="31">
        <f t="shared" si="144"/>
        <v>44812.36</v>
      </c>
      <c r="AD705" s="31">
        <v>100000</v>
      </c>
      <c r="AE705" s="31">
        <v>0</v>
      </c>
      <c r="AF705" s="34">
        <v>2021</v>
      </c>
      <c r="AG705" s="34">
        <v>2021</v>
      </c>
      <c r="AH705" s="35">
        <v>2021</v>
      </c>
      <c r="BZ705" s="71"/>
      <c r="CD705" s="20" t="e">
        <f t="shared" si="143"/>
        <v>#N/A</v>
      </c>
    </row>
    <row r="706" spans="1:84" ht="61.5" x14ac:dyDescent="0.85">
      <c r="A706" s="20">
        <v>1</v>
      </c>
      <c r="B706" s="66">
        <f>SUBTOTAL(103,$A$560:A706)</f>
        <v>146</v>
      </c>
      <c r="C706" s="24" t="s">
        <v>1649</v>
      </c>
      <c r="D706" s="31">
        <f t="shared" si="145"/>
        <v>1937212.2999999998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3">
        <v>0</v>
      </c>
      <c r="L706" s="31">
        <v>0</v>
      </c>
      <c r="M706" s="31">
        <v>337</v>
      </c>
      <c r="N706" s="31">
        <v>1810059.9</v>
      </c>
      <c r="O706" s="31">
        <v>0</v>
      </c>
      <c r="P706" s="31">
        <v>0</v>
      </c>
      <c r="Q706" s="31">
        <v>0</v>
      </c>
      <c r="R706" s="31">
        <v>0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0</v>
      </c>
      <c r="AA706" s="31">
        <v>0</v>
      </c>
      <c r="AB706" s="31">
        <v>0</v>
      </c>
      <c r="AC706" s="31">
        <f t="shared" si="144"/>
        <v>27150.9</v>
      </c>
      <c r="AD706" s="31">
        <f>100000+1.5</f>
        <v>100001.5</v>
      </c>
      <c r="AE706" s="31">
        <v>0</v>
      </c>
      <c r="AF706" s="34">
        <v>2021</v>
      </c>
      <c r="AG706" s="34">
        <v>2021</v>
      </c>
      <c r="AH706" s="35">
        <v>2021</v>
      </c>
      <c r="BZ706" s="71"/>
      <c r="CD706" s="20" t="e">
        <f t="shared" si="143"/>
        <v>#N/A</v>
      </c>
    </row>
    <row r="707" spans="1:84" ht="61.5" x14ac:dyDescent="0.85">
      <c r="A707" s="20">
        <v>1</v>
      </c>
      <c r="B707" s="66">
        <f>SUBTOTAL(103,$A$560:A707)</f>
        <v>147</v>
      </c>
      <c r="C707" s="24" t="s">
        <v>482</v>
      </c>
      <c r="D707" s="31">
        <f t="shared" ref="D707" si="146">E707+F707+G707+H707+I707+J707+L707+N707+P707+R707+T707+U707+V707+W707+X707+Y707+Z707+AA707+AB707+AC707+AD707+AE707</f>
        <v>2847699.39</v>
      </c>
      <c r="E707" s="30">
        <v>0</v>
      </c>
      <c r="F707" s="32">
        <v>0</v>
      </c>
      <c r="G707" s="30">
        <v>0</v>
      </c>
      <c r="H707" s="32">
        <v>0</v>
      </c>
      <c r="I707" s="32">
        <v>0</v>
      </c>
      <c r="J707" s="32">
        <v>0</v>
      </c>
      <c r="K707" s="84">
        <v>0</v>
      </c>
      <c r="L707" s="32">
        <v>0</v>
      </c>
      <c r="M707" s="31">
        <v>510</v>
      </c>
      <c r="N707" s="31">
        <f>2425465.71+232366.2</f>
        <v>2657831.91</v>
      </c>
      <c r="O707" s="32">
        <v>0</v>
      </c>
      <c r="P707" s="32">
        <v>0</v>
      </c>
      <c r="Q707" s="32">
        <v>0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2">
        <v>0</v>
      </c>
      <c r="X707" s="32">
        <v>0</v>
      </c>
      <c r="Y707" s="32">
        <v>0</v>
      </c>
      <c r="Z707" s="32">
        <v>0</v>
      </c>
      <c r="AA707" s="31">
        <v>0</v>
      </c>
      <c r="AB707" s="31">
        <v>0</v>
      </c>
      <c r="AC707" s="31">
        <f t="shared" ref="AC707" si="147">ROUND(N707*1.5%,2)</f>
        <v>39867.480000000003</v>
      </c>
      <c r="AD707" s="31">
        <v>150000</v>
      </c>
      <c r="AE707" s="31">
        <v>0</v>
      </c>
      <c r="AF707" s="34">
        <v>2021</v>
      </c>
      <c r="AG707" s="34">
        <v>2021</v>
      </c>
      <c r="AH707" s="35">
        <v>2021</v>
      </c>
      <c r="AT707" s="20" t="e">
        <f>VLOOKUP(C707,AW:AX,2,FALSE)</f>
        <v>#N/A</v>
      </c>
      <c r="BZ707" s="71"/>
    </row>
    <row r="708" spans="1:84" ht="61.5" x14ac:dyDescent="0.85">
      <c r="A708" s="20">
        <v>1</v>
      </c>
      <c r="B708" s="66">
        <f>SUBTOTAL(103,$A$560:A708)</f>
        <v>148</v>
      </c>
      <c r="C708" s="211" t="s">
        <v>1152</v>
      </c>
      <c r="D708" s="31">
        <f t="shared" si="145"/>
        <v>2152387.4200000004</v>
      </c>
      <c r="E708" s="31">
        <v>0</v>
      </c>
      <c r="F708" s="31">
        <v>0</v>
      </c>
      <c r="G708" s="225">
        <f>1920578.74+200000</f>
        <v>2120578.7400000002</v>
      </c>
      <c r="H708" s="31">
        <v>0</v>
      </c>
      <c r="I708" s="31">
        <v>0</v>
      </c>
      <c r="J708" s="31">
        <v>0</v>
      </c>
      <c r="K708" s="74">
        <v>0</v>
      </c>
      <c r="L708" s="31">
        <v>0</v>
      </c>
      <c r="M708" s="31">
        <v>0</v>
      </c>
      <c r="N708" s="31">
        <v>0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f>ROUND((E708+F708+G708+H708+I708+J708)*1.5%,2)</f>
        <v>31808.68</v>
      </c>
      <c r="AD708" s="31">
        <v>0</v>
      </c>
      <c r="AE708" s="31">
        <v>0</v>
      </c>
      <c r="AF708" s="34" t="s">
        <v>271</v>
      </c>
      <c r="AG708" s="34">
        <v>2021</v>
      </c>
      <c r="AH708" s="35">
        <v>2021</v>
      </c>
      <c r="BZ708" s="71"/>
      <c r="CD708" s="20" t="e">
        <f t="shared" ref="CD708:CD739" si="148">VLOOKUP(C708,CE:CF,2,FALSE)</f>
        <v>#N/A</v>
      </c>
      <c r="CE708" s="115" t="s">
        <v>189</v>
      </c>
      <c r="CF708" s="115">
        <v>1028.5999999999999</v>
      </c>
    </row>
    <row r="709" spans="1:84" ht="61.5" x14ac:dyDescent="0.85">
      <c r="A709" s="20">
        <v>1</v>
      </c>
      <c r="B709" s="66">
        <f>SUBTOTAL(103,$A$560:A709)</f>
        <v>149</v>
      </c>
      <c r="C709" s="211" t="s">
        <v>1157</v>
      </c>
      <c r="D709" s="31">
        <f t="shared" si="145"/>
        <v>534516.64</v>
      </c>
      <c r="E709" s="31">
        <v>0</v>
      </c>
      <c r="F709" s="31">
        <v>0</v>
      </c>
      <c r="G709" s="207">
        <f>326617.38+200000</f>
        <v>526617.38</v>
      </c>
      <c r="H709" s="31">
        <v>0</v>
      </c>
      <c r="I709" s="31">
        <v>0</v>
      </c>
      <c r="J709" s="31">
        <v>0</v>
      </c>
      <c r="K709" s="74">
        <v>0</v>
      </c>
      <c r="L709" s="31">
        <v>0</v>
      </c>
      <c r="M709" s="31">
        <v>0</v>
      </c>
      <c r="N709" s="31">
        <v>0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f>ROUND((E709+F709+G709+H709+I709+J709)*1.5%,2)</f>
        <v>7899.26</v>
      </c>
      <c r="AD709" s="31">
        <v>0</v>
      </c>
      <c r="AE709" s="31">
        <v>0</v>
      </c>
      <c r="AF709" s="34" t="s">
        <v>271</v>
      </c>
      <c r="AG709" s="34">
        <v>2021</v>
      </c>
      <c r="AH709" s="35">
        <v>2021</v>
      </c>
      <c r="BZ709" s="71"/>
      <c r="CD709" s="20" t="e">
        <f t="shared" si="148"/>
        <v>#N/A</v>
      </c>
      <c r="CE709" s="115" t="s">
        <v>224</v>
      </c>
      <c r="CF709" s="115">
        <v>289.86</v>
      </c>
    </row>
    <row r="710" spans="1:84" ht="61.5" x14ac:dyDescent="0.85">
      <c r="A710" s="20">
        <v>1</v>
      </c>
      <c r="B710" s="66">
        <f>SUBTOTAL(103,$A$560:A710)</f>
        <v>150</v>
      </c>
      <c r="C710" s="211" t="s">
        <v>1162</v>
      </c>
      <c r="D710" s="31">
        <f t="shared" si="145"/>
        <v>1370144.55</v>
      </c>
      <c r="E710" s="30">
        <v>0</v>
      </c>
      <c r="F710" s="31">
        <v>0</v>
      </c>
      <c r="G710" s="31">
        <v>1349896.11</v>
      </c>
      <c r="H710" s="30">
        <v>0</v>
      </c>
      <c r="I710" s="31">
        <v>0</v>
      </c>
      <c r="J710" s="31">
        <v>0</v>
      </c>
      <c r="K710" s="74">
        <v>0</v>
      </c>
      <c r="L710" s="31">
        <v>0</v>
      </c>
      <c r="M710" s="31">
        <v>0</v>
      </c>
      <c r="N710" s="31">
        <v>0</v>
      </c>
      <c r="O710" s="31">
        <v>0</v>
      </c>
      <c r="P710" s="31">
        <v>0</v>
      </c>
      <c r="Q710" s="31">
        <v>0</v>
      </c>
      <c r="R710" s="31">
        <v>0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f>ROUND((E710+F710+G710+H710+I710+J710)*1.5%,2)</f>
        <v>20248.439999999999</v>
      </c>
      <c r="AD710" s="31">
        <v>0</v>
      </c>
      <c r="AE710" s="31">
        <v>0</v>
      </c>
      <c r="AF710" s="34" t="s">
        <v>271</v>
      </c>
      <c r="AG710" s="34">
        <v>2021</v>
      </c>
      <c r="AH710" s="35">
        <v>2021</v>
      </c>
      <c r="BZ710" s="71"/>
      <c r="CD710" s="20" t="e">
        <f t="shared" si="148"/>
        <v>#N/A</v>
      </c>
      <c r="CE710" s="115" t="s">
        <v>637</v>
      </c>
      <c r="CF710" s="115">
        <v>384.56</v>
      </c>
    </row>
    <row r="711" spans="1:84" ht="61.5" x14ac:dyDescent="0.85">
      <c r="A711" s="20">
        <v>1</v>
      </c>
      <c r="B711" s="66">
        <f>SUBTOTAL(103,$A$560:A711)</f>
        <v>151</v>
      </c>
      <c r="C711" s="211" t="s">
        <v>1164</v>
      </c>
      <c r="D711" s="31">
        <f t="shared" si="145"/>
        <v>4854047.7300000004</v>
      </c>
      <c r="E711" s="31">
        <v>0</v>
      </c>
      <c r="F711" s="31">
        <v>0</v>
      </c>
      <c r="G711" s="225">
        <f>2238110.93+200000</f>
        <v>2438110.9300000002</v>
      </c>
      <c r="H711" s="30">
        <v>0</v>
      </c>
      <c r="I711" s="31">
        <v>2344202.1</v>
      </c>
      <c r="J711" s="31">
        <v>0</v>
      </c>
      <c r="K711" s="74">
        <v>0</v>
      </c>
      <c r="L711" s="31">
        <v>0</v>
      </c>
      <c r="M711" s="31">
        <v>0</v>
      </c>
      <c r="N711" s="31">
        <v>0</v>
      </c>
      <c r="O711" s="31">
        <v>0</v>
      </c>
      <c r="P711" s="31">
        <v>0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f>ROUND((E711+F711+G711+H711+I711+J711)*1.5%,2)</f>
        <v>71734.7</v>
      </c>
      <c r="AD711" s="31">
        <v>0</v>
      </c>
      <c r="AE711" s="31">
        <v>0</v>
      </c>
      <c r="AF711" s="34" t="s">
        <v>271</v>
      </c>
      <c r="AG711" s="34">
        <v>2021</v>
      </c>
      <c r="AH711" s="35">
        <v>2021</v>
      </c>
      <c r="BZ711" s="71"/>
      <c r="CD711" s="20" t="e">
        <f t="shared" si="148"/>
        <v>#N/A</v>
      </c>
      <c r="CE711" s="115" t="s">
        <v>1125</v>
      </c>
      <c r="CF711" s="115">
        <v>946</v>
      </c>
    </row>
    <row r="712" spans="1:84" ht="61.5" x14ac:dyDescent="0.85">
      <c r="A712" s="20">
        <v>1</v>
      </c>
      <c r="B712" s="66">
        <f>SUBTOTAL(103,$A$560:A712)</f>
        <v>152</v>
      </c>
      <c r="C712" s="211" t="s">
        <v>1160</v>
      </c>
      <c r="D712" s="31">
        <f>E712+F712+G712+H712+I712+J712+L712+N712+P712+R712+T712+U712+V712+W712+X712+Y712+Z712+AA712+AB712+AC712+AD712+AE712</f>
        <v>1971369.43</v>
      </c>
      <c r="E712" s="31">
        <v>0</v>
      </c>
      <c r="F712" s="31">
        <v>0</v>
      </c>
      <c r="G712" s="31">
        <v>0</v>
      </c>
      <c r="H712" s="31">
        <v>0</v>
      </c>
      <c r="I712" s="31">
        <v>0</v>
      </c>
      <c r="J712" s="31">
        <v>0</v>
      </c>
      <c r="K712" s="74">
        <v>0</v>
      </c>
      <c r="L712" s="31">
        <v>0</v>
      </c>
      <c r="M712" s="31">
        <v>0</v>
      </c>
      <c r="N712" s="31">
        <v>0</v>
      </c>
      <c r="O712" s="31">
        <v>0</v>
      </c>
      <c r="P712" s="31">
        <v>0</v>
      </c>
      <c r="Q712" s="31">
        <v>450.1</v>
      </c>
      <c r="R712" s="31">
        <v>1824009.29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1">
        <f>ROUND(R712*1.5%,2)</f>
        <v>27360.14</v>
      </c>
      <c r="AD712" s="31">
        <v>0</v>
      </c>
      <c r="AE712" s="31">
        <v>120000</v>
      </c>
      <c r="AF712" s="34" t="s">
        <v>271</v>
      </c>
      <c r="AG712" s="34">
        <v>2021</v>
      </c>
      <c r="AH712" s="35">
        <v>2021</v>
      </c>
      <c r="BZ712" s="71"/>
      <c r="CD712" s="20" t="e">
        <f t="shared" si="148"/>
        <v>#N/A</v>
      </c>
      <c r="CE712" s="115" t="s">
        <v>449</v>
      </c>
      <c r="CF712" s="115">
        <v>592.20000000000005</v>
      </c>
    </row>
    <row r="713" spans="1:84" ht="61.5" x14ac:dyDescent="0.85">
      <c r="A713" s="20">
        <v>1</v>
      </c>
      <c r="B713" s="66">
        <f>SUBTOTAL(103,$A$560:A713)</f>
        <v>153</v>
      </c>
      <c r="C713" s="211" t="s">
        <v>460</v>
      </c>
      <c r="D713" s="31">
        <f t="shared" ref="D713" si="149">E713+F713+G713+H713+I713+J713+L713+N713+P713+R713+T713+U713+V713+W713+X713+Y713+Z713+AA713+AB713+AC713+AD713+AE713</f>
        <v>2358287.8899999997</v>
      </c>
      <c r="E713" s="31">
        <v>0</v>
      </c>
      <c r="F713" s="31">
        <v>0</v>
      </c>
      <c r="G713" s="31">
        <v>0</v>
      </c>
      <c r="H713" s="31">
        <v>0</v>
      </c>
      <c r="I713" s="31">
        <v>0</v>
      </c>
      <c r="J713" s="31">
        <v>0</v>
      </c>
      <c r="K713" s="74">
        <v>0</v>
      </c>
      <c r="L713" s="31">
        <v>0</v>
      </c>
      <c r="M713" s="31">
        <v>0</v>
      </c>
      <c r="N713" s="31">
        <v>0</v>
      </c>
      <c r="O713" s="31">
        <v>0</v>
      </c>
      <c r="P713" s="31">
        <v>0</v>
      </c>
      <c r="Q713" s="207">
        <v>538.6</v>
      </c>
      <c r="R713" s="31">
        <v>2323436.34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1">
        <f>ROUND(R713*1.5%,2)</f>
        <v>34851.550000000003</v>
      </c>
      <c r="AD713" s="31">
        <v>0</v>
      </c>
      <c r="AE713" s="31">
        <v>0</v>
      </c>
      <c r="AF713" s="34" t="s">
        <v>271</v>
      </c>
      <c r="AG713" s="34">
        <v>2021</v>
      </c>
      <c r="AH713" s="35">
        <v>2021</v>
      </c>
      <c r="AT713" s="20" t="e">
        <f t="shared" ref="AT713:AT741" si="150">VLOOKUP(C713,AW:AX,2,FALSE)</f>
        <v>#N/A</v>
      </c>
      <c r="BZ713" s="71"/>
      <c r="CD713" s="20" t="e">
        <f t="shared" si="148"/>
        <v>#N/A</v>
      </c>
      <c r="CE713" s="115" t="s">
        <v>1284</v>
      </c>
      <c r="CF713" s="115">
        <v>437.4</v>
      </c>
    </row>
    <row r="714" spans="1:84" ht="61.5" x14ac:dyDescent="0.85">
      <c r="B714" s="24" t="s">
        <v>770</v>
      </c>
      <c r="C714" s="114"/>
      <c r="D714" s="31">
        <f t="shared" ref="D714:AE714" si="151">SUM(D715:D777)</f>
        <v>140871458.16</v>
      </c>
      <c r="E714" s="31">
        <f t="shared" si="151"/>
        <v>0</v>
      </c>
      <c r="F714" s="31">
        <f t="shared" si="151"/>
        <v>0</v>
      </c>
      <c r="G714" s="31">
        <f t="shared" si="151"/>
        <v>0</v>
      </c>
      <c r="H714" s="31">
        <f t="shared" si="151"/>
        <v>150356.32999999999</v>
      </c>
      <c r="I714" s="31">
        <f t="shared" si="151"/>
        <v>5087558.1999999993</v>
      </c>
      <c r="J714" s="31">
        <f t="shared" si="151"/>
        <v>0</v>
      </c>
      <c r="K714" s="33">
        <f t="shared" si="151"/>
        <v>2</v>
      </c>
      <c r="L714" s="31">
        <f t="shared" si="151"/>
        <v>4331631.53</v>
      </c>
      <c r="M714" s="31">
        <f t="shared" si="151"/>
        <v>16364</v>
      </c>
      <c r="N714" s="31">
        <f t="shared" si="151"/>
        <v>84316731.090000004</v>
      </c>
      <c r="O714" s="31">
        <f t="shared" si="151"/>
        <v>0</v>
      </c>
      <c r="P714" s="31">
        <f t="shared" si="151"/>
        <v>0</v>
      </c>
      <c r="Q714" s="31">
        <f t="shared" si="151"/>
        <v>5116.95</v>
      </c>
      <c r="R714" s="31">
        <f t="shared" si="151"/>
        <v>19803600.309999999</v>
      </c>
      <c r="S714" s="31">
        <f t="shared" si="151"/>
        <v>375</v>
      </c>
      <c r="T714" s="31">
        <f t="shared" si="151"/>
        <v>6900000</v>
      </c>
      <c r="U714" s="31">
        <f t="shared" si="151"/>
        <v>10293307.390000001</v>
      </c>
      <c r="V714" s="31">
        <f t="shared" si="151"/>
        <v>0</v>
      </c>
      <c r="W714" s="31">
        <f t="shared" si="151"/>
        <v>0</v>
      </c>
      <c r="X714" s="31">
        <f t="shared" si="151"/>
        <v>0</v>
      </c>
      <c r="Y714" s="31">
        <f t="shared" si="151"/>
        <v>0</v>
      </c>
      <c r="Z714" s="31">
        <f t="shared" si="151"/>
        <v>0</v>
      </c>
      <c r="AA714" s="31">
        <f t="shared" si="151"/>
        <v>0</v>
      </c>
      <c r="AB714" s="31">
        <f t="shared" si="151"/>
        <v>0</v>
      </c>
      <c r="AC714" s="31">
        <f t="shared" si="151"/>
        <v>1898273.3099999998</v>
      </c>
      <c r="AD714" s="31">
        <f t="shared" si="151"/>
        <v>7970000</v>
      </c>
      <c r="AE714" s="31">
        <f t="shared" si="151"/>
        <v>120000</v>
      </c>
      <c r="AF714" s="72" t="s">
        <v>764</v>
      </c>
      <c r="AG714" s="72" t="s">
        <v>764</v>
      </c>
      <c r="AH714" s="87" t="s">
        <v>764</v>
      </c>
      <c r="AT714" s="20" t="e">
        <f t="shared" si="150"/>
        <v>#N/A</v>
      </c>
      <c r="BZ714" s="71">
        <v>95396897.950000003</v>
      </c>
      <c r="CB714" s="71">
        <f>BZ714-D714</f>
        <v>-45474560.209999993</v>
      </c>
      <c r="CD714" s="20" t="e">
        <f t="shared" si="148"/>
        <v>#N/A</v>
      </c>
    </row>
    <row r="715" spans="1:84" ht="61.5" x14ac:dyDescent="0.85">
      <c r="A715" s="20">
        <v>1</v>
      </c>
      <c r="B715" s="66">
        <f>SUBTOTAL(103,$A$560:A715)</f>
        <v>154</v>
      </c>
      <c r="C715" s="24" t="s">
        <v>407</v>
      </c>
      <c r="D715" s="31">
        <f t="shared" ref="D715:D777" si="152">E715+F715+G715+H715+I715+J715+L715+N715+P715+R715+T715+U715+V715+W715+X715+Y715+Z715+AA715+AB715+AC715+AD715+AE715</f>
        <v>6231804.3600000003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3">
        <v>0</v>
      </c>
      <c r="L715" s="31">
        <v>0</v>
      </c>
      <c r="M715" s="31">
        <v>1170</v>
      </c>
      <c r="N715" s="31">
        <v>5962368.8300000001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0</v>
      </c>
      <c r="AB715" s="31">
        <v>0</v>
      </c>
      <c r="AC715" s="31">
        <f>ROUND(N715*1.5%,2)</f>
        <v>89435.53</v>
      </c>
      <c r="AD715" s="31">
        <v>180000</v>
      </c>
      <c r="AE715" s="31">
        <v>0</v>
      </c>
      <c r="AF715" s="34">
        <v>2021</v>
      </c>
      <c r="AG715" s="34">
        <v>2021</v>
      </c>
      <c r="AH715" s="35">
        <v>2021</v>
      </c>
      <c r="AT715" s="20" t="e">
        <f t="shared" si="150"/>
        <v>#N/A</v>
      </c>
      <c r="BZ715" s="71"/>
      <c r="CD715" s="20" t="e">
        <f t="shared" si="148"/>
        <v>#N/A</v>
      </c>
    </row>
    <row r="716" spans="1:84" ht="61.5" x14ac:dyDescent="0.85">
      <c r="A716" s="20">
        <v>1</v>
      </c>
      <c r="B716" s="66">
        <f>SUBTOTAL(103,$A$560:A716)</f>
        <v>155</v>
      </c>
      <c r="C716" s="24" t="s">
        <v>409</v>
      </c>
      <c r="D716" s="31">
        <f t="shared" si="152"/>
        <v>4914920.1100000003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3">
        <v>0</v>
      </c>
      <c r="L716" s="31">
        <v>0</v>
      </c>
      <c r="M716" s="31">
        <v>880</v>
      </c>
      <c r="N716" s="31">
        <v>4694502.57</v>
      </c>
      <c r="O716" s="31">
        <v>0</v>
      </c>
      <c r="P716" s="31">
        <v>0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0</v>
      </c>
      <c r="AC716" s="31">
        <f>ROUND(N716*1.5%,2)</f>
        <v>70417.539999999994</v>
      </c>
      <c r="AD716" s="31">
        <v>150000</v>
      </c>
      <c r="AE716" s="31">
        <v>0</v>
      </c>
      <c r="AF716" s="34">
        <v>2021</v>
      </c>
      <c r="AG716" s="34">
        <v>2021</v>
      </c>
      <c r="AH716" s="35">
        <v>2021</v>
      </c>
      <c r="AT716" s="20" t="e">
        <f t="shared" si="150"/>
        <v>#N/A</v>
      </c>
      <c r="BZ716" s="71"/>
      <c r="CD716" s="20" t="e">
        <f t="shared" si="148"/>
        <v>#N/A</v>
      </c>
    </row>
    <row r="717" spans="1:84" ht="61.5" x14ac:dyDescent="0.85">
      <c r="A717" s="20">
        <v>1</v>
      </c>
      <c r="B717" s="66">
        <f>SUBTOTAL(103,$A$560:A717)</f>
        <v>156</v>
      </c>
      <c r="C717" s="24" t="s">
        <v>410</v>
      </c>
      <c r="D717" s="31">
        <f t="shared" si="152"/>
        <v>3567125.84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3">
        <v>0</v>
      </c>
      <c r="L717" s="31">
        <v>0</v>
      </c>
      <c r="M717" s="31">
        <v>650</v>
      </c>
      <c r="N717" s="31">
        <v>3366626.44</v>
      </c>
      <c r="O717" s="31">
        <v>0</v>
      </c>
      <c r="P717" s="31">
        <v>0</v>
      </c>
      <c r="Q717" s="31">
        <v>0</v>
      </c>
      <c r="R717" s="31">
        <v>0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31">
        <v>0</v>
      </c>
      <c r="AB717" s="31">
        <v>0</v>
      </c>
      <c r="AC717" s="31">
        <f>ROUND(N717*1.5%,2)</f>
        <v>50499.4</v>
      </c>
      <c r="AD717" s="31">
        <v>150000</v>
      </c>
      <c r="AE717" s="31">
        <v>0</v>
      </c>
      <c r="AF717" s="34">
        <v>2021</v>
      </c>
      <c r="AG717" s="34">
        <v>2021</v>
      </c>
      <c r="AH717" s="35">
        <v>2021</v>
      </c>
      <c r="AT717" s="20" t="e">
        <f t="shared" si="150"/>
        <v>#N/A</v>
      </c>
      <c r="BZ717" s="71"/>
      <c r="CD717" s="20" t="e">
        <f t="shared" si="148"/>
        <v>#N/A</v>
      </c>
    </row>
    <row r="718" spans="1:84" ht="61.5" x14ac:dyDescent="0.85">
      <c r="A718" s="20">
        <v>1</v>
      </c>
      <c r="B718" s="66">
        <f>SUBTOTAL(103,$A$560:A718)</f>
        <v>157</v>
      </c>
      <c r="C718" s="24" t="s">
        <v>411</v>
      </c>
      <c r="D718" s="31">
        <f t="shared" si="152"/>
        <v>3399322.55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3">
        <v>0</v>
      </c>
      <c r="L718" s="31">
        <v>0</v>
      </c>
      <c r="M718" s="31">
        <v>620</v>
      </c>
      <c r="N718" s="31">
        <v>3201303</v>
      </c>
      <c r="O718" s="31">
        <v>0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f>ROUND(N718*1.5%,2)</f>
        <v>48019.55</v>
      </c>
      <c r="AD718" s="31">
        <v>150000</v>
      </c>
      <c r="AE718" s="31">
        <v>0</v>
      </c>
      <c r="AF718" s="34">
        <v>2021</v>
      </c>
      <c r="AG718" s="34">
        <v>2021</v>
      </c>
      <c r="AH718" s="35">
        <v>2021</v>
      </c>
      <c r="AT718" s="20" t="e">
        <f t="shared" si="150"/>
        <v>#N/A</v>
      </c>
      <c r="BZ718" s="71"/>
      <c r="CD718" s="20" t="e">
        <f t="shared" si="148"/>
        <v>#N/A</v>
      </c>
    </row>
    <row r="719" spans="1:84" ht="61.5" x14ac:dyDescent="0.85">
      <c r="A719" s="20">
        <v>1</v>
      </c>
      <c r="B719" s="66">
        <f>SUBTOTAL(103,$A$560:A719)</f>
        <v>158</v>
      </c>
      <c r="C719" s="24" t="s">
        <v>412</v>
      </c>
      <c r="D719" s="31">
        <f t="shared" si="152"/>
        <v>3553347.11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3">
        <v>0</v>
      </c>
      <c r="L719" s="31">
        <v>0</v>
      </c>
      <c r="M719" s="31">
        <v>640</v>
      </c>
      <c r="N719" s="31">
        <v>3353051.34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31">
        <v>0</v>
      </c>
      <c r="AC719" s="31">
        <f>ROUND(N719*1.5%,2)</f>
        <v>50295.77</v>
      </c>
      <c r="AD719" s="31">
        <v>150000</v>
      </c>
      <c r="AE719" s="31">
        <v>0</v>
      </c>
      <c r="AF719" s="34">
        <v>2021</v>
      </c>
      <c r="AG719" s="34">
        <v>2021</v>
      </c>
      <c r="AH719" s="35">
        <v>2021</v>
      </c>
      <c r="AT719" s="20" t="e">
        <f t="shared" si="150"/>
        <v>#N/A</v>
      </c>
      <c r="BZ719" s="71"/>
      <c r="CD719" s="20" t="e">
        <f t="shared" si="148"/>
        <v>#N/A</v>
      </c>
    </row>
    <row r="720" spans="1:84" ht="61.5" x14ac:dyDescent="0.85">
      <c r="A720" s="20">
        <v>1</v>
      </c>
      <c r="B720" s="66">
        <f>SUBTOTAL(103,$A$560:A720)</f>
        <v>159</v>
      </c>
      <c r="C720" s="24" t="s">
        <v>200</v>
      </c>
      <c r="D720" s="31">
        <f t="shared" si="152"/>
        <v>686139</v>
      </c>
      <c r="E720" s="31">
        <v>0</v>
      </c>
      <c r="F720" s="31">
        <v>0</v>
      </c>
      <c r="G720" s="31">
        <v>0</v>
      </c>
      <c r="H720" s="31">
        <v>150356.32999999999</v>
      </c>
      <c r="I720" s="31">
        <v>456677.17</v>
      </c>
      <c r="J720" s="31">
        <v>0</v>
      </c>
      <c r="K720" s="33">
        <v>0</v>
      </c>
      <c r="L720" s="31">
        <v>0</v>
      </c>
      <c r="M720" s="31">
        <v>0</v>
      </c>
      <c r="N720" s="31">
        <v>0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1">
        <f>ROUND((E720+F720+G720+H720+I720+J720)*1.5%,2)</f>
        <v>9105.5</v>
      </c>
      <c r="AD720" s="31">
        <v>70000</v>
      </c>
      <c r="AE720" s="31">
        <v>0</v>
      </c>
      <c r="AF720" s="34">
        <v>2021</v>
      </c>
      <c r="AG720" s="34">
        <v>2021</v>
      </c>
      <c r="AH720" s="35">
        <v>2021</v>
      </c>
      <c r="AT720" s="20" t="e">
        <f t="shared" si="150"/>
        <v>#N/A</v>
      </c>
      <c r="BZ720" s="71"/>
      <c r="CD720" s="20" t="e">
        <f t="shared" si="148"/>
        <v>#N/A</v>
      </c>
    </row>
    <row r="721" spans="1:82" ht="61.5" x14ac:dyDescent="0.85">
      <c r="A721" s="20">
        <v>1</v>
      </c>
      <c r="B721" s="66">
        <f>SUBTOTAL(103,$A$560:A721)</f>
        <v>160</v>
      </c>
      <c r="C721" s="24" t="s">
        <v>201</v>
      </c>
      <c r="D721" s="31">
        <f t="shared" si="152"/>
        <v>783943</v>
      </c>
      <c r="E721" s="31">
        <v>0</v>
      </c>
      <c r="F721" s="31">
        <v>0</v>
      </c>
      <c r="G721" s="31">
        <v>0</v>
      </c>
      <c r="H721" s="31">
        <v>0</v>
      </c>
      <c r="I721" s="31">
        <v>703392.12</v>
      </c>
      <c r="J721" s="31">
        <v>0</v>
      </c>
      <c r="K721" s="33">
        <v>0</v>
      </c>
      <c r="L721" s="31">
        <v>0</v>
      </c>
      <c r="M721" s="31">
        <v>0</v>
      </c>
      <c r="N721" s="31">
        <v>0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f>ROUND((E721+F721+G721+H721+I721+J721)*1.5%,2)</f>
        <v>10550.88</v>
      </c>
      <c r="AD721" s="31">
        <v>70000</v>
      </c>
      <c r="AE721" s="31">
        <v>0</v>
      </c>
      <c r="AF721" s="34">
        <v>2021</v>
      </c>
      <c r="AG721" s="34">
        <v>2021</v>
      </c>
      <c r="AH721" s="35">
        <v>2021</v>
      </c>
      <c r="AT721" s="20" t="e">
        <f t="shared" si="150"/>
        <v>#N/A</v>
      </c>
      <c r="BZ721" s="71"/>
      <c r="CD721" s="20" t="e">
        <f t="shared" si="148"/>
        <v>#N/A</v>
      </c>
    </row>
    <row r="722" spans="1:82" ht="61.5" x14ac:dyDescent="0.85">
      <c r="A722" s="20">
        <v>1</v>
      </c>
      <c r="B722" s="66">
        <f>SUBTOTAL(103,$A$560:A722)</f>
        <v>161</v>
      </c>
      <c r="C722" s="24" t="s">
        <v>202</v>
      </c>
      <c r="D722" s="31">
        <f t="shared" si="152"/>
        <v>776127.96</v>
      </c>
      <c r="E722" s="31">
        <v>0</v>
      </c>
      <c r="F722" s="31">
        <v>0</v>
      </c>
      <c r="G722" s="31">
        <v>0</v>
      </c>
      <c r="H722" s="31">
        <v>0</v>
      </c>
      <c r="I722" s="31">
        <v>695692.57</v>
      </c>
      <c r="J722" s="31">
        <v>0</v>
      </c>
      <c r="K722" s="33">
        <v>0</v>
      </c>
      <c r="L722" s="31">
        <v>0</v>
      </c>
      <c r="M722" s="31">
        <v>0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f>ROUND((E722+F722+G722+H722+I722+J722)*1.5%,2)</f>
        <v>10435.39</v>
      </c>
      <c r="AD722" s="31">
        <v>70000</v>
      </c>
      <c r="AE722" s="31">
        <v>0</v>
      </c>
      <c r="AF722" s="34">
        <v>2021</v>
      </c>
      <c r="AG722" s="34">
        <v>2021</v>
      </c>
      <c r="AH722" s="35">
        <v>2021</v>
      </c>
      <c r="AT722" s="20" t="e">
        <f t="shared" si="150"/>
        <v>#N/A</v>
      </c>
      <c r="BZ722" s="71"/>
      <c r="CD722" s="20" t="e">
        <f t="shared" si="148"/>
        <v>#N/A</v>
      </c>
    </row>
    <row r="723" spans="1:82" ht="61.5" x14ac:dyDescent="0.85">
      <c r="A723" s="20">
        <v>1</v>
      </c>
      <c r="B723" s="66">
        <f>SUBTOTAL(103,$A$560:A723)</f>
        <v>162</v>
      </c>
      <c r="C723" s="24" t="s">
        <v>413</v>
      </c>
      <c r="D723" s="31">
        <f t="shared" si="152"/>
        <v>2623352.2800000003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3">
        <v>0</v>
      </c>
      <c r="L723" s="31">
        <v>0</v>
      </c>
      <c r="M723" s="31">
        <v>477</v>
      </c>
      <c r="N723" s="31">
        <v>2466356.9300000002</v>
      </c>
      <c r="O723" s="31">
        <v>0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1">
        <f t="shared" ref="AC723:AC738" si="153">ROUND(N723*1.5%,2)</f>
        <v>36995.35</v>
      </c>
      <c r="AD723" s="31">
        <v>120000</v>
      </c>
      <c r="AE723" s="31">
        <v>0</v>
      </c>
      <c r="AF723" s="34">
        <v>2021</v>
      </c>
      <c r="AG723" s="34">
        <v>2021</v>
      </c>
      <c r="AH723" s="35">
        <v>2021</v>
      </c>
      <c r="AT723" s="20" t="e">
        <f t="shared" si="150"/>
        <v>#N/A</v>
      </c>
      <c r="BZ723" s="71"/>
      <c r="CD723" s="20" t="e">
        <f t="shared" si="148"/>
        <v>#N/A</v>
      </c>
    </row>
    <row r="724" spans="1:82" ht="61.5" x14ac:dyDescent="0.85">
      <c r="A724" s="20">
        <v>1</v>
      </c>
      <c r="B724" s="66">
        <f>SUBTOTAL(103,$A$560:A724)</f>
        <v>163</v>
      </c>
      <c r="C724" s="24" t="s">
        <v>414</v>
      </c>
      <c r="D724" s="31">
        <f t="shared" si="152"/>
        <v>2633042.44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0</v>
      </c>
      <c r="K724" s="33">
        <v>0</v>
      </c>
      <c r="L724" s="31">
        <v>0</v>
      </c>
      <c r="M724" s="31">
        <v>472</v>
      </c>
      <c r="N724" s="31">
        <v>2475903.88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0</v>
      </c>
      <c r="Y724" s="31">
        <v>0</v>
      </c>
      <c r="Z724" s="31">
        <v>0</v>
      </c>
      <c r="AA724" s="31">
        <v>0</v>
      </c>
      <c r="AB724" s="31">
        <v>0</v>
      </c>
      <c r="AC724" s="31">
        <f t="shared" si="153"/>
        <v>37138.559999999998</v>
      </c>
      <c r="AD724" s="31">
        <v>120000</v>
      </c>
      <c r="AE724" s="31">
        <v>0</v>
      </c>
      <c r="AF724" s="34">
        <v>2021</v>
      </c>
      <c r="AG724" s="34">
        <v>2021</v>
      </c>
      <c r="AH724" s="35">
        <v>2021</v>
      </c>
      <c r="AT724" s="20" t="e">
        <f t="shared" si="150"/>
        <v>#N/A</v>
      </c>
      <c r="BZ724" s="71"/>
      <c r="CD724" s="20" t="e">
        <f t="shared" si="148"/>
        <v>#N/A</v>
      </c>
    </row>
    <row r="725" spans="1:82" ht="61.5" x14ac:dyDescent="0.85">
      <c r="A725" s="20">
        <v>1</v>
      </c>
      <c r="B725" s="66">
        <f>SUBTOTAL(103,$A$560:A725)</f>
        <v>164</v>
      </c>
      <c r="C725" s="24" t="s">
        <v>415</v>
      </c>
      <c r="D725" s="31">
        <f t="shared" si="152"/>
        <v>2456912.8200000003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3">
        <v>0</v>
      </c>
      <c r="L725" s="31">
        <v>0</v>
      </c>
      <c r="M725" s="31">
        <v>440</v>
      </c>
      <c r="N725" s="31">
        <v>2302377.16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0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31">
        <v>0</v>
      </c>
      <c r="AC725" s="31">
        <f t="shared" si="153"/>
        <v>34535.660000000003</v>
      </c>
      <c r="AD725" s="31">
        <v>120000</v>
      </c>
      <c r="AE725" s="31">
        <v>0</v>
      </c>
      <c r="AF725" s="34">
        <v>2021</v>
      </c>
      <c r="AG725" s="34">
        <v>2021</v>
      </c>
      <c r="AH725" s="35">
        <v>2021</v>
      </c>
      <c r="AT725" s="20" t="e">
        <f t="shared" si="150"/>
        <v>#N/A</v>
      </c>
      <c r="BZ725" s="71"/>
      <c r="CD725" s="20" t="e">
        <f t="shared" si="148"/>
        <v>#N/A</v>
      </c>
    </row>
    <row r="726" spans="1:82" ht="61.5" x14ac:dyDescent="0.85">
      <c r="A726" s="20">
        <v>1</v>
      </c>
      <c r="B726" s="66">
        <f>SUBTOTAL(103,$A$560:A726)</f>
        <v>165</v>
      </c>
      <c r="C726" s="24" t="s">
        <v>416</v>
      </c>
      <c r="D726" s="31">
        <f t="shared" si="152"/>
        <v>3762569.57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3">
        <v>0</v>
      </c>
      <c r="L726" s="31">
        <v>0</v>
      </c>
      <c r="M726" s="31">
        <v>658</v>
      </c>
      <c r="N726" s="31">
        <v>3529625.19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f t="shared" si="153"/>
        <v>52944.38</v>
      </c>
      <c r="AD726" s="31">
        <v>180000</v>
      </c>
      <c r="AE726" s="31">
        <v>0</v>
      </c>
      <c r="AF726" s="34">
        <v>2021</v>
      </c>
      <c r="AG726" s="34">
        <v>2021</v>
      </c>
      <c r="AH726" s="35">
        <v>2021</v>
      </c>
      <c r="AT726" s="20" t="e">
        <f t="shared" si="150"/>
        <v>#N/A</v>
      </c>
      <c r="BZ726" s="71"/>
      <c r="CD726" s="20" t="e">
        <f t="shared" si="148"/>
        <v>#N/A</v>
      </c>
    </row>
    <row r="727" spans="1:82" ht="61.5" x14ac:dyDescent="0.85">
      <c r="A727" s="20">
        <v>1</v>
      </c>
      <c r="B727" s="66">
        <f>SUBTOTAL(103,$A$560:A727)</f>
        <v>166</v>
      </c>
      <c r="C727" s="24" t="s">
        <v>417</v>
      </c>
      <c r="D727" s="31">
        <f t="shared" si="152"/>
        <v>5669999.9900000002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3">
        <v>0</v>
      </c>
      <c r="L727" s="31">
        <v>0</v>
      </c>
      <c r="M727" s="31">
        <v>1134</v>
      </c>
      <c r="N727" s="31">
        <v>5408866.9900000002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f t="shared" si="153"/>
        <v>81133</v>
      </c>
      <c r="AD727" s="31">
        <v>180000</v>
      </c>
      <c r="AE727" s="31">
        <v>0</v>
      </c>
      <c r="AF727" s="34">
        <v>2021</v>
      </c>
      <c r="AG727" s="34">
        <v>2021</v>
      </c>
      <c r="AH727" s="35">
        <v>2021</v>
      </c>
      <c r="AT727" s="20" t="e">
        <f t="shared" si="150"/>
        <v>#N/A</v>
      </c>
      <c r="BZ727" s="71"/>
      <c r="CD727" s="20" t="e">
        <f t="shared" si="148"/>
        <v>#N/A</v>
      </c>
    </row>
    <row r="728" spans="1:82" ht="61.5" x14ac:dyDescent="0.85">
      <c r="A728" s="20">
        <v>1</v>
      </c>
      <c r="B728" s="66">
        <f>SUBTOTAL(103,$A$560:A728)</f>
        <v>167</v>
      </c>
      <c r="C728" s="24" t="s">
        <v>418</v>
      </c>
      <c r="D728" s="31">
        <f t="shared" si="152"/>
        <v>2895000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3">
        <v>0</v>
      </c>
      <c r="L728" s="31">
        <v>0</v>
      </c>
      <c r="M728" s="31">
        <v>579</v>
      </c>
      <c r="N728" s="31">
        <v>2704433.5</v>
      </c>
      <c r="O728" s="31">
        <v>0</v>
      </c>
      <c r="P728" s="31">
        <v>0</v>
      </c>
      <c r="Q728" s="31">
        <v>0</v>
      </c>
      <c r="R728" s="31">
        <v>0</v>
      </c>
      <c r="S728" s="31">
        <v>0</v>
      </c>
      <c r="T728" s="31">
        <v>0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f t="shared" si="153"/>
        <v>40566.5</v>
      </c>
      <c r="AD728" s="31">
        <v>150000</v>
      </c>
      <c r="AE728" s="31">
        <v>0</v>
      </c>
      <c r="AF728" s="34">
        <v>2021</v>
      </c>
      <c r="AG728" s="34">
        <v>2021</v>
      </c>
      <c r="AH728" s="35">
        <v>2021</v>
      </c>
      <c r="AT728" s="20" t="e">
        <f t="shared" si="150"/>
        <v>#N/A</v>
      </c>
      <c r="BZ728" s="71"/>
      <c r="CD728" s="20" t="e">
        <f t="shared" si="148"/>
        <v>#N/A</v>
      </c>
    </row>
    <row r="729" spans="1:82" ht="61.5" x14ac:dyDescent="0.85">
      <c r="A729" s="20">
        <v>1</v>
      </c>
      <c r="B729" s="66">
        <f>SUBTOTAL(103,$A$560:A729)</f>
        <v>168</v>
      </c>
      <c r="C729" s="24" t="s">
        <v>419</v>
      </c>
      <c r="D729" s="31">
        <f t="shared" si="152"/>
        <v>3066649.62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3">
        <v>0</v>
      </c>
      <c r="L729" s="31">
        <v>0</v>
      </c>
      <c r="M729" s="31">
        <v>570</v>
      </c>
      <c r="N729" s="31">
        <v>2873546.42</v>
      </c>
      <c r="O729" s="31">
        <v>0</v>
      </c>
      <c r="P729" s="31">
        <v>0</v>
      </c>
      <c r="Q729" s="31">
        <v>0</v>
      </c>
      <c r="R729" s="31">
        <v>0</v>
      </c>
      <c r="S729" s="31">
        <v>0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0</v>
      </c>
      <c r="AA729" s="31">
        <v>0</v>
      </c>
      <c r="AB729" s="31">
        <v>0</v>
      </c>
      <c r="AC729" s="31">
        <f t="shared" si="153"/>
        <v>43103.199999999997</v>
      </c>
      <c r="AD729" s="31">
        <v>150000</v>
      </c>
      <c r="AE729" s="31">
        <v>0</v>
      </c>
      <c r="AF729" s="34">
        <v>2021</v>
      </c>
      <c r="AG729" s="34">
        <v>2021</v>
      </c>
      <c r="AH729" s="35">
        <v>2021</v>
      </c>
      <c r="AT729" s="20" t="e">
        <f t="shared" si="150"/>
        <v>#N/A</v>
      </c>
      <c r="BZ729" s="71"/>
      <c r="CD729" s="20" t="e">
        <f t="shared" si="148"/>
        <v>#N/A</v>
      </c>
    </row>
    <row r="730" spans="1:82" ht="61.5" x14ac:dyDescent="0.85">
      <c r="A730" s="20">
        <v>1</v>
      </c>
      <c r="B730" s="66">
        <f>SUBTOTAL(103,$A$560:A730)</f>
        <v>169</v>
      </c>
      <c r="C730" s="24" t="s">
        <v>420</v>
      </c>
      <c r="D730" s="31">
        <f t="shared" si="152"/>
        <v>1488737.43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3">
        <v>0</v>
      </c>
      <c r="L730" s="31">
        <v>0</v>
      </c>
      <c r="M730" s="31">
        <v>266</v>
      </c>
      <c r="N730" s="31">
        <v>1348509.78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f t="shared" si="153"/>
        <v>20227.650000000001</v>
      </c>
      <c r="AD730" s="31">
        <v>120000</v>
      </c>
      <c r="AE730" s="31">
        <v>0</v>
      </c>
      <c r="AF730" s="34">
        <v>2021</v>
      </c>
      <c r="AG730" s="34">
        <v>2021</v>
      </c>
      <c r="AH730" s="35">
        <v>2021</v>
      </c>
      <c r="AT730" s="20" t="e">
        <f t="shared" si="150"/>
        <v>#N/A</v>
      </c>
      <c r="BZ730" s="71"/>
      <c r="CD730" s="20" t="e">
        <f t="shared" si="148"/>
        <v>#N/A</v>
      </c>
    </row>
    <row r="731" spans="1:82" ht="61.5" x14ac:dyDescent="0.85">
      <c r="A731" s="20">
        <v>1</v>
      </c>
      <c r="B731" s="66">
        <f>SUBTOTAL(103,$A$560:A731)</f>
        <v>170</v>
      </c>
      <c r="C731" s="24" t="s">
        <v>421</v>
      </c>
      <c r="D731" s="31">
        <f t="shared" si="152"/>
        <v>8150000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3">
        <v>0</v>
      </c>
      <c r="L731" s="31">
        <v>0</v>
      </c>
      <c r="M731" s="31">
        <v>1630</v>
      </c>
      <c r="N731" s="31">
        <v>7852216.75</v>
      </c>
      <c r="O731" s="31">
        <v>0</v>
      </c>
      <c r="P731" s="31">
        <v>0</v>
      </c>
      <c r="Q731" s="31">
        <v>0</v>
      </c>
      <c r="R731" s="31">
        <v>0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f t="shared" si="153"/>
        <v>117783.25</v>
      </c>
      <c r="AD731" s="31">
        <v>180000</v>
      </c>
      <c r="AE731" s="31">
        <v>0</v>
      </c>
      <c r="AF731" s="34">
        <v>2021</v>
      </c>
      <c r="AG731" s="34">
        <v>2021</v>
      </c>
      <c r="AH731" s="35">
        <v>2021</v>
      </c>
      <c r="AT731" s="20" t="e">
        <f t="shared" si="150"/>
        <v>#N/A</v>
      </c>
      <c r="BZ731" s="71"/>
      <c r="CD731" s="20" t="e">
        <f t="shared" si="148"/>
        <v>#N/A</v>
      </c>
    </row>
    <row r="732" spans="1:82" ht="61.5" x14ac:dyDescent="0.85">
      <c r="A732" s="20">
        <v>1</v>
      </c>
      <c r="B732" s="66">
        <f>SUBTOTAL(103,$A$560:A732)</f>
        <v>171</v>
      </c>
      <c r="C732" s="24" t="s">
        <v>422</v>
      </c>
      <c r="D732" s="31">
        <f t="shared" si="152"/>
        <v>2837751.8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3">
        <v>0</v>
      </c>
      <c r="L732" s="31">
        <v>0</v>
      </c>
      <c r="M732" s="31">
        <v>500</v>
      </c>
      <c r="N732" s="31">
        <v>2677587.98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f t="shared" si="153"/>
        <v>40163.82</v>
      </c>
      <c r="AD732" s="31">
        <v>120000</v>
      </c>
      <c r="AE732" s="31">
        <v>0</v>
      </c>
      <c r="AF732" s="34">
        <v>2021</v>
      </c>
      <c r="AG732" s="34">
        <v>2021</v>
      </c>
      <c r="AH732" s="35">
        <v>2021</v>
      </c>
      <c r="AT732" s="20" t="e">
        <f t="shared" si="150"/>
        <v>#N/A</v>
      </c>
      <c r="BZ732" s="71"/>
      <c r="CD732" s="20" t="e">
        <f t="shared" si="148"/>
        <v>#N/A</v>
      </c>
    </row>
    <row r="733" spans="1:82" ht="61.5" x14ac:dyDescent="0.85">
      <c r="A733" s="20">
        <v>1</v>
      </c>
      <c r="B733" s="66">
        <f>SUBTOTAL(103,$A$560:A733)</f>
        <v>172</v>
      </c>
      <c r="C733" s="24" t="s">
        <v>423</v>
      </c>
      <c r="D733" s="31">
        <f t="shared" si="152"/>
        <v>2479122.38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3">
        <v>0</v>
      </c>
      <c r="L733" s="31">
        <v>0</v>
      </c>
      <c r="M733" s="31">
        <v>420</v>
      </c>
      <c r="N733" s="31">
        <v>2324258.5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31">
        <v>0</v>
      </c>
      <c r="AB733" s="31">
        <v>0</v>
      </c>
      <c r="AC733" s="31">
        <f t="shared" si="153"/>
        <v>34863.879999999997</v>
      </c>
      <c r="AD733" s="31">
        <v>120000</v>
      </c>
      <c r="AE733" s="31">
        <v>0</v>
      </c>
      <c r="AF733" s="34">
        <v>2021</v>
      </c>
      <c r="AG733" s="34">
        <v>2021</v>
      </c>
      <c r="AH733" s="35">
        <v>2021</v>
      </c>
      <c r="AT733" s="20" t="e">
        <f t="shared" si="150"/>
        <v>#N/A</v>
      </c>
      <c r="BZ733" s="71"/>
      <c r="CD733" s="20" t="e">
        <f t="shared" si="148"/>
        <v>#N/A</v>
      </c>
    </row>
    <row r="734" spans="1:82" ht="61.5" x14ac:dyDescent="0.85">
      <c r="A734" s="20">
        <v>1</v>
      </c>
      <c r="B734" s="66">
        <f>SUBTOTAL(103,$A$560:A734)</f>
        <v>173</v>
      </c>
      <c r="C734" s="24" t="s">
        <v>203</v>
      </c>
      <c r="D734" s="31">
        <f t="shared" si="152"/>
        <v>3697950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3">
        <v>0</v>
      </c>
      <c r="L734" s="31">
        <v>0</v>
      </c>
      <c r="M734" s="31">
        <v>0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3495517.24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1">
        <f>ROUND(U734*1.5%,2)</f>
        <v>52432.76</v>
      </c>
      <c r="AD734" s="31">
        <v>150000</v>
      </c>
      <c r="AE734" s="31">
        <v>0</v>
      </c>
      <c r="AF734" s="34">
        <v>2021</v>
      </c>
      <c r="AG734" s="34">
        <v>2021</v>
      </c>
      <c r="AH734" s="35">
        <v>2021</v>
      </c>
      <c r="AT734" s="20" t="e">
        <f t="shared" si="150"/>
        <v>#N/A</v>
      </c>
      <c r="BZ734" s="71"/>
      <c r="CD734" s="20" t="e">
        <f t="shared" si="148"/>
        <v>#N/A</v>
      </c>
    </row>
    <row r="735" spans="1:82" ht="61.5" x14ac:dyDescent="0.85">
      <c r="A735" s="20">
        <v>1</v>
      </c>
      <c r="B735" s="66">
        <f>SUBTOTAL(103,$A$560:A735)</f>
        <v>174</v>
      </c>
      <c r="C735" s="24" t="s">
        <v>205</v>
      </c>
      <c r="D735" s="31">
        <f t="shared" si="152"/>
        <v>3680000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3">
        <v>0</v>
      </c>
      <c r="L735" s="31">
        <v>0</v>
      </c>
      <c r="M735" s="31">
        <v>0</v>
      </c>
      <c r="N735" s="31">
        <v>0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3477832.51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1">
        <f>ROUND(U735*1.5%,2)</f>
        <v>52167.49</v>
      </c>
      <c r="AD735" s="31">
        <v>150000</v>
      </c>
      <c r="AE735" s="31">
        <v>0</v>
      </c>
      <c r="AF735" s="34">
        <v>2021</v>
      </c>
      <c r="AG735" s="34">
        <v>2021</v>
      </c>
      <c r="AH735" s="35">
        <v>2021</v>
      </c>
      <c r="AT735" s="20" t="e">
        <f t="shared" si="150"/>
        <v>#N/A</v>
      </c>
      <c r="BZ735" s="71"/>
      <c r="CD735" s="20" t="e">
        <f t="shared" si="148"/>
        <v>#N/A</v>
      </c>
    </row>
    <row r="736" spans="1:82" ht="61.5" x14ac:dyDescent="0.85">
      <c r="A736" s="20">
        <v>1</v>
      </c>
      <c r="B736" s="66">
        <f>SUBTOTAL(103,$A$560:A736)</f>
        <v>175</v>
      </c>
      <c r="C736" s="24" t="s">
        <v>204</v>
      </c>
      <c r="D736" s="31">
        <f t="shared" si="152"/>
        <v>3519757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3">
        <v>0</v>
      </c>
      <c r="L736" s="31">
        <v>0</v>
      </c>
      <c r="M736" s="31">
        <v>0</v>
      </c>
      <c r="N736" s="31">
        <v>0</v>
      </c>
      <c r="O736" s="31">
        <v>0</v>
      </c>
      <c r="P736" s="31">
        <v>0</v>
      </c>
      <c r="Q736" s="31">
        <v>0</v>
      </c>
      <c r="R736" s="31">
        <v>0</v>
      </c>
      <c r="S736" s="31">
        <v>0</v>
      </c>
      <c r="T736" s="31">
        <v>0</v>
      </c>
      <c r="U736" s="31">
        <v>3319957.64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1">
        <f>ROUND(U736*1.5%,2)</f>
        <v>49799.360000000001</v>
      </c>
      <c r="AD736" s="31">
        <v>150000</v>
      </c>
      <c r="AE736" s="31">
        <v>0</v>
      </c>
      <c r="AF736" s="34">
        <v>2021</v>
      </c>
      <c r="AG736" s="34">
        <v>2021</v>
      </c>
      <c r="AH736" s="35">
        <v>2021</v>
      </c>
      <c r="AT736" s="20" t="e">
        <f t="shared" si="150"/>
        <v>#N/A</v>
      </c>
      <c r="BZ736" s="71"/>
      <c r="CD736" s="20" t="e">
        <f t="shared" si="148"/>
        <v>#N/A</v>
      </c>
    </row>
    <row r="737" spans="1:84" ht="61.5" x14ac:dyDescent="0.85">
      <c r="A737" s="20">
        <v>1</v>
      </c>
      <c r="B737" s="66">
        <f>SUBTOTAL(103,$A$560:A737)</f>
        <v>176</v>
      </c>
      <c r="C737" s="24" t="s">
        <v>424</v>
      </c>
      <c r="D737" s="31">
        <f t="shared" si="152"/>
        <v>4335791.2699999996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3">
        <v>0</v>
      </c>
      <c r="L737" s="31">
        <v>0</v>
      </c>
      <c r="M737" s="31">
        <v>776</v>
      </c>
      <c r="N737" s="31">
        <v>4123932.29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1">
        <f t="shared" si="153"/>
        <v>61858.98</v>
      </c>
      <c r="AD737" s="31">
        <v>150000</v>
      </c>
      <c r="AE737" s="31">
        <v>0</v>
      </c>
      <c r="AF737" s="34">
        <v>2021</v>
      </c>
      <c r="AG737" s="34">
        <v>2021</v>
      </c>
      <c r="AH737" s="35">
        <v>2021</v>
      </c>
      <c r="AT737" s="20" t="e">
        <f t="shared" si="150"/>
        <v>#N/A</v>
      </c>
      <c r="BZ737" s="71"/>
      <c r="CD737" s="20" t="e">
        <f t="shared" si="148"/>
        <v>#N/A</v>
      </c>
    </row>
    <row r="738" spans="1:84" ht="61.5" x14ac:dyDescent="0.85">
      <c r="A738" s="20">
        <v>1</v>
      </c>
      <c r="B738" s="66">
        <f>SUBTOTAL(103,$A$560:A738)</f>
        <v>177</v>
      </c>
      <c r="C738" s="24" t="s">
        <v>425</v>
      </c>
      <c r="D738" s="31">
        <f t="shared" si="152"/>
        <v>2345314.9499999997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3">
        <v>0</v>
      </c>
      <c r="L738" s="31">
        <v>0</v>
      </c>
      <c r="M738" s="31">
        <v>365</v>
      </c>
      <c r="N738" s="31">
        <v>2074201.92</v>
      </c>
      <c r="O738" s="31">
        <v>0</v>
      </c>
      <c r="P738" s="31">
        <v>0</v>
      </c>
      <c r="Q738" s="31">
        <v>0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f t="shared" si="153"/>
        <v>31113.03</v>
      </c>
      <c r="AD738" s="31">
        <v>120000</v>
      </c>
      <c r="AE738" s="31">
        <v>120000</v>
      </c>
      <c r="AF738" s="34">
        <v>2021</v>
      </c>
      <c r="AG738" s="34">
        <v>2021</v>
      </c>
      <c r="AH738" s="35">
        <v>2021</v>
      </c>
      <c r="AT738" s="20" t="e">
        <f t="shared" si="150"/>
        <v>#N/A</v>
      </c>
      <c r="BZ738" s="71"/>
      <c r="CD738" s="20" t="e">
        <f t="shared" si="148"/>
        <v>#N/A</v>
      </c>
    </row>
    <row r="739" spans="1:84" ht="61.5" x14ac:dyDescent="0.85">
      <c r="A739" s="20">
        <v>1</v>
      </c>
      <c r="B739" s="66">
        <f>SUBTOTAL(103,$A$560:A739)</f>
        <v>178</v>
      </c>
      <c r="C739" s="24" t="s">
        <v>426</v>
      </c>
      <c r="D739" s="31">
        <f t="shared" si="152"/>
        <v>4900000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3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947</v>
      </c>
      <c r="R739" s="31">
        <v>4699507.3899999997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f>ROUND(R739*1.5%,2)</f>
        <v>70492.61</v>
      </c>
      <c r="AD739" s="31">
        <v>130000</v>
      </c>
      <c r="AE739" s="31">
        <v>0</v>
      </c>
      <c r="AF739" s="34">
        <v>2021</v>
      </c>
      <c r="AG739" s="34">
        <v>2021</v>
      </c>
      <c r="AH739" s="35">
        <v>2021</v>
      </c>
      <c r="AT739" s="20" t="e">
        <f t="shared" si="150"/>
        <v>#N/A</v>
      </c>
      <c r="BZ739" s="71"/>
      <c r="CD739" s="20" t="e">
        <f t="shared" si="148"/>
        <v>#N/A</v>
      </c>
    </row>
    <row r="740" spans="1:84" ht="61.5" x14ac:dyDescent="0.85">
      <c r="A740" s="20">
        <v>1</v>
      </c>
      <c r="B740" s="66">
        <f>SUBTOTAL(103,$A$560:A740)</f>
        <v>179</v>
      </c>
      <c r="C740" s="24" t="s">
        <v>427</v>
      </c>
      <c r="D740" s="31">
        <f t="shared" si="152"/>
        <v>3393815.22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3">
        <v>0</v>
      </c>
      <c r="L740" s="31">
        <v>0</v>
      </c>
      <c r="M740" s="31">
        <v>600</v>
      </c>
      <c r="N740" s="31">
        <v>3195877.06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f t="shared" ref="AC740:AC777" si="154">ROUND(N740*1.5%,2)</f>
        <v>47938.16</v>
      </c>
      <c r="AD740" s="31">
        <v>150000</v>
      </c>
      <c r="AE740" s="31">
        <v>0</v>
      </c>
      <c r="AF740" s="34">
        <v>2021</v>
      </c>
      <c r="AG740" s="34">
        <v>2021</v>
      </c>
      <c r="AH740" s="35">
        <v>2021</v>
      </c>
      <c r="AT740" s="20" t="e">
        <f t="shared" si="150"/>
        <v>#N/A</v>
      </c>
      <c r="BZ740" s="71"/>
      <c r="CD740" s="20" t="e">
        <f t="shared" ref="CD740:CD771" si="155">VLOOKUP(C740,CE:CF,2,FALSE)</f>
        <v>#N/A</v>
      </c>
    </row>
    <row r="741" spans="1:84" ht="61.5" x14ac:dyDescent="0.85">
      <c r="A741" s="20">
        <v>1</v>
      </c>
      <c r="B741" s="66">
        <f>SUBTOTAL(103,$A$560:A741)</f>
        <v>180</v>
      </c>
      <c r="C741" s="24" t="s">
        <v>428</v>
      </c>
      <c r="D741" s="31">
        <f t="shared" si="152"/>
        <v>2699117.1599999997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3">
        <v>0</v>
      </c>
      <c r="L741" s="31">
        <v>0</v>
      </c>
      <c r="M741" s="31">
        <v>486</v>
      </c>
      <c r="N741" s="31">
        <v>2541002.13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f t="shared" si="154"/>
        <v>38115.03</v>
      </c>
      <c r="AD741" s="31">
        <v>120000</v>
      </c>
      <c r="AE741" s="31">
        <v>0</v>
      </c>
      <c r="AF741" s="34">
        <v>2021</v>
      </c>
      <c r="AG741" s="34">
        <v>2021</v>
      </c>
      <c r="AH741" s="35">
        <v>2021</v>
      </c>
      <c r="AT741" s="20" t="e">
        <f t="shared" si="150"/>
        <v>#N/A</v>
      </c>
      <c r="BZ741" s="71"/>
      <c r="CD741" s="20" t="e">
        <f t="shared" si="155"/>
        <v>#N/A</v>
      </c>
    </row>
    <row r="742" spans="1:84" ht="61.5" x14ac:dyDescent="0.85">
      <c r="A742" s="20">
        <v>1</v>
      </c>
      <c r="B742" s="66">
        <f>SUBTOTAL(103,$A$560:A742)</f>
        <v>181</v>
      </c>
      <c r="C742" s="24" t="s">
        <v>1645</v>
      </c>
      <c r="D742" s="31">
        <f t="shared" si="152"/>
        <v>5101600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3">
        <v>0</v>
      </c>
      <c r="L742" s="31">
        <v>0</v>
      </c>
      <c r="M742" s="31">
        <v>911</v>
      </c>
      <c r="N742" s="31">
        <v>4878423.6500000004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31">
        <v>0</v>
      </c>
      <c r="AC742" s="31">
        <f t="shared" si="154"/>
        <v>73176.350000000006</v>
      </c>
      <c r="AD742" s="31">
        <v>150000</v>
      </c>
      <c r="AE742" s="31">
        <v>0</v>
      </c>
      <c r="AF742" s="34">
        <v>2021</v>
      </c>
      <c r="AG742" s="34">
        <v>2021</v>
      </c>
      <c r="AH742" s="35">
        <v>2021</v>
      </c>
      <c r="BZ742" s="71"/>
      <c r="CD742" s="20" t="e">
        <f t="shared" si="155"/>
        <v>#N/A</v>
      </c>
    </row>
    <row r="743" spans="1:84" ht="61.5" x14ac:dyDescent="0.85">
      <c r="A743" s="20">
        <v>1</v>
      </c>
      <c r="B743" s="66">
        <f>SUBTOTAL(103,$A$560:A743)</f>
        <v>182</v>
      </c>
      <c r="C743" s="24" t="s">
        <v>1676</v>
      </c>
      <c r="D743" s="31">
        <f t="shared" si="152"/>
        <v>2638742.77</v>
      </c>
      <c r="E743" s="31">
        <v>0</v>
      </c>
      <c r="F743" s="31">
        <v>0</v>
      </c>
      <c r="G743" s="31">
        <v>0</v>
      </c>
      <c r="H743" s="31">
        <v>0</v>
      </c>
      <c r="I743" s="31">
        <v>0</v>
      </c>
      <c r="J743" s="31">
        <v>0</v>
      </c>
      <c r="K743" s="33">
        <v>0</v>
      </c>
      <c r="L743" s="31">
        <v>0</v>
      </c>
      <c r="M743" s="31">
        <v>480</v>
      </c>
      <c r="N743" s="31">
        <v>2451963.3199999998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31">
        <v>0</v>
      </c>
      <c r="AB743" s="31">
        <v>0</v>
      </c>
      <c r="AC743" s="31">
        <f t="shared" si="154"/>
        <v>36779.449999999997</v>
      </c>
      <c r="AD743" s="31">
        <v>150000</v>
      </c>
      <c r="AE743" s="31">
        <v>0</v>
      </c>
      <c r="AF743" s="34">
        <v>2021</v>
      </c>
      <c r="AG743" s="34">
        <v>2021</v>
      </c>
      <c r="AH743" s="35">
        <v>2021</v>
      </c>
      <c r="BZ743" s="71"/>
      <c r="CD743" s="20" t="e">
        <f t="shared" si="155"/>
        <v>#N/A</v>
      </c>
    </row>
    <row r="744" spans="1:84" ht="61.5" x14ac:dyDescent="0.85">
      <c r="A744" s="20">
        <v>1</v>
      </c>
      <c r="B744" s="66">
        <f>SUBTOTAL(103,$A$560:A744)</f>
        <v>183</v>
      </c>
      <c r="C744" s="24" t="s">
        <v>1677</v>
      </c>
      <c r="D744" s="31">
        <f t="shared" si="152"/>
        <v>3267279.28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3">
        <v>0</v>
      </c>
      <c r="L744" s="31">
        <v>0</v>
      </c>
      <c r="M744" s="31">
        <v>600</v>
      </c>
      <c r="N744" s="31">
        <v>3100767.76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1">
        <f t="shared" si="154"/>
        <v>46511.519999999997</v>
      </c>
      <c r="AD744" s="31">
        <v>120000</v>
      </c>
      <c r="AE744" s="31">
        <v>0</v>
      </c>
      <c r="AF744" s="34">
        <v>2021</v>
      </c>
      <c r="AG744" s="34">
        <v>2021</v>
      </c>
      <c r="AH744" s="35">
        <v>2021</v>
      </c>
      <c r="BZ744" s="71"/>
      <c r="CD744" s="20" t="e">
        <f t="shared" si="155"/>
        <v>#N/A</v>
      </c>
    </row>
    <row r="745" spans="1:84" ht="61.5" x14ac:dyDescent="0.85">
      <c r="A745" s="20">
        <v>1</v>
      </c>
      <c r="B745" s="66">
        <f>SUBTOTAL(103,$A$560:A745)</f>
        <v>184</v>
      </c>
      <c r="C745" s="24" t="s">
        <v>444</v>
      </c>
      <c r="D745" s="31">
        <f>E745+F745+G745+H745+I745+J745+L745+N745+P745+R745+T745+U745+V745+W745+X745+Y745+Z745+AA745+AB745+AC745+AD745+AE745</f>
        <v>4331631.53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3">
        <v>2</v>
      </c>
      <c r="L745" s="31">
        <v>4331631.53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1">
        <f>ROUND(N745*1.5%,2)</f>
        <v>0</v>
      </c>
      <c r="AD745" s="31">
        <v>0</v>
      </c>
      <c r="AE745" s="31">
        <v>0</v>
      </c>
      <c r="AF745" s="35" t="s">
        <v>271</v>
      </c>
      <c r="AG745" s="34">
        <v>2021</v>
      </c>
      <c r="AH745" s="35" t="s">
        <v>271</v>
      </c>
      <c r="BZ745" s="71"/>
      <c r="CD745" s="20" t="e">
        <f t="shared" si="155"/>
        <v>#N/A</v>
      </c>
    </row>
    <row r="746" spans="1:84" ht="61.5" x14ac:dyDescent="0.85">
      <c r="A746" s="20">
        <v>1</v>
      </c>
      <c r="B746" s="66">
        <f>SUBTOTAL(103,$A$560:A746)</f>
        <v>185</v>
      </c>
      <c r="C746" s="24" t="s">
        <v>1697</v>
      </c>
      <c r="D746" s="31">
        <f>E746+F746+G746+H746+I746+J746+L746+N746+P746+R746+T746+U746+V746+W746+X746+Y746+Z746+AA746+AB746+AC746+AD746+AE746</f>
        <v>3267843.12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3">
        <v>0</v>
      </c>
      <c r="L746" s="31">
        <v>0</v>
      </c>
      <c r="M746" s="31">
        <v>600</v>
      </c>
      <c r="N746" s="31">
        <f>3120000+2620.93-1593.23</f>
        <v>3121027.7</v>
      </c>
      <c r="O746" s="31">
        <v>0</v>
      </c>
      <c r="P746" s="31">
        <v>0</v>
      </c>
      <c r="Q746" s="31">
        <v>0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31">
        <v>0</v>
      </c>
      <c r="AA746" s="31">
        <v>0</v>
      </c>
      <c r="AB746" s="31">
        <v>0</v>
      </c>
      <c r="AC746" s="31">
        <f>ROUND(N746*1.5%,2)</f>
        <v>46815.42</v>
      </c>
      <c r="AD746" s="31">
        <v>100000</v>
      </c>
      <c r="AE746" s="31">
        <v>0</v>
      </c>
      <c r="AF746" s="34">
        <v>2021</v>
      </c>
      <c r="AG746" s="34">
        <v>2021</v>
      </c>
      <c r="AH746" s="35">
        <v>2021</v>
      </c>
      <c r="BZ746" s="71"/>
      <c r="CD746" s="20" t="e">
        <f t="shared" si="155"/>
        <v>#N/A</v>
      </c>
    </row>
    <row r="747" spans="1:84" ht="61.5" x14ac:dyDescent="0.85">
      <c r="A747" s="20">
        <v>1</v>
      </c>
      <c r="B747" s="66">
        <f>SUBTOTAL(103,$A$560:A747)</f>
        <v>186</v>
      </c>
      <c r="C747" s="24" t="s">
        <v>1698</v>
      </c>
      <c r="D747" s="31">
        <f>E747+F747+G747+H747+I747+J747+L747+N747+P747+R747+T747+U747+V747+W747+X747+Y747+Z747+AA747+AB747+AC747+AD747+AE747</f>
        <v>2422320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3">
        <v>0</v>
      </c>
      <c r="L747" s="31">
        <v>0</v>
      </c>
      <c r="M747" s="31">
        <v>440</v>
      </c>
      <c r="N747" s="31">
        <v>2288000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1">
        <f>ROUND(N747*1.5%,2)</f>
        <v>34320</v>
      </c>
      <c r="AD747" s="31">
        <v>100000</v>
      </c>
      <c r="AE747" s="31">
        <v>0</v>
      </c>
      <c r="AF747" s="34">
        <v>2021</v>
      </c>
      <c r="AG747" s="34">
        <v>2021</v>
      </c>
      <c r="AH747" s="35">
        <v>2021</v>
      </c>
      <c r="BZ747" s="71"/>
      <c r="CD747" s="20" t="e">
        <f t="shared" si="155"/>
        <v>#N/A</v>
      </c>
    </row>
    <row r="748" spans="1:84" ht="61.5" x14ac:dyDescent="0.85">
      <c r="A748" s="20">
        <v>1</v>
      </c>
      <c r="B748" s="66">
        <f>SUBTOTAL(103,$A$560:A748)</f>
        <v>187</v>
      </c>
      <c r="C748" s="24" t="s">
        <v>1168</v>
      </c>
      <c r="D748" s="31">
        <f>E748+F748+G748+H748+I748+J748+L748+N748+P748+R748+T748+U748+V748+W748+X748+Y748+Z748+AA748+AB748+AC748+AD748+AE748</f>
        <v>2050106.0299999998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3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1645.95</v>
      </c>
      <c r="R748" s="31">
        <v>2019808.9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1">
        <f>ROUND(R748*1.5%,2)</f>
        <v>30297.13</v>
      </c>
      <c r="AD748" s="31">
        <v>0</v>
      </c>
      <c r="AE748" s="31">
        <v>0</v>
      </c>
      <c r="AF748" s="34" t="s">
        <v>271</v>
      </c>
      <c r="AG748" s="34">
        <v>2021</v>
      </c>
      <c r="AH748" s="35">
        <v>2021</v>
      </c>
      <c r="BZ748" s="71"/>
      <c r="CD748" s="20" t="e">
        <f t="shared" si="155"/>
        <v>#N/A</v>
      </c>
      <c r="CE748" s="115" t="s">
        <v>1246</v>
      </c>
      <c r="CF748" s="115">
        <v>542.66</v>
      </c>
    </row>
    <row r="749" spans="1:84" ht="61.5" x14ac:dyDescent="0.85">
      <c r="A749" s="20">
        <v>1</v>
      </c>
      <c r="B749" s="66">
        <f>SUBTOTAL(103,$A$560:A749)</f>
        <v>188</v>
      </c>
      <c r="C749" s="211" t="s">
        <v>1308</v>
      </c>
      <c r="D749" s="31">
        <f t="shared" ref="D749:D750" si="156">E749+F749+G749+H749+I749+J749+L749+N749+P749+R749+T749+U749+V749+W749+X749+Y749+Z749+AA749+AB749+AC749+AD749+AE749</f>
        <v>13280548.279999999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3">
        <v>0</v>
      </c>
      <c r="L749" s="31">
        <v>0</v>
      </c>
      <c r="M749" s="31">
        <v>0</v>
      </c>
      <c r="N749" s="31">
        <v>0</v>
      </c>
      <c r="O749" s="31">
        <v>0</v>
      </c>
      <c r="P749" s="31">
        <v>0</v>
      </c>
      <c r="Q749" s="31">
        <v>2524</v>
      </c>
      <c r="R749" s="31">
        <v>13084284.02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f>ROUND(R749*1.5%,2)</f>
        <v>196264.26</v>
      </c>
      <c r="AD749" s="39">
        <v>0</v>
      </c>
      <c r="AE749" s="31">
        <v>0</v>
      </c>
      <c r="AF749" s="34" t="s">
        <v>271</v>
      </c>
      <c r="AG749" s="34">
        <v>2021</v>
      </c>
      <c r="AH749" s="35">
        <v>2021</v>
      </c>
      <c r="AI749" s="34">
        <v>2020</v>
      </c>
      <c r="AJ749" s="34">
        <v>2020</v>
      </c>
      <c r="AK749" s="34">
        <v>2020</v>
      </c>
      <c r="AL749" s="34">
        <v>2020</v>
      </c>
      <c r="AM749" s="34">
        <v>2020</v>
      </c>
      <c r="AN749" s="34">
        <v>2020</v>
      </c>
      <c r="AO749" s="34">
        <v>2020</v>
      </c>
      <c r="AP749" s="34">
        <v>2020</v>
      </c>
      <c r="AQ749" s="34">
        <v>2020</v>
      </c>
      <c r="AR749" s="34">
        <v>2020</v>
      </c>
      <c r="AS749" s="34">
        <v>2020</v>
      </c>
      <c r="AT749" s="34">
        <v>2020</v>
      </c>
      <c r="AU749" s="34">
        <v>2020</v>
      </c>
      <c r="AV749" s="34">
        <v>2020</v>
      </c>
      <c r="AW749" s="34">
        <v>2020</v>
      </c>
      <c r="AX749" s="34">
        <v>2020</v>
      </c>
      <c r="AY749" s="34">
        <v>2020</v>
      </c>
      <c r="AZ749" s="34">
        <v>2020</v>
      </c>
      <c r="BA749" s="34">
        <v>2020</v>
      </c>
      <c r="BB749" s="34">
        <v>2020</v>
      </c>
      <c r="BC749" s="34">
        <v>2020</v>
      </c>
      <c r="BD749" s="34">
        <v>2020</v>
      </c>
      <c r="BE749" s="34">
        <v>2020</v>
      </c>
      <c r="BF749" s="34">
        <v>2020</v>
      </c>
      <c r="BG749" s="34">
        <v>2020</v>
      </c>
      <c r="BH749" s="34">
        <v>2020</v>
      </c>
      <c r="BI749" s="34">
        <v>2020</v>
      </c>
      <c r="BJ749" s="34">
        <v>2020</v>
      </c>
      <c r="BK749" s="34">
        <v>2020</v>
      </c>
      <c r="BL749" s="34">
        <v>2020</v>
      </c>
      <c r="BM749" s="34">
        <v>2020</v>
      </c>
      <c r="BN749" s="34">
        <v>2020</v>
      </c>
      <c r="BO749" s="34">
        <v>2020</v>
      </c>
      <c r="BP749" s="34">
        <v>2020</v>
      </c>
      <c r="BQ749" s="34">
        <v>2020</v>
      </c>
      <c r="BR749" s="34">
        <v>2020</v>
      </c>
      <c r="BS749" s="34">
        <v>2020</v>
      </c>
      <c r="BT749" s="34">
        <v>2020</v>
      </c>
      <c r="BU749" s="34">
        <v>2020</v>
      </c>
      <c r="BV749" s="34">
        <v>2020</v>
      </c>
      <c r="BW749" s="34">
        <v>2020</v>
      </c>
      <c r="BZ749" s="71"/>
      <c r="CD749" s="20" t="e">
        <f t="shared" si="155"/>
        <v>#N/A</v>
      </c>
    </row>
    <row r="750" spans="1:84" ht="61.5" x14ac:dyDescent="0.85">
      <c r="A750" s="20">
        <v>1</v>
      </c>
      <c r="B750" s="66">
        <f>SUBTOTAL(103,$A$560:A750)</f>
        <v>189</v>
      </c>
      <c r="C750" s="211" t="s">
        <v>1614</v>
      </c>
      <c r="D750" s="31">
        <f t="shared" si="156"/>
        <v>7003500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3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375</v>
      </c>
      <c r="T750" s="31">
        <f>6900000</f>
        <v>6900000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1">
        <f>ROUND((N750+T750)*1.5%,2)</f>
        <v>103500</v>
      </c>
      <c r="AD750" s="39">
        <v>0</v>
      </c>
      <c r="AE750" s="31">
        <v>0</v>
      </c>
      <c r="AF750" s="34" t="s">
        <v>271</v>
      </c>
      <c r="AG750" s="34">
        <v>2021</v>
      </c>
      <c r="AH750" s="35">
        <v>2021</v>
      </c>
      <c r="BZ750" s="71"/>
      <c r="CD750" s="20" t="e">
        <f t="shared" si="155"/>
        <v>#N/A</v>
      </c>
    </row>
    <row r="751" spans="1:84" ht="61.5" x14ac:dyDescent="0.85">
      <c r="A751" s="20">
        <v>1</v>
      </c>
      <c r="B751" s="66">
        <f>SUBTOTAL(103,$A$560:A751)</f>
        <v>190</v>
      </c>
      <c r="C751" s="212" t="s">
        <v>1901</v>
      </c>
      <c r="D751" s="31">
        <f t="shared" ref="D751" si="157">E751+F751+G751+H751+I751+J751+L751+N751+P751+R751+T751+U751+V751+W751+X751+Y751+Z751+AA751+AB751+AC751+AD751+AE751</f>
        <v>3380273.29</v>
      </c>
      <c r="E751" s="31">
        <v>0</v>
      </c>
      <c r="F751" s="31">
        <v>0</v>
      </c>
      <c r="G751" s="31">
        <v>0</v>
      </c>
      <c r="H751" s="31">
        <v>0</v>
      </c>
      <c r="I751" s="31">
        <v>3231796.34</v>
      </c>
      <c r="J751" s="31">
        <v>0</v>
      </c>
      <c r="K751" s="33">
        <v>0</v>
      </c>
      <c r="L751" s="31">
        <v>0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1">
        <f>ROUND((E751+F751+G751+H751+I751+J751)*1.5%,2)</f>
        <v>48476.95</v>
      </c>
      <c r="AD751" s="31">
        <v>100000</v>
      </c>
      <c r="AE751" s="31">
        <v>0</v>
      </c>
      <c r="AF751" s="34">
        <v>2021</v>
      </c>
      <c r="AG751" s="34">
        <v>2021</v>
      </c>
      <c r="AH751" s="35">
        <v>2021</v>
      </c>
      <c r="BZ751" s="71"/>
      <c r="CD751" s="20" t="e">
        <f t="shared" si="155"/>
        <v>#N/A</v>
      </c>
    </row>
    <row r="752" spans="1:84" ht="61.5" x14ac:dyDescent="0.85">
      <c r="A752" s="20">
        <v>1</v>
      </c>
      <c r="B752" s="66">
        <f>SUBTOTAL(103,$A$560:A752)</f>
        <v>191</v>
      </c>
      <c r="C752" s="24" t="s">
        <v>429</v>
      </c>
      <c r="D752" s="31">
        <f t="shared" si="152"/>
        <v>150000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3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f t="shared" si="154"/>
        <v>0</v>
      </c>
      <c r="AD752" s="31">
        <v>150000</v>
      </c>
      <c r="AE752" s="31">
        <v>0</v>
      </c>
      <c r="AF752" s="34">
        <v>2021</v>
      </c>
      <c r="AG752" s="34" t="s">
        <v>271</v>
      </c>
      <c r="AH752" s="35" t="s">
        <v>271</v>
      </c>
      <c r="BZ752" s="71"/>
      <c r="CD752" s="20" t="e">
        <f t="shared" si="155"/>
        <v>#N/A</v>
      </c>
    </row>
    <row r="753" spans="1:82" ht="61.5" x14ac:dyDescent="0.85">
      <c r="A753" s="20">
        <v>1</v>
      </c>
      <c r="B753" s="66">
        <f>SUBTOTAL(103,$A$560:A753)</f>
        <v>192</v>
      </c>
      <c r="C753" s="24" t="s">
        <v>430</v>
      </c>
      <c r="D753" s="31">
        <f t="shared" si="152"/>
        <v>150000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3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f t="shared" si="154"/>
        <v>0</v>
      </c>
      <c r="AD753" s="31">
        <v>150000</v>
      </c>
      <c r="AE753" s="31">
        <v>0</v>
      </c>
      <c r="AF753" s="34">
        <v>2021</v>
      </c>
      <c r="AG753" s="34" t="s">
        <v>271</v>
      </c>
      <c r="AH753" s="35" t="s">
        <v>271</v>
      </c>
      <c r="BZ753" s="71"/>
      <c r="CD753" s="20" t="e">
        <f t="shared" si="155"/>
        <v>#N/A</v>
      </c>
    </row>
    <row r="754" spans="1:82" ht="61.5" x14ac:dyDescent="0.85">
      <c r="A754" s="20">
        <v>1</v>
      </c>
      <c r="B754" s="66">
        <f>SUBTOTAL(103,$A$560:A754)</f>
        <v>193</v>
      </c>
      <c r="C754" s="24" t="s">
        <v>431</v>
      </c>
      <c r="D754" s="31">
        <f t="shared" si="152"/>
        <v>180000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3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f t="shared" si="154"/>
        <v>0</v>
      </c>
      <c r="AD754" s="31">
        <v>180000</v>
      </c>
      <c r="AE754" s="31">
        <v>0</v>
      </c>
      <c r="AF754" s="34">
        <v>2021</v>
      </c>
      <c r="AG754" s="34" t="s">
        <v>271</v>
      </c>
      <c r="AH754" s="35" t="s">
        <v>271</v>
      </c>
      <c r="BZ754" s="71"/>
      <c r="CD754" s="20" t="e">
        <f t="shared" si="155"/>
        <v>#N/A</v>
      </c>
    </row>
    <row r="755" spans="1:82" ht="61.5" x14ac:dyDescent="0.85">
      <c r="A755" s="20">
        <v>1</v>
      </c>
      <c r="B755" s="66">
        <f>SUBTOTAL(103,$A$560:A755)</f>
        <v>194</v>
      </c>
      <c r="C755" s="24" t="s">
        <v>432</v>
      </c>
      <c r="D755" s="31">
        <f t="shared" si="152"/>
        <v>200000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3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f t="shared" si="154"/>
        <v>0</v>
      </c>
      <c r="AD755" s="31">
        <v>200000</v>
      </c>
      <c r="AE755" s="31">
        <v>0</v>
      </c>
      <c r="AF755" s="34">
        <v>2021</v>
      </c>
      <c r="AG755" s="34" t="s">
        <v>271</v>
      </c>
      <c r="AH755" s="35" t="s">
        <v>271</v>
      </c>
      <c r="BZ755" s="71"/>
      <c r="CD755" s="20" t="e">
        <f t="shared" si="155"/>
        <v>#N/A</v>
      </c>
    </row>
    <row r="756" spans="1:82" ht="61.5" x14ac:dyDescent="0.85">
      <c r="A756" s="20">
        <v>1</v>
      </c>
      <c r="B756" s="66">
        <f>SUBTOTAL(103,$A$560:A756)</f>
        <v>195</v>
      </c>
      <c r="C756" s="24" t="s">
        <v>433</v>
      </c>
      <c r="D756" s="31">
        <f t="shared" si="152"/>
        <v>150000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3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f t="shared" si="154"/>
        <v>0</v>
      </c>
      <c r="AD756" s="31">
        <v>150000</v>
      </c>
      <c r="AE756" s="31">
        <v>0</v>
      </c>
      <c r="AF756" s="34">
        <v>2021</v>
      </c>
      <c r="AG756" s="34" t="s">
        <v>271</v>
      </c>
      <c r="AH756" s="35" t="s">
        <v>271</v>
      </c>
      <c r="BZ756" s="71"/>
      <c r="CD756" s="20" t="e">
        <f t="shared" si="155"/>
        <v>#N/A</v>
      </c>
    </row>
    <row r="757" spans="1:82" ht="61.5" x14ac:dyDescent="0.85">
      <c r="A757" s="20">
        <v>1</v>
      </c>
      <c r="B757" s="66">
        <f>SUBTOTAL(103,$A$560:A757)</f>
        <v>196</v>
      </c>
      <c r="C757" s="24" t="s">
        <v>434</v>
      </c>
      <c r="D757" s="31">
        <f t="shared" si="152"/>
        <v>180000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3">
        <v>0</v>
      </c>
      <c r="L757" s="31">
        <v>0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1">
        <f t="shared" si="154"/>
        <v>0</v>
      </c>
      <c r="AD757" s="31">
        <v>180000</v>
      </c>
      <c r="AE757" s="31">
        <v>0</v>
      </c>
      <c r="AF757" s="34">
        <v>2021</v>
      </c>
      <c r="AG757" s="34" t="s">
        <v>271</v>
      </c>
      <c r="AH757" s="35" t="s">
        <v>271</v>
      </c>
      <c r="BZ757" s="71"/>
      <c r="CD757" s="20" t="e">
        <f t="shared" si="155"/>
        <v>#N/A</v>
      </c>
    </row>
    <row r="758" spans="1:82" ht="61.5" x14ac:dyDescent="0.85">
      <c r="A758" s="20">
        <v>1</v>
      </c>
      <c r="B758" s="66">
        <f>SUBTOTAL(103,$A$560:A758)</f>
        <v>197</v>
      </c>
      <c r="C758" s="24" t="s">
        <v>435</v>
      </c>
      <c r="D758" s="31">
        <f t="shared" si="152"/>
        <v>150000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3">
        <v>0</v>
      </c>
      <c r="L758" s="31">
        <v>0</v>
      </c>
      <c r="M758" s="31">
        <v>0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0</v>
      </c>
      <c r="T758" s="31">
        <v>0</v>
      </c>
      <c r="U758" s="31">
        <v>0</v>
      </c>
      <c r="V758" s="31">
        <v>0</v>
      </c>
      <c r="W758" s="31">
        <v>0</v>
      </c>
      <c r="X758" s="31">
        <v>0</v>
      </c>
      <c r="Y758" s="31">
        <v>0</v>
      </c>
      <c r="Z758" s="31">
        <v>0</v>
      </c>
      <c r="AA758" s="31">
        <v>0</v>
      </c>
      <c r="AB758" s="31">
        <v>0</v>
      </c>
      <c r="AC758" s="31">
        <f t="shared" si="154"/>
        <v>0</v>
      </c>
      <c r="AD758" s="31">
        <v>150000</v>
      </c>
      <c r="AE758" s="31">
        <v>0</v>
      </c>
      <c r="AF758" s="34">
        <v>2021</v>
      </c>
      <c r="AG758" s="34" t="s">
        <v>271</v>
      </c>
      <c r="AH758" s="35" t="s">
        <v>271</v>
      </c>
      <c r="BZ758" s="71"/>
      <c r="CD758" s="20" t="e">
        <f t="shared" si="155"/>
        <v>#N/A</v>
      </c>
    </row>
    <row r="759" spans="1:82" ht="61.5" x14ac:dyDescent="0.85">
      <c r="A759" s="20">
        <v>1</v>
      </c>
      <c r="B759" s="66">
        <f>SUBTOTAL(103,$A$560:A759)</f>
        <v>198</v>
      </c>
      <c r="C759" s="24" t="s">
        <v>1725</v>
      </c>
      <c r="D759" s="31">
        <f t="shared" si="152"/>
        <v>120000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3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f t="shared" si="154"/>
        <v>0</v>
      </c>
      <c r="AD759" s="31">
        <v>120000</v>
      </c>
      <c r="AE759" s="31">
        <v>0</v>
      </c>
      <c r="AF759" s="34">
        <v>2021</v>
      </c>
      <c r="AG759" s="34" t="s">
        <v>271</v>
      </c>
      <c r="AH759" s="35" t="s">
        <v>271</v>
      </c>
      <c r="BZ759" s="71"/>
      <c r="CD759" s="20" t="e">
        <f t="shared" si="155"/>
        <v>#N/A</v>
      </c>
    </row>
    <row r="760" spans="1:82" ht="61.5" x14ac:dyDescent="0.85">
      <c r="A760" s="20">
        <v>1</v>
      </c>
      <c r="B760" s="66">
        <f>SUBTOTAL(103,$A$560:A760)</f>
        <v>199</v>
      </c>
      <c r="C760" s="24" t="s">
        <v>206</v>
      </c>
      <c r="D760" s="31">
        <f t="shared" si="152"/>
        <v>150000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3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f t="shared" si="154"/>
        <v>0</v>
      </c>
      <c r="AD760" s="31">
        <v>150000</v>
      </c>
      <c r="AE760" s="31">
        <v>0</v>
      </c>
      <c r="AF760" s="34">
        <v>2021</v>
      </c>
      <c r="AG760" s="34" t="s">
        <v>271</v>
      </c>
      <c r="AH760" s="35" t="s">
        <v>271</v>
      </c>
      <c r="BZ760" s="71"/>
      <c r="CD760" s="20" t="e">
        <f t="shared" si="155"/>
        <v>#N/A</v>
      </c>
    </row>
    <row r="761" spans="1:82" ht="61.5" x14ac:dyDescent="0.85">
      <c r="A761" s="20">
        <v>1</v>
      </c>
      <c r="B761" s="66">
        <f>SUBTOTAL(103,$A$560:A761)</f>
        <v>200</v>
      </c>
      <c r="C761" s="24" t="s">
        <v>207</v>
      </c>
      <c r="D761" s="31">
        <f t="shared" si="152"/>
        <v>70000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3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f t="shared" si="154"/>
        <v>0</v>
      </c>
      <c r="AD761" s="31">
        <v>70000</v>
      </c>
      <c r="AE761" s="31">
        <v>0</v>
      </c>
      <c r="AF761" s="34">
        <v>2021</v>
      </c>
      <c r="AG761" s="34" t="s">
        <v>271</v>
      </c>
      <c r="AH761" s="35" t="s">
        <v>271</v>
      </c>
      <c r="BZ761" s="71"/>
      <c r="CD761" s="20" t="e">
        <f t="shared" si="155"/>
        <v>#N/A</v>
      </c>
    </row>
    <row r="762" spans="1:82" ht="61.5" x14ac:dyDescent="0.85">
      <c r="A762" s="20">
        <v>1</v>
      </c>
      <c r="B762" s="66">
        <f>SUBTOTAL(103,$A$560:A762)</f>
        <v>201</v>
      </c>
      <c r="C762" s="24" t="s">
        <v>208</v>
      </c>
      <c r="D762" s="31">
        <f t="shared" si="152"/>
        <v>70000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3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f t="shared" si="154"/>
        <v>0</v>
      </c>
      <c r="AD762" s="31">
        <v>70000</v>
      </c>
      <c r="AE762" s="31">
        <v>0</v>
      </c>
      <c r="AF762" s="34">
        <v>2021</v>
      </c>
      <c r="AG762" s="34" t="s">
        <v>271</v>
      </c>
      <c r="AH762" s="35" t="s">
        <v>271</v>
      </c>
      <c r="BZ762" s="71"/>
      <c r="CD762" s="20" t="e">
        <f t="shared" si="155"/>
        <v>#N/A</v>
      </c>
    </row>
    <row r="763" spans="1:82" ht="61.5" x14ac:dyDescent="0.85">
      <c r="A763" s="20">
        <v>1</v>
      </c>
      <c r="B763" s="66">
        <f>SUBTOTAL(103,$A$560:A763)</f>
        <v>202</v>
      </c>
      <c r="C763" s="24" t="s">
        <v>209</v>
      </c>
      <c r="D763" s="31">
        <f t="shared" si="152"/>
        <v>70000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3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31">
        <v>0</v>
      </c>
      <c r="AA763" s="31">
        <v>0</v>
      </c>
      <c r="AB763" s="31">
        <v>0</v>
      </c>
      <c r="AC763" s="31">
        <f t="shared" si="154"/>
        <v>0</v>
      </c>
      <c r="AD763" s="31">
        <v>70000</v>
      </c>
      <c r="AE763" s="31">
        <v>0</v>
      </c>
      <c r="AF763" s="34">
        <v>2021</v>
      </c>
      <c r="AG763" s="34" t="s">
        <v>271</v>
      </c>
      <c r="AH763" s="35" t="s">
        <v>271</v>
      </c>
      <c r="BZ763" s="71"/>
      <c r="CD763" s="20" t="e">
        <f t="shared" si="155"/>
        <v>#N/A</v>
      </c>
    </row>
    <row r="764" spans="1:82" ht="61.5" x14ac:dyDescent="0.85">
      <c r="A764" s="20">
        <v>1</v>
      </c>
      <c r="B764" s="66">
        <f>SUBTOTAL(103,$A$560:A764)</f>
        <v>203</v>
      </c>
      <c r="C764" s="24" t="s">
        <v>436</v>
      </c>
      <c r="D764" s="31">
        <f t="shared" si="152"/>
        <v>180000</v>
      </c>
      <c r="E764" s="31">
        <v>0</v>
      </c>
      <c r="F764" s="31">
        <v>0</v>
      </c>
      <c r="G764" s="31">
        <v>0</v>
      </c>
      <c r="H764" s="31">
        <v>0</v>
      </c>
      <c r="I764" s="31">
        <v>0</v>
      </c>
      <c r="J764" s="31">
        <v>0</v>
      </c>
      <c r="K764" s="33">
        <v>0</v>
      </c>
      <c r="L764" s="31">
        <v>0</v>
      </c>
      <c r="M764" s="31">
        <v>0</v>
      </c>
      <c r="N764" s="31">
        <v>0</v>
      </c>
      <c r="O764" s="31">
        <v>0</v>
      </c>
      <c r="P764" s="31">
        <v>0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1">
        <v>0</v>
      </c>
      <c r="X764" s="31">
        <v>0</v>
      </c>
      <c r="Y764" s="31">
        <v>0</v>
      </c>
      <c r="Z764" s="31">
        <v>0</v>
      </c>
      <c r="AA764" s="31">
        <v>0</v>
      </c>
      <c r="AB764" s="31">
        <v>0</v>
      </c>
      <c r="AC764" s="31">
        <f t="shared" si="154"/>
        <v>0</v>
      </c>
      <c r="AD764" s="31">
        <v>180000</v>
      </c>
      <c r="AE764" s="31">
        <v>0</v>
      </c>
      <c r="AF764" s="34">
        <v>2021</v>
      </c>
      <c r="AG764" s="34" t="s">
        <v>271</v>
      </c>
      <c r="AH764" s="35" t="s">
        <v>271</v>
      </c>
      <c r="BZ764" s="71"/>
      <c r="CD764" s="20" t="e">
        <f t="shared" si="155"/>
        <v>#N/A</v>
      </c>
    </row>
    <row r="765" spans="1:82" ht="61.5" x14ac:dyDescent="0.85">
      <c r="A765" s="20">
        <v>1</v>
      </c>
      <c r="B765" s="66">
        <f>SUBTOTAL(103,$A$560:A765)</f>
        <v>204</v>
      </c>
      <c r="C765" s="24" t="s">
        <v>437</v>
      </c>
      <c r="D765" s="31">
        <f t="shared" si="152"/>
        <v>100000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3">
        <v>0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0</v>
      </c>
      <c r="U765" s="31">
        <v>0</v>
      </c>
      <c r="V765" s="31">
        <v>0</v>
      </c>
      <c r="W765" s="31">
        <v>0</v>
      </c>
      <c r="X765" s="31">
        <v>0</v>
      </c>
      <c r="Y765" s="31">
        <v>0</v>
      </c>
      <c r="Z765" s="31">
        <v>0</v>
      </c>
      <c r="AA765" s="31">
        <v>0</v>
      </c>
      <c r="AB765" s="31">
        <v>0</v>
      </c>
      <c r="AC765" s="31">
        <f t="shared" si="154"/>
        <v>0</v>
      </c>
      <c r="AD765" s="31">
        <v>100000</v>
      </c>
      <c r="AE765" s="31">
        <v>0</v>
      </c>
      <c r="AF765" s="34">
        <v>2021</v>
      </c>
      <c r="AG765" s="34" t="s">
        <v>271</v>
      </c>
      <c r="AH765" s="35" t="s">
        <v>271</v>
      </c>
      <c r="BZ765" s="71"/>
      <c r="CD765" s="20" t="e">
        <f t="shared" si="155"/>
        <v>#N/A</v>
      </c>
    </row>
    <row r="766" spans="1:82" ht="61.5" x14ac:dyDescent="0.85">
      <c r="A766" s="20">
        <v>1</v>
      </c>
      <c r="B766" s="66">
        <f>SUBTOTAL(103,$A$560:A766)</f>
        <v>205</v>
      </c>
      <c r="C766" s="24" t="s">
        <v>438</v>
      </c>
      <c r="D766" s="31">
        <f t="shared" si="152"/>
        <v>150000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3">
        <v>0</v>
      </c>
      <c r="L766" s="31">
        <v>0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  <c r="AC766" s="31">
        <f t="shared" si="154"/>
        <v>0</v>
      </c>
      <c r="AD766" s="31">
        <v>150000</v>
      </c>
      <c r="AE766" s="31">
        <v>0</v>
      </c>
      <c r="AF766" s="34">
        <v>2021</v>
      </c>
      <c r="AG766" s="34" t="s">
        <v>271</v>
      </c>
      <c r="AH766" s="35" t="s">
        <v>271</v>
      </c>
      <c r="BZ766" s="71"/>
      <c r="CD766" s="20" t="e">
        <f t="shared" si="155"/>
        <v>#N/A</v>
      </c>
    </row>
    <row r="767" spans="1:82" ht="61.5" x14ac:dyDescent="0.85">
      <c r="A767" s="20">
        <v>1</v>
      </c>
      <c r="B767" s="66">
        <f>SUBTOTAL(103,$A$560:A767)</f>
        <v>206</v>
      </c>
      <c r="C767" s="24" t="s">
        <v>439</v>
      </c>
      <c r="D767" s="31">
        <f t="shared" si="152"/>
        <v>150000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3">
        <v>0</v>
      </c>
      <c r="L767" s="31">
        <v>0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1">
        <v>0</v>
      </c>
      <c r="Z767" s="31">
        <v>0</v>
      </c>
      <c r="AA767" s="31">
        <v>0</v>
      </c>
      <c r="AB767" s="31">
        <v>0</v>
      </c>
      <c r="AC767" s="31">
        <f t="shared" si="154"/>
        <v>0</v>
      </c>
      <c r="AD767" s="31">
        <v>150000</v>
      </c>
      <c r="AE767" s="31">
        <v>0</v>
      </c>
      <c r="AF767" s="34">
        <v>2021</v>
      </c>
      <c r="AG767" s="34" t="s">
        <v>271</v>
      </c>
      <c r="AH767" s="35" t="s">
        <v>271</v>
      </c>
      <c r="BZ767" s="71"/>
      <c r="CD767" s="20" t="e">
        <f t="shared" si="155"/>
        <v>#N/A</v>
      </c>
    </row>
    <row r="768" spans="1:82" ht="61.5" x14ac:dyDescent="0.85">
      <c r="A768" s="20">
        <v>1</v>
      </c>
      <c r="B768" s="66">
        <f>SUBTOTAL(103,$A$560:A768)</f>
        <v>207</v>
      </c>
      <c r="C768" s="24" t="s">
        <v>440</v>
      </c>
      <c r="D768" s="31">
        <f t="shared" si="152"/>
        <v>120000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3">
        <v>0</v>
      </c>
      <c r="L768" s="31">
        <v>0</v>
      </c>
      <c r="M768" s="31">
        <v>0</v>
      </c>
      <c r="N768" s="31">
        <v>0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f t="shared" si="154"/>
        <v>0</v>
      </c>
      <c r="AD768" s="31">
        <v>120000</v>
      </c>
      <c r="AE768" s="31">
        <v>0</v>
      </c>
      <c r="AF768" s="34">
        <v>2021</v>
      </c>
      <c r="AG768" s="34" t="s">
        <v>271</v>
      </c>
      <c r="AH768" s="35" t="s">
        <v>271</v>
      </c>
      <c r="BZ768" s="71"/>
      <c r="CD768" s="20" t="e">
        <f t="shared" si="155"/>
        <v>#N/A</v>
      </c>
    </row>
    <row r="769" spans="1:82" ht="61.5" x14ac:dyDescent="0.85">
      <c r="A769" s="20">
        <v>1</v>
      </c>
      <c r="B769" s="66">
        <f>SUBTOTAL(103,$A$560:A769)</f>
        <v>208</v>
      </c>
      <c r="C769" s="24" t="s">
        <v>441</v>
      </c>
      <c r="D769" s="31">
        <f t="shared" si="152"/>
        <v>180000</v>
      </c>
      <c r="E769" s="31">
        <v>0</v>
      </c>
      <c r="F769" s="31">
        <v>0</v>
      </c>
      <c r="G769" s="31">
        <v>0</v>
      </c>
      <c r="H769" s="31">
        <v>0</v>
      </c>
      <c r="I769" s="31">
        <v>0</v>
      </c>
      <c r="J769" s="31">
        <v>0</v>
      </c>
      <c r="K769" s="33">
        <v>0</v>
      </c>
      <c r="L769" s="31">
        <v>0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31">
        <v>0</v>
      </c>
      <c r="AA769" s="31">
        <v>0</v>
      </c>
      <c r="AB769" s="31">
        <v>0</v>
      </c>
      <c r="AC769" s="31">
        <f t="shared" si="154"/>
        <v>0</v>
      </c>
      <c r="AD769" s="31">
        <v>180000</v>
      </c>
      <c r="AE769" s="31">
        <v>0</v>
      </c>
      <c r="AF769" s="34">
        <v>2021</v>
      </c>
      <c r="AG769" s="34" t="s">
        <v>271</v>
      </c>
      <c r="AH769" s="35" t="s">
        <v>271</v>
      </c>
      <c r="BZ769" s="71"/>
      <c r="CD769" s="20" t="e">
        <f t="shared" si="155"/>
        <v>#N/A</v>
      </c>
    </row>
    <row r="770" spans="1:82" ht="61.5" x14ac:dyDescent="0.85">
      <c r="A770" s="20">
        <v>1</v>
      </c>
      <c r="B770" s="66">
        <f>SUBTOTAL(103,$A$560:A770)</f>
        <v>209</v>
      </c>
      <c r="C770" s="24" t="s">
        <v>442</v>
      </c>
      <c r="D770" s="31">
        <f t="shared" si="152"/>
        <v>150000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3">
        <v>0</v>
      </c>
      <c r="L770" s="31">
        <v>0</v>
      </c>
      <c r="M770" s="31">
        <v>0</v>
      </c>
      <c r="N770" s="31">
        <v>0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f t="shared" si="154"/>
        <v>0</v>
      </c>
      <c r="AD770" s="31">
        <v>150000</v>
      </c>
      <c r="AE770" s="31">
        <v>0</v>
      </c>
      <c r="AF770" s="34">
        <v>2021</v>
      </c>
      <c r="AG770" s="34" t="s">
        <v>271</v>
      </c>
      <c r="AH770" s="35" t="s">
        <v>271</v>
      </c>
      <c r="BZ770" s="71"/>
      <c r="CD770" s="20" t="e">
        <f t="shared" si="155"/>
        <v>#N/A</v>
      </c>
    </row>
    <row r="771" spans="1:82" ht="61.5" x14ac:dyDescent="0.85">
      <c r="A771" s="20">
        <v>1</v>
      </c>
      <c r="B771" s="66">
        <f>SUBTOTAL(103,$A$560:A771)</f>
        <v>210</v>
      </c>
      <c r="C771" s="24" t="s">
        <v>443</v>
      </c>
      <c r="D771" s="31">
        <f t="shared" si="152"/>
        <v>120000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3">
        <v>0</v>
      </c>
      <c r="L771" s="31">
        <v>0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f t="shared" si="154"/>
        <v>0</v>
      </c>
      <c r="AD771" s="31">
        <v>120000</v>
      </c>
      <c r="AE771" s="31">
        <v>0</v>
      </c>
      <c r="AF771" s="34">
        <v>2021</v>
      </c>
      <c r="AG771" s="34" t="s">
        <v>271</v>
      </c>
      <c r="AH771" s="35" t="s">
        <v>271</v>
      </c>
      <c r="BZ771" s="71"/>
      <c r="CD771" s="20" t="e">
        <f t="shared" si="155"/>
        <v>#N/A</v>
      </c>
    </row>
    <row r="772" spans="1:82" ht="61.5" x14ac:dyDescent="0.85">
      <c r="A772" s="20">
        <v>1</v>
      </c>
      <c r="B772" s="66">
        <f>SUBTOTAL(103,$A$560:A772)</f>
        <v>211</v>
      </c>
      <c r="C772" s="24" t="s">
        <v>211</v>
      </c>
      <c r="D772" s="31">
        <f t="shared" si="152"/>
        <v>150000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3">
        <v>0</v>
      </c>
      <c r="L772" s="31">
        <v>0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f t="shared" si="154"/>
        <v>0</v>
      </c>
      <c r="AD772" s="31">
        <v>150000</v>
      </c>
      <c r="AE772" s="31">
        <v>0</v>
      </c>
      <c r="AF772" s="34">
        <v>2021</v>
      </c>
      <c r="AG772" s="34" t="s">
        <v>271</v>
      </c>
      <c r="AH772" s="35" t="s">
        <v>271</v>
      </c>
      <c r="BZ772" s="71"/>
      <c r="CD772" s="20" t="e">
        <f t="shared" ref="CD772:CD803" si="158">VLOOKUP(C772,CE:CF,2,FALSE)</f>
        <v>#N/A</v>
      </c>
    </row>
    <row r="773" spans="1:82" ht="61.5" x14ac:dyDescent="0.85">
      <c r="A773" s="20">
        <v>1</v>
      </c>
      <c r="B773" s="66">
        <f>SUBTOTAL(103,$A$560:A773)</f>
        <v>212</v>
      </c>
      <c r="C773" s="24" t="s">
        <v>210</v>
      </c>
      <c r="D773" s="31">
        <f t="shared" si="152"/>
        <v>150000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3">
        <v>0</v>
      </c>
      <c r="L773" s="31">
        <v>0</v>
      </c>
      <c r="M773" s="31">
        <v>0</v>
      </c>
      <c r="N773" s="31">
        <v>0</v>
      </c>
      <c r="O773" s="31">
        <v>0</v>
      </c>
      <c r="P773" s="31">
        <v>0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1">
        <f t="shared" si="154"/>
        <v>0</v>
      </c>
      <c r="AD773" s="31">
        <v>150000</v>
      </c>
      <c r="AE773" s="31">
        <v>0</v>
      </c>
      <c r="AF773" s="34">
        <v>2021</v>
      </c>
      <c r="AG773" s="34" t="s">
        <v>271</v>
      </c>
      <c r="AH773" s="35" t="s">
        <v>271</v>
      </c>
      <c r="BZ773" s="71"/>
      <c r="CD773" s="20" t="e">
        <f t="shared" si="158"/>
        <v>#N/A</v>
      </c>
    </row>
    <row r="774" spans="1:82" ht="61.5" x14ac:dyDescent="0.85">
      <c r="A774" s="20">
        <v>1</v>
      </c>
      <c r="B774" s="66">
        <f>SUBTOTAL(103,$A$560:A774)</f>
        <v>213</v>
      </c>
      <c r="C774" s="24" t="s">
        <v>445</v>
      </c>
      <c r="D774" s="31">
        <f t="shared" si="152"/>
        <v>120000</v>
      </c>
      <c r="E774" s="31">
        <v>0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3">
        <v>0</v>
      </c>
      <c r="L774" s="31">
        <v>0</v>
      </c>
      <c r="M774" s="31">
        <v>0</v>
      </c>
      <c r="N774" s="31">
        <v>0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31">
        <v>0</v>
      </c>
      <c r="AC774" s="31">
        <f t="shared" si="154"/>
        <v>0</v>
      </c>
      <c r="AD774" s="31">
        <v>120000</v>
      </c>
      <c r="AE774" s="31">
        <v>0</v>
      </c>
      <c r="AF774" s="34">
        <v>2021</v>
      </c>
      <c r="AG774" s="34" t="s">
        <v>271</v>
      </c>
      <c r="AH774" s="35" t="s">
        <v>271</v>
      </c>
      <c r="BZ774" s="71"/>
      <c r="CD774" s="20" t="e">
        <f t="shared" si="158"/>
        <v>#N/A</v>
      </c>
    </row>
    <row r="775" spans="1:82" ht="61.5" x14ac:dyDescent="0.85">
      <c r="A775" s="20">
        <v>1</v>
      </c>
      <c r="B775" s="66">
        <f>SUBTOTAL(103,$A$560:A775)</f>
        <v>214</v>
      </c>
      <c r="C775" s="24" t="s">
        <v>446</v>
      </c>
      <c r="D775" s="31">
        <f t="shared" si="152"/>
        <v>150000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3">
        <v>0</v>
      </c>
      <c r="L775" s="31">
        <v>0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f t="shared" si="154"/>
        <v>0</v>
      </c>
      <c r="AD775" s="31">
        <v>150000</v>
      </c>
      <c r="AE775" s="31">
        <v>0</v>
      </c>
      <c r="AF775" s="34">
        <v>2021</v>
      </c>
      <c r="AG775" s="34" t="s">
        <v>271</v>
      </c>
      <c r="AH775" s="35" t="s">
        <v>271</v>
      </c>
      <c r="BZ775" s="71"/>
      <c r="CD775" s="20" t="e">
        <f t="shared" si="158"/>
        <v>#N/A</v>
      </c>
    </row>
    <row r="776" spans="1:82" ht="61.5" x14ac:dyDescent="0.85">
      <c r="A776" s="20">
        <v>1</v>
      </c>
      <c r="B776" s="66">
        <f>SUBTOTAL(103,$A$560:A776)</f>
        <v>215</v>
      </c>
      <c r="C776" s="24" t="s">
        <v>447</v>
      </c>
      <c r="D776" s="31">
        <f t="shared" si="152"/>
        <v>120000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3">
        <v>0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0</v>
      </c>
      <c r="Z776" s="31">
        <v>0</v>
      </c>
      <c r="AA776" s="31">
        <v>0</v>
      </c>
      <c r="AB776" s="31">
        <v>0</v>
      </c>
      <c r="AC776" s="31">
        <f t="shared" si="154"/>
        <v>0</v>
      </c>
      <c r="AD776" s="31">
        <v>120000</v>
      </c>
      <c r="AE776" s="31">
        <v>0</v>
      </c>
      <c r="AF776" s="34">
        <v>2021</v>
      </c>
      <c r="AG776" s="34" t="s">
        <v>271</v>
      </c>
      <c r="AH776" s="35" t="s">
        <v>271</v>
      </c>
      <c r="BZ776" s="71"/>
      <c r="CD776" s="20" t="e">
        <f t="shared" si="158"/>
        <v>#N/A</v>
      </c>
    </row>
    <row r="777" spans="1:82" ht="61.5" x14ac:dyDescent="0.85">
      <c r="A777" s="20">
        <v>1</v>
      </c>
      <c r="B777" s="66">
        <f>SUBTOTAL(103,$A$560:A777)</f>
        <v>216</v>
      </c>
      <c r="C777" s="24" t="s">
        <v>827</v>
      </c>
      <c r="D777" s="31">
        <f t="shared" si="152"/>
        <v>100000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3">
        <v>0</v>
      </c>
      <c r="L777" s="31">
        <v>0</v>
      </c>
      <c r="M777" s="31">
        <v>0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f t="shared" si="154"/>
        <v>0</v>
      </c>
      <c r="AD777" s="31">
        <v>100000</v>
      </c>
      <c r="AE777" s="31">
        <v>0</v>
      </c>
      <c r="AF777" s="34">
        <v>2021</v>
      </c>
      <c r="AG777" s="34" t="s">
        <v>271</v>
      </c>
      <c r="AH777" s="35" t="s">
        <v>271</v>
      </c>
      <c r="BZ777" s="71"/>
      <c r="CD777" s="20" t="e">
        <f t="shared" si="158"/>
        <v>#N/A</v>
      </c>
    </row>
    <row r="778" spans="1:82" ht="61.5" x14ac:dyDescent="0.85">
      <c r="B778" s="24" t="s">
        <v>773</v>
      </c>
      <c r="C778" s="24"/>
      <c r="D778" s="31">
        <f t="shared" ref="D778:AE778" si="159">SUM(D779:D799)</f>
        <v>50116095.18</v>
      </c>
      <c r="E778" s="31">
        <f t="shared" si="159"/>
        <v>96377</v>
      </c>
      <c r="F778" s="31">
        <f t="shared" si="159"/>
        <v>0</v>
      </c>
      <c r="G778" s="31">
        <f t="shared" si="159"/>
        <v>2023822.85</v>
      </c>
      <c r="H778" s="31">
        <f t="shared" si="159"/>
        <v>178273.87</v>
      </c>
      <c r="I778" s="31">
        <f t="shared" si="159"/>
        <v>0</v>
      </c>
      <c r="J778" s="31">
        <f t="shared" si="159"/>
        <v>0</v>
      </c>
      <c r="K778" s="33">
        <f t="shared" si="159"/>
        <v>7</v>
      </c>
      <c r="L778" s="31">
        <f t="shared" si="159"/>
        <v>15112797.300000001</v>
      </c>
      <c r="M778" s="31">
        <f t="shared" si="159"/>
        <v>5158.2700000000004</v>
      </c>
      <c r="N778" s="31">
        <f t="shared" si="159"/>
        <v>26291657.170000002</v>
      </c>
      <c r="O778" s="31">
        <f t="shared" si="159"/>
        <v>0</v>
      </c>
      <c r="P778" s="31">
        <f t="shared" si="159"/>
        <v>0</v>
      </c>
      <c r="Q778" s="31">
        <f t="shared" si="159"/>
        <v>2058.1</v>
      </c>
      <c r="R778" s="31">
        <f t="shared" si="159"/>
        <v>3737163.56</v>
      </c>
      <c r="S778" s="31">
        <f t="shared" si="159"/>
        <v>0</v>
      </c>
      <c r="T778" s="31">
        <f t="shared" si="159"/>
        <v>0</v>
      </c>
      <c r="U778" s="31">
        <f t="shared" si="159"/>
        <v>0</v>
      </c>
      <c r="V778" s="31">
        <f t="shared" si="159"/>
        <v>0</v>
      </c>
      <c r="W778" s="31">
        <f t="shared" si="159"/>
        <v>0</v>
      </c>
      <c r="X778" s="31">
        <f t="shared" si="159"/>
        <v>0</v>
      </c>
      <c r="Y778" s="31">
        <f t="shared" si="159"/>
        <v>0</v>
      </c>
      <c r="Z778" s="31">
        <f t="shared" si="159"/>
        <v>0</v>
      </c>
      <c r="AA778" s="31">
        <f t="shared" si="159"/>
        <v>0</v>
      </c>
      <c r="AB778" s="31">
        <f t="shared" si="159"/>
        <v>0</v>
      </c>
      <c r="AC778" s="31">
        <f t="shared" si="159"/>
        <v>436003.42999999993</v>
      </c>
      <c r="AD778" s="31">
        <f t="shared" si="159"/>
        <v>2000000</v>
      </c>
      <c r="AE778" s="31">
        <f t="shared" si="159"/>
        <v>240000</v>
      </c>
      <c r="AF778" s="72" t="s">
        <v>764</v>
      </c>
      <c r="AG778" s="72" t="s">
        <v>764</v>
      </c>
      <c r="AH778" s="87" t="s">
        <v>764</v>
      </c>
      <c r="AT778" s="20" t="e">
        <f t="shared" ref="AT778:AT783" si="160">VLOOKUP(C778,AW:AX,2,FALSE)</f>
        <v>#N/A</v>
      </c>
      <c r="BZ778" s="71">
        <v>43029746.93</v>
      </c>
      <c r="CD778" s="20" t="e">
        <f t="shared" si="158"/>
        <v>#N/A</v>
      </c>
    </row>
    <row r="779" spans="1:82" ht="61.5" x14ac:dyDescent="0.85">
      <c r="A779" s="20">
        <v>1</v>
      </c>
      <c r="B779" s="66">
        <f>SUBTOTAL(103,$A$560:A779)</f>
        <v>217</v>
      </c>
      <c r="C779" s="24" t="s">
        <v>786</v>
      </c>
      <c r="D779" s="31">
        <f t="shared" ref="D779:D798" si="161">E779+F779+G779+H779+I779+J779+L779+N779+P779+R779+T779+U779+V779+W779+X779+Y779+Z779+AA779+AB779+AC779+AD779+AE779</f>
        <v>3593042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3">
        <v>0</v>
      </c>
      <c r="L779" s="31">
        <v>0</v>
      </c>
      <c r="M779" s="31">
        <v>690</v>
      </c>
      <c r="N779" s="31">
        <v>3431568.47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0</v>
      </c>
      <c r="U779" s="31">
        <v>0</v>
      </c>
      <c r="V779" s="31">
        <v>0</v>
      </c>
      <c r="W779" s="31">
        <v>0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1">
        <f>ROUND(N779*1.5%,2)</f>
        <v>51473.53</v>
      </c>
      <c r="AD779" s="31">
        <v>110000</v>
      </c>
      <c r="AE779" s="31">
        <v>0</v>
      </c>
      <c r="AF779" s="34">
        <v>2021</v>
      </c>
      <c r="AG779" s="34">
        <v>2021</v>
      </c>
      <c r="AH779" s="35">
        <v>2021</v>
      </c>
      <c r="AT779" s="20" t="e">
        <f t="shared" si="160"/>
        <v>#N/A</v>
      </c>
      <c r="BZ779" s="71"/>
      <c r="CD779" s="20" t="e">
        <f t="shared" si="158"/>
        <v>#N/A</v>
      </c>
    </row>
    <row r="780" spans="1:82" ht="61.5" x14ac:dyDescent="0.85">
      <c r="A780" s="20">
        <v>1</v>
      </c>
      <c r="B780" s="66">
        <f>SUBTOTAL(103,$A$560:A780)</f>
        <v>218</v>
      </c>
      <c r="C780" s="24" t="s">
        <v>788</v>
      </c>
      <c r="D780" s="31">
        <f t="shared" si="161"/>
        <v>8449445.7300000004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3">
        <v>4</v>
      </c>
      <c r="L780" s="31">
        <f>8442796.06+6649.67</f>
        <v>8449445.7300000004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1">
        <v>0</v>
      </c>
      <c r="AD780" s="341">
        <v>0</v>
      </c>
      <c r="AE780" s="31">
        <v>0</v>
      </c>
      <c r="AF780" s="35" t="s">
        <v>271</v>
      </c>
      <c r="AG780" s="34">
        <v>2021</v>
      </c>
      <c r="AH780" s="35" t="s">
        <v>271</v>
      </c>
      <c r="AT780" s="20" t="e">
        <f t="shared" si="160"/>
        <v>#N/A</v>
      </c>
      <c r="BZ780" s="71"/>
      <c r="CD780" s="20" t="e">
        <f t="shared" si="158"/>
        <v>#N/A</v>
      </c>
    </row>
    <row r="781" spans="1:82" ht="61.5" x14ac:dyDescent="0.85">
      <c r="A781" s="20">
        <v>1</v>
      </c>
      <c r="B781" s="66">
        <f>SUBTOTAL(103,$A$560:A781)</f>
        <v>219</v>
      </c>
      <c r="C781" s="24" t="s">
        <v>1091</v>
      </c>
      <c r="D781" s="31">
        <f t="shared" si="161"/>
        <v>2932000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3">
        <v>0</v>
      </c>
      <c r="L781" s="31">
        <v>0</v>
      </c>
      <c r="M781" s="31">
        <v>590</v>
      </c>
      <c r="N781" s="31">
        <v>2790147.78</v>
      </c>
      <c r="O781" s="31">
        <v>0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f>ROUND(N781*1.5%,2)</f>
        <v>41852.22</v>
      </c>
      <c r="AD781" s="31">
        <v>100000</v>
      </c>
      <c r="AE781" s="31">
        <v>0</v>
      </c>
      <c r="AF781" s="34">
        <v>2021</v>
      </c>
      <c r="AG781" s="34">
        <v>2021</v>
      </c>
      <c r="AH781" s="35">
        <v>2021</v>
      </c>
      <c r="AT781" s="20" t="e">
        <f t="shared" si="160"/>
        <v>#N/A</v>
      </c>
      <c r="BZ781" s="71"/>
      <c r="CD781" s="20" t="e">
        <f t="shared" si="158"/>
        <v>#N/A</v>
      </c>
    </row>
    <row r="782" spans="1:82" ht="61.5" x14ac:dyDescent="0.85">
      <c r="A782" s="20">
        <v>1</v>
      </c>
      <c r="B782" s="66">
        <f>SUBTOTAL(103,$A$560:A782)</f>
        <v>220</v>
      </c>
      <c r="C782" s="24" t="s">
        <v>791</v>
      </c>
      <c r="D782" s="31">
        <f t="shared" si="161"/>
        <v>5501631.04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3">
        <v>0</v>
      </c>
      <c r="L782" s="31">
        <v>0</v>
      </c>
      <c r="M782" s="31">
        <v>1154</v>
      </c>
      <c r="N782" s="31">
        <f>5798972.61-516577.5</f>
        <v>5282395.1100000003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f>ROUND(N782*1.5%,2)</f>
        <v>79235.929999999993</v>
      </c>
      <c r="AD782" s="31">
        <v>140000</v>
      </c>
      <c r="AE782" s="31">
        <v>0</v>
      </c>
      <c r="AF782" s="34">
        <v>2021</v>
      </c>
      <c r="AG782" s="34">
        <v>2021</v>
      </c>
      <c r="AH782" s="35">
        <v>2021</v>
      </c>
      <c r="AT782" s="20" t="e">
        <f t="shared" si="160"/>
        <v>#N/A</v>
      </c>
      <c r="BZ782" s="71"/>
      <c r="CD782" s="20" t="e">
        <f t="shared" si="158"/>
        <v>#N/A</v>
      </c>
    </row>
    <row r="783" spans="1:82" ht="61.5" x14ac:dyDescent="0.85">
      <c r="A783" s="20">
        <v>1</v>
      </c>
      <c r="B783" s="66">
        <f>SUBTOTAL(103,$A$560:A783)</f>
        <v>221</v>
      </c>
      <c r="C783" s="24" t="s">
        <v>793</v>
      </c>
      <c r="D783" s="31">
        <f t="shared" si="161"/>
        <v>2114616.9300000002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3">
        <v>1</v>
      </c>
      <c r="L783" s="31">
        <f>2106554.68+8062.25</f>
        <v>2114616.9300000002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0</v>
      </c>
      <c r="AA783" s="31">
        <v>0</v>
      </c>
      <c r="AB783" s="31">
        <v>0</v>
      </c>
      <c r="AC783" s="31">
        <v>0</v>
      </c>
      <c r="AD783" s="342">
        <v>0</v>
      </c>
      <c r="AE783" s="31">
        <v>0</v>
      </c>
      <c r="AF783" s="35" t="s">
        <v>271</v>
      </c>
      <c r="AG783" s="34">
        <v>2021</v>
      </c>
      <c r="AH783" s="35" t="s">
        <v>271</v>
      </c>
      <c r="AT783" s="20" t="e">
        <f t="shared" si="160"/>
        <v>#N/A</v>
      </c>
      <c r="BZ783" s="71"/>
      <c r="CD783" s="20" t="e">
        <f t="shared" si="158"/>
        <v>#N/A</v>
      </c>
    </row>
    <row r="784" spans="1:82" ht="61.5" x14ac:dyDescent="0.85">
      <c r="A784" s="20">
        <v>1</v>
      </c>
      <c r="B784" s="66">
        <f>SUBTOTAL(103,$A$560:A784)</f>
        <v>222</v>
      </c>
      <c r="C784" s="24" t="s">
        <v>1624</v>
      </c>
      <c r="D784" s="31">
        <f t="shared" si="161"/>
        <v>3890000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3">
        <v>0</v>
      </c>
      <c r="L784" s="31">
        <v>0</v>
      </c>
      <c r="M784" s="31">
        <v>778</v>
      </c>
      <c r="N784" s="31">
        <v>3714285.71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f>ROUND(N784*1.5%,2)</f>
        <v>55714.29</v>
      </c>
      <c r="AD784" s="31">
        <v>120000</v>
      </c>
      <c r="AE784" s="31">
        <v>0</v>
      </c>
      <c r="AF784" s="34">
        <v>2021</v>
      </c>
      <c r="AG784" s="34">
        <v>2021</v>
      </c>
      <c r="AH784" s="35">
        <v>2021</v>
      </c>
      <c r="BZ784" s="71"/>
      <c r="CD784" s="20" t="e">
        <f t="shared" si="158"/>
        <v>#N/A</v>
      </c>
    </row>
    <row r="785" spans="1:82" ht="61.5" x14ac:dyDescent="0.85">
      <c r="A785" s="20">
        <v>1</v>
      </c>
      <c r="B785" s="66">
        <f>SUBTOTAL(103,$A$560:A785)</f>
        <v>223</v>
      </c>
      <c r="C785" s="24" t="s">
        <v>1184</v>
      </c>
      <c r="D785" s="31">
        <f t="shared" si="161"/>
        <v>7503621.0100000007</v>
      </c>
      <c r="E785" s="31">
        <v>0</v>
      </c>
      <c r="F785" s="31">
        <v>0</v>
      </c>
      <c r="G785" s="31">
        <v>0</v>
      </c>
      <c r="H785" s="31">
        <v>0</v>
      </c>
      <c r="I785" s="31">
        <v>0</v>
      </c>
      <c r="J785" s="31">
        <v>0</v>
      </c>
      <c r="K785" s="33">
        <v>0</v>
      </c>
      <c r="L785" s="31">
        <v>0</v>
      </c>
      <c r="M785" s="31">
        <v>627</v>
      </c>
      <c r="N785" s="31">
        <f>M785*5200</f>
        <v>3260400</v>
      </c>
      <c r="O785" s="31">
        <v>0</v>
      </c>
      <c r="P785" s="31">
        <v>0</v>
      </c>
      <c r="Q785" s="31">
        <v>2058.1</v>
      </c>
      <c r="R785" s="31">
        <v>3737163.56</v>
      </c>
      <c r="S785" s="31">
        <v>0</v>
      </c>
      <c r="T785" s="31">
        <v>0</v>
      </c>
      <c r="U785" s="31">
        <v>0</v>
      </c>
      <c r="V785" s="31">
        <v>0</v>
      </c>
      <c r="W785" s="31">
        <v>0</v>
      </c>
      <c r="X785" s="31">
        <v>0</v>
      </c>
      <c r="Y785" s="31">
        <v>0</v>
      </c>
      <c r="Z785" s="31">
        <v>0</v>
      </c>
      <c r="AA785" s="31">
        <v>0</v>
      </c>
      <c r="AB785" s="31">
        <v>0</v>
      </c>
      <c r="AC785" s="31">
        <f>ROUND(R785*1.5%,2)</f>
        <v>56057.45</v>
      </c>
      <c r="AD785" s="31">
        <v>210000</v>
      </c>
      <c r="AE785" s="31">
        <v>240000</v>
      </c>
      <c r="AF785" s="34">
        <v>2021</v>
      </c>
      <c r="AG785" s="34">
        <v>2021</v>
      </c>
      <c r="AH785" s="35">
        <v>2021</v>
      </c>
      <c r="BZ785" s="71"/>
      <c r="CD785" s="20" t="e">
        <f t="shared" si="158"/>
        <v>#N/A</v>
      </c>
    </row>
    <row r="786" spans="1:82" ht="61.5" x14ac:dyDescent="0.85">
      <c r="A786" s="20">
        <v>1</v>
      </c>
      <c r="B786" s="66">
        <f>SUBTOTAL(103,$A$560:A786)</f>
        <v>224</v>
      </c>
      <c r="C786" s="24" t="s">
        <v>1699</v>
      </c>
      <c r="D786" s="31">
        <f>E786+F786+G786+H786+I786+J786+L786+N786+P786+R786+T786+U786+V786+W786+X786+Y786+Z786+AA786+AB786+AC786+AD786+AE786</f>
        <v>4548734.6400000006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3">
        <v>2</v>
      </c>
      <c r="L786" s="31">
        <f>4544905.94+3828.7</f>
        <v>4548734.6400000006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</v>
      </c>
      <c r="AB786" s="31">
        <v>0</v>
      </c>
      <c r="AC786" s="31">
        <v>0</v>
      </c>
      <c r="AD786" s="341">
        <v>0</v>
      </c>
      <c r="AE786" s="31">
        <v>0</v>
      </c>
      <c r="AF786" s="35" t="s">
        <v>271</v>
      </c>
      <c r="AG786" s="34">
        <v>2021</v>
      </c>
      <c r="AH786" s="35" t="s">
        <v>271</v>
      </c>
      <c r="BZ786" s="71"/>
      <c r="CD786" s="20" t="e">
        <f t="shared" si="158"/>
        <v>#N/A</v>
      </c>
    </row>
    <row r="787" spans="1:82" ht="61.5" x14ac:dyDescent="0.85">
      <c r="A787" s="20">
        <v>1</v>
      </c>
      <c r="B787" s="66">
        <f>SUBTOTAL(103,$A$560:A787)</f>
        <v>225</v>
      </c>
      <c r="C787" s="211" t="s">
        <v>783</v>
      </c>
      <c r="D787" s="31">
        <f t="shared" ref="D787:D788" si="162">E787+F787+G787+H787+I787+J787+L787+N787+P787+R787+T787+U787+V787+W787+X787+Y787+Z787+AA787+AB787+AC787+AD787+AE787</f>
        <v>7930053</v>
      </c>
      <c r="E787" s="31">
        <v>0</v>
      </c>
      <c r="F787" s="31">
        <v>0</v>
      </c>
      <c r="G787" s="31">
        <v>0</v>
      </c>
      <c r="H787" s="31">
        <v>0</v>
      </c>
      <c r="I787" s="31">
        <v>0</v>
      </c>
      <c r="J787" s="31">
        <v>0</v>
      </c>
      <c r="K787" s="33">
        <v>0</v>
      </c>
      <c r="L787" s="31">
        <v>0</v>
      </c>
      <c r="M787" s="31">
        <v>1319.27</v>
      </c>
      <c r="N787" s="31">
        <v>7812860.0999999996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f>ROUND(N787*1.5%,2)</f>
        <v>117192.9</v>
      </c>
      <c r="AD787" s="31">
        <v>0</v>
      </c>
      <c r="AE787" s="31">
        <v>0</v>
      </c>
      <c r="AF787" s="34" t="s">
        <v>271</v>
      </c>
      <c r="AG787" s="34">
        <v>2021</v>
      </c>
      <c r="AH787" s="35">
        <v>2021</v>
      </c>
      <c r="AT787" s="20" t="e">
        <f>VLOOKUP(C787,AW:AX,2,FALSE)</f>
        <v>#N/A</v>
      </c>
      <c r="BZ787" s="71"/>
      <c r="CD787" s="20">
        <f t="shared" si="158"/>
        <v>1319.27</v>
      </c>
    </row>
    <row r="788" spans="1:82" ht="61.5" x14ac:dyDescent="0.85">
      <c r="A788" s="20">
        <v>1</v>
      </c>
      <c r="B788" s="66">
        <f>SUBTOTAL(103,$A$560:A788)</f>
        <v>226</v>
      </c>
      <c r="C788" s="211" t="s">
        <v>1181</v>
      </c>
      <c r="D788" s="31">
        <f t="shared" si="162"/>
        <v>2332950.83</v>
      </c>
      <c r="E788" s="31">
        <v>96377</v>
      </c>
      <c r="F788" s="31">
        <v>0</v>
      </c>
      <c r="G788" s="31">
        <v>2023822.85</v>
      </c>
      <c r="H788" s="31">
        <v>178273.87</v>
      </c>
      <c r="I788" s="333">
        <v>0</v>
      </c>
      <c r="J788" s="31">
        <v>0</v>
      </c>
      <c r="K788" s="33">
        <v>0</v>
      </c>
      <c r="L788" s="31">
        <v>0</v>
      </c>
      <c r="M788" s="31">
        <v>0</v>
      </c>
      <c r="N788" s="31">
        <v>0</v>
      </c>
      <c r="O788" s="31">
        <v>0</v>
      </c>
      <c r="P788" s="31">
        <v>0</v>
      </c>
      <c r="Q788" s="31">
        <v>0</v>
      </c>
      <c r="R788" s="31">
        <v>0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0</v>
      </c>
      <c r="Y788" s="31">
        <v>0</v>
      </c>
      <c r="Z788" s="31">
        <v>0</v>
      </c>
      <c r="AA788" s="31">
        <v>0</v>
      </c>
      <c r="AB788" s="31">
        <v>0</v>
      </c>
      <c r="AC788" s="31">
        <f>ROUND((E788+F788+G788+H788+I788+J788)*1.5%,2)</f>
        <v>34477.11</v>
      </c>
      <c r="AD788" s="31">
        <v>0</v>
      </c>
      <c r="AE788" s="31">
        <v>0</v>
      </c>
      <c r="AF788" s="34" t="s">
        <v>271</v>
      </c>
      <c r="AG788" s="34">
        <v>2021</v>
      </c>
      <c r="AH788" s="35">
        <v>2021</v>
      </c>
      <c r="BZ788" s="71"/>
      <c r="CD788" s="20" t="e">
        <f t="shared" si="158"/>
        <v>#N/A</v>
      </c>
    </row>
    <row r="789" spans="1:82" ht="61.5" x14ac:dyDescent="0.85">
      <c r="A789" s="20">
        <v>1</v>
      </c>
      <c r="B789" s="66">
        <f>SUBTOTAL(103,$A$560:A789)</f>
        <v>227</v>
      </c>
      <c r="C789" s="24" t="s">
        <v>795</v>
      </c>
      <c r="D789" s="31">
        <f t="shared" si="161"/>
        <v>110000</v>
      </c>
      <c r="E789" s="31">
        <v>0</v>
      </c>
      <c r="F789" s="31">
        <v>0</v>
      </c>
      <c r="G789" s="31">
        <v>0</v>
      </c>
      <c r="H789" s="31">
        <v>0</v>
      </c>
      <c r="I789" s="31">
        <v>0</v>
      </c>
      <c r="J789" s="31">
        <v>0</v>
      </c>
      <c r="K789" s="33">
        <v>0</v>
      </c>
      <c r="L789" s="31">
        <v>0</v>
      </c>
      <c r="M789" s="31">
        <v>0</v>
      </c>
      <c r="N789" s="31">
        <v>0</v>
      </c>
      <c r="O789" s="31">
        <v>0</v>
      </c>
      <c r="P789" s="31">
        <v>0</v>
      </c>
      <c r="Q789" s="31">
        <v>0</v>
      </c>
      <c r="R789" s="31">
        <v>0</v>
      </c>
      <c r="S789" s="31">
        <v>0</v>
      </c>
      <c r="T789" s="31">
        <v>0</v>
      </c>
      <c r="U789" s="31">
        <v>0</v>
      </c>
      <c r="V789" s="31">
        <v>0</v>
      </c>
      <c r="W789" s="31">
        <v>0</v>
      </c>
      <c r="X789" s="31">
        <v>0</v>
      </c>
      <c r="Y789" s="31">
        <v>0</v>
      </c>
      <c r="Z789" s="31">
        <v>0</v>
      </c>
      <c r="AA789" s="31">
        <v>0</v>
      </c>
      <c r="AB789" s="31">
        <v>0</v>
      </c>
      <c r="AC789" s="31">
        <v>0</v>
      </c>
      <c r="AD789" s="31">
        <v>110000</v>
      </c>
      <c r="AE789" s="31">
        <v>0</v>
      </c>
      <c r="AF789" s="34">
        <v>2021</v>
      </c>
      <c r="AG789" s="34" t="s">
        <v>271</v>
      </c>
      <c r="AH789" s="35" t="s">
        <v>271</v>
      </c>
      <c r="BZ789" s="71"/>
      <c r="CD789" s="20" t="e">
        <f t="shared" si="158"/>
        <v>#N/A</v>
      </c>
    </row>
    <row r="790" spans="1:82" ht="61.5" x14ac:dyDescent="0.85">
      <c r="A790" s="20">
        <v>1</v>
      </c>
      <c r="B790" s="66">
        <f>SUBTOTAL(103,$A$560:A790)</f>
        <v>228</v>
      </c>
      <c r="C790" s="24" t="s">
        <v>796</v>
      </c>
      <c r="D790" s="31">
        <f t="shared" si="161"/>
        <v>110000</v>
      </c>
      <c r="E790" s="31">
        <v>0</v>
      </c>
      <c r="F790" s="31">
        <v>0</v>
      </c>
      <c r="G790" s="31">
        <v>0</v>
      </c>
      <c r="H790" s="31">
        <v>0</v>
      </c>
      <c r="I790" s="31">
        <v>0</v>
      </c>
      <c r="J790" s="31">
        <v>0</v>
      </c>
      <c r="K790" s="33">
        <v>0</v>
      </c>
      <c r="L790" s="31">
        <v>0</v>
      </c>
      <c r="M790" s="31">
        <v>0</v>
      </c>
      <c r="N790" s="31">
        <v>0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v>0</v>
      </c>
      <c r="AD790" s="31">
        <v>110000</v>
      </c>
      <c r="AE790" s="31">
        <v>0</v>
      </c>
      <c r="AF790" s="34">
        <v>2021</v>
      </c>
      <c r="AG790" s="34" t="s">
        <v>271</v>
      </c>
      <c r="AH790" s="35" t="s">
        <v>271</v>
      </c>
      <c r="BZ790" s="71"/>
      <c r="CD790" s="20" t="e">
        <f t="shared" si="158"/>
        <v>#N/A</v>
      </c>
    </row>
    <row r="791" spans="1:82" ht="61.5" x14ac:dyDescent="0.85">
      <c r="A791" s="20">
        <v>1</v>
      </c>
      <c r="B791" s="66">
        <f>SUBTOTAL(103,$A$560:A791)</f>
        <v>229</v>
      </c>
      <c r="C791" s="24" t="s">
        <v>1092</v>
      </c>
      <c r="D791" s="31">
        <f t="shared" si="161"/>
        <v>110000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3">
        <v>0</v>
      </c>
      <c r="L791" s="31">
        <v>0</v>
      </c>
      <c r="M791" s="31">
        <v>0</v>
      </c>
      <c r="N791" s="31">
        <v>0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v>0</v>
      </c>
      <c r="AD791" s="31">
        <v>110000</v>
      </c>
      <c r="AE791" s="31">
        <v>0</v>
      </c>
      <c r="AF791" s="34">
        <v>2021</v>
      </c>
      <c r="AG791" s="34" t="s">
        <v>271</v>
      </c>
      <c r="AH791" s="35" t="s">
        <v>271</v>
      </c>
      <c r="BZ791" s="71"/>
      <c r="CD791" s="20" t="e">
        <f t="shared" si="158"/>
        <v>#N/A</v>
      </c>
    </row>
    <row r="792" spans="1:82" ht="61.5" x14ac:dyDescent="0.85">
      <c r="A792" s="20">
        <v>1</v>
      </c>
      <c r="B792" s="66">
        <f>SUBTOTAL(103,$A$560:A792)</f>
        <v>230</v>
      </c>
      <c r="C792" s="24" t="s">
        <v>798</v>
      </c>
      <c r="D792" s="31">
        <f t="shared" si="161"/>
        <v>120000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3">
        <v>0</v>
      </c>
      <c r="L792" s="31">
        <v>0</v>
      </c>
      <c r="M792" s="31">
        <v>0</v>
      </c>
      <c r="N792" s="31">
        <v>0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31">
        <v>0</v>
      </c>
      <c r="AC792" s="31">
        <v>0</v>
      </c>
      <c r="AD792" s="31">
        <v>120000</v>
      </c>
      <c r="AE792" s="31">
        <v>0</v>
      </c>
      <c r="AF792" s="34">
        <v>2021</v>
      </c>
      <c r="AG792" s="34" t="s">
        <v>271</v>
      </c>
      <c r="AH792" s="35" t="s">
        <v>271</v>
      </c>
      <c r="BZ792" s="71"/>
      <c r="CD792" s="20" t="e">
        <f t="shared" si="158"/>
        <v>#N/A</v>
      </c>
    </row>
    <row r="793" spans="1:82" ht="61.5" x14ac:dyDescent="0.85">
      <c r="A793" s="20">
        <v>1</v>
      </c>
      <c r="B793" s="66">
        <f>SUBTOTAL(103,$A$560:A793)</f>
        <v>231</v>
      </c>
      <c r="C793" s="24" t="s">
        <v>800</v>
      </c>
      <c r="D793" s="31">
        <f t="shared" si="161"/>
        <v>140000</v>
      </c>
      <c r="E793" s="31">
        <v>0</v>
      </c>
      <c r="F793" s="31">
        <v>0</v>
      </c>
      <c r="G793" s="31">
        <v>0</v>
      </c>
      <c r="H793" s="31">
        <v>0</v>
      </c>
      <c r="I793" s="31">
        <v>0</v>
      </c>
      <c r="J793" s="31">
        <v>0</v>
      </c>
      <c r="K793" s="33">
        <v>0</v>
      </c>
      <c r="L793" s="31">
        <v>0</v>
      </c>
      <c r="M793" s="31">
        <v>0</v>
      </c>
      <c r="N793" s="31">
        <v>0</v>
      </c>
      <c r="O793" s="31">
        <v>0</v>
      </c>
      <c r="P793" s="31">
        <v>0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v>0</v>
      </c>
      <c r="AD793" s="31">
        <v>140000</v>
      </c>
      <c r="AE793" s="31">
        <v>0</v>
      </c>
      <c r="AF793" s="34">
        <v>2021</v>
      </c>
      <c r="AG793" s="34" t="s">
        <v>271</v>
      </c>
      <c r="AH793" s="35" t="s">
        <v>271</v>
      </c>
      <c r="BZ793" s="71"/>
      <c r="CD793" s="20" t="e">
        <f t="shared" si="158"/>
        <v>#N/A</v>
      </c>
    </row>
    <row r="794" spans="1:82" ht="61.5" x14ac:dyDescent="0.85">
      <c r="A794" s="20">
        <v>1</v>
      </c>
      <c r="B794" s="66">
        <f>SUBTOTAL(103,$A$560:A794)</f>
        <v>232</v>
      </c>
      <c r="C794" s="24" t="s">
        <v>801</v>
      </c>
      <c r="D794" s="31">
        <f t="shared" si="161"/>
        <v>110000</v>
      </c>
      <c r="E794" s="31">
        <v>0</v>
      </c>
      <c r="F794" s="31">
        <v>0</v>
      </c>
      <c r="G794" s="31">
        <v>0</v>
      </c>
      <c r="H794" s="31">
        <v>0</v>
      </c>
      <c r="I794" s="31">
        <v>0</v>
      </c>
      <c r="J794" s="31">
        <v>0</v>
      </c>
      <c r="K794" s="33">
        <v>0</v>
      </c>
      <c r="L794" s="31">
        <v>0</v>
      </c>
      <c r="M794" s="31">
        <v>0</v>
      </c>
      <c r="N794" s="31">
        <v>0</v>
      </c>
      <c r="O794" s="31">
        <v>0</v>
      </c>
      <c r="P794" s="31">
        <v>0</v>
      </c>
      <c r="Q794" s="31">
        <v>0</v>
      </c>
      <c r="R794" s="31">
        <v>0</v>
      </c>
      <c r="S794" s="31">
        <v>0</v>
      </c>
      <c r="T794" s="31">
        <v>0</v>
      </c>
      <c r="U794" s="31">
        <v>0</v>
      </c>
      <c r="V794" s="31">
        <v>0</v>
      </c>
      <c r="W794" s="31">
        <v>0</v>
      </c>
      <c r="X794" s="31">
        <v>0</v>
      </c>
      <c r="Y794" s="31">
        <v>0</v>
      </c>
      <c r="Z794" s="31">
        <v>0</v>
      </c>
      <c r="AA794" s="31">
        <v>0</v>
      </c>
      <c r="AB794" s="31">
        <v>0</v>
      </c>
      <c r="AC794" s="31">
        <v>0</v>
      </c>
      <c r="AD794" s="31">
        <v>110000</v>
      </c>
      <c r="AE794" s="31">
        <v>0</v>
      </c>
      <c r="AF794" s="34">
        <v>2021</v>
      </c>
      <c r="AG794" s="34" t="s">
        <v>271</v>
      </c>
      <c r="AH794" s="35" t="s">
        <v>271</v>
      </c>
      <c r="BZ794" s="71"/>
      <c r="CD794" s="20" t="e">
        <f t="shared" si="158"/>
        <v>#N/A</v>
      </c>
    </row>
    <row r="795" spans="1:82" ht="61.5" x14ac:dyDescent="0.85">
      <c r="A795" s="20">
        <v>1</v>
      </c>
      <c r="B795" s="66">
        <f>SUBTOTAL(103,$A$560:A795)</f>
        <v>233</v>
      </c>
      <c r="C795" s="24" t="s">
        <v>802</v>
      </c>
      <c r="D795" s="31">
        <f t="shared" si="161"/>
        <v>110000</v>
      </c>
      <c r="E795" s="31">
        <v>0</v>
      </c>
      <c r="F795" s="31">
        <v>0</v>
      </c>
      <c r="G795" s="31">
        <v>0</v>
      </c>
      <c r="H795" s="31">
        <v>0</v>
      </c>
      <c r="I795" s="31">
        <v>0</v>
      </c>
      <c r="J795" s="31">
        <v>0</v>
      </c>
      <c r="K795" s="33">
        <v>0</v>
      </c>
      <c r="L795" s="31">
        <v>0</v>
      </c>
      <c r="M795" s="31">
        <v>0</v>
      </c>
      <c r="N795" s="31">
        <v>0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v>0</v>
      </c>
      <c r="AD795" s="31">
        <v>110000</v>
      </c>
      <c r="AE795" s="31">
        <v>0</v>
      </c>
      <c r="AF795" s="34">
        <v>2021</v>
      </c>
      <c r="AG795" s="34" t="s">
        <v>271</v>
      </c>
      <c r="AH795" s="35" t="s">
        <v>271</v>
      </c>
      <c r="BZ795" s="71"/>
      <c r="CD795" s="20" t="e">
        <f t="shared" si="158"/>
        <v>#N/A</v>
      </c>
    </row>
    <row r="796" spans="1:82" ht="61.5" x14ac:dyDescent="0.85">
      <c r="A796" s="20">
        <v>1</v>
      </c>
      <c r="B796" s="66">
        <f>SUBTOTAL(103,$A$560:A796)</f>
        <v>234</v>
      </c>
      <c r="C796" s="24" t="s">
        <v>803</v>
      </c>
      <c r="D796" s="31">
        <f t="shared" si="161"/>
        <v>130000</v>
      </c>
      <c r="E796" s="31">
        <v>0</v>
      </c>
      <c r="F796" s="31">
        <v>0</v>
      </c>
      <c r="G796" s="31">
        <v>0</v>
      </c>
      <c r="H796" s="31">
        <v>0</v>
      </c>
      <c r="I796" s="31">
        <v>0</v>
      </c>
      <c r="J796" s="31">
        <v>0</v>
      </c>
      <c r="K796" s="33">
        <v>0</v>
      </c>
      <c r="L796" s="31">
        <v>0</v>
      </c>
      <c r="M796" s="31">
        <v>0</v>
      </c>
      <c r="N796" s="31">
        <v>0</v>
      </c>
      <c r="O796" s="31">
        <v>0</v>
      </c>
      <c r="P796" s="31">
        <v>0</v>
      </c>
      <c r="Q796" s="31">
        <v>0</v>
      </c>
      <c r="R796" s="31">
        <v>0</v>
      </c>
      <c r="S796" s="31">
        <v>0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v>0</v>
      </c>
      <c r="AD796" s="31">
        <v>130000</v>
      </c>
      <c r="AE796" s="31">
        <v>0</v>
      </c>
      <c r="AF796" s="34">
        <v>2021</v>
      </c>
      <c r="AG796" s="34" t="s">
        <v>271</v>
      </c>
      <c r="AH796" s="35" t="s">
        <v>271</v>
      </c>
      <c r="BZ796" s="71"/>
      <c r="CD796" s="20" t="e">
        <f t="shared" si="158"/>
        <v>#N/A</v>
      </c>
    </row>
    <row r="797" spans="1:82" ht="61.5" x14ac:dyDescent="0.85">
      <c r="A797" s="20">
        <v>1</v>
      </c>
      <c r="B797" s="66">
        <f>SUBTOTAL(103,$A$560:A797)</f>
        <v>235</v>
      </c>
      <c r="C797" s="24" t="s">
        <v>804</v>
      </c>
      <c r="D797" s="31">
        <f t="shared" si="161"/>
        <v>200000</v>
      </c>
      <c r="E797" s="31">
        <v>0</v>
      </c>
      <c r="F797" s="31">
        <v>0</v>
      </c>
      <c r="G797" s="31">
        <v>0</v>
      </c>
      <c r="H797" s="31">
        <v>0</v>
      </c>
      <c r="I797" s="31">
        <v>0</v>
      </c>
      <c r="J797" s="31">
        <v>0</v>
      </c>
      <c r="K797" s="33">
        <v>0</v>
      </c>
      <c r="L797" s="31">
        <v>0</v>
      </c>
      <c r="M797" s="31">
        <v>0</v>
      </c>
      <c r="N797" s="31">
        <v>0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1">
        <v>0</v>
      </c>
      <c r="AD797" s="31">
        <v>200000</v>
      </c>
      <c r="AE797" s="31">
        <v>0</v>
      </c>
      <c r="AF797" s="34">
        <v>2021</v>
      </c>
      <c r="AG797" s="34" t="s">
        <v>271</v>
      </c>
      <c r="AH797" s="35" t="s">
        <v>271</v>
      </c>
      <c r="BZ797" s="71"/>
      <c r="CD797" s="20" t="e">
        <f t="shared" si="158"/>
        <v>#N/A</v>
      </c>
    </row>
    <row r="798" spans="1:82" ht="61.5" x14ac:dyDescent="0.85">
      <c r="A798" s="20">
        <v>1</v>
      </c>
      <c r="B798" s="66">
        <f>SUBTOTAL(103,$A$560:A798)</f>
        <v>236</v>
      </c>
      <c r="C798" s="24" t="s">
        <v>826</v>
      </c>
      <c r="D798" s="31">
        <f t="shared" si="161"/>
        <v>80000</v>
      </c>
      <c r="E798" s="31">
        <v>0</v>
      </c>
      <c r="F798" s="31">
        <v>0</v>
      </c>
      <c r="G798" s="31">
        <v>0</v>
      </c>
      <c r="H798" s="31">
        <v>0</v>
      </c>
      <c r="I798" s="31">
        <v>0</v>
      </c>
      <c r="J798" s="31">
        <v>0</v>
      </c>
      <c r="K798" s="33">
        <v>0</v>
      </c>
      <c r="L798" s="31">
        <v>0</v>
      </c>
      <c r="M798" s="31">
        <v>0</v>
      </c>
      <c r="N798" s="31">
        <v>0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1">
        <v>0</v>
      </c>
      <c r="AD798" s="31">
        <v>80000</v>
      </c>
      <c r="AE798" s="31">
        <v>0</v>
      </c>
      <c r="AF798" s="34">
        <v>2021</v>
      </c>
      <c r="AG798" s="34" t="s">
        <v>271</v>
      </c>
      <c r="AH798" s="35" t="s">
        <v>271</v>
      </c>
      <c r="BZ798" s="71"/>
      <c r="CD798" s="20" t="e">
        <f t="shared" si="158"/>
        <v>#N/A</v>
      </c>
    </row>
    <row r="799" spans="1:82" ht="61.5" x14ac:dyDescent="0.85">
      <c r="A799" s="20">
        <v>1</v>
      </c>
      <c r="B799" s="66">
        <f>SUBTOTAL(103,$A$560:A799)</f>
        <v>237</v>
      </c>
      <c r="C799" s="24" t="s">
        <v>1625</v>
      </c>
      <c r="D799" s="31">
        <f t="shared" ref="D799" si="163">E799+F799+G799+H799+I799+J799+L799+N799+P799+R799+T799+U799+V799+W799+X799+Y799+Z799+AA799+AB799+AC799+AD799+AE799</f>
        <v>100000</v>
      </c>
      <c r="E799" s="31">
        <v>0</v>
      </c>
      <c r="F799" s="31">
        <v>0</v>
      </c>
      <c r="G799" s="31">
        <v>0</v>
      </c>
      <c r="H799" s="31">
        <v>0</v>
      </c>
      <c r="I799" s="31">
        <v>0</v>
      </c>
      <c r="J799" s="31">
        <v>0</v>
      </c>
      <c r="K799" s="33">
        <v>0</v>
      </c>
      <c r="L799" s="31">
        <v>0</v>
      </c>
      <c r="M799" s="31">
        <v>0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v>0</v>
      </c>
      <c r="AD799" s="31">
        <v>100000</v>
      </c>
      <c r="AE799" s="31">
        <v>0</v>
      </c>
      <c r="AF799" s="34">
        <v>2021</v>
      </c>
      <c r="AG799" s="34" t="s">
        <v>271</v>
      </c>
      <c r="AH799" s="35" t="s">
        <v>271</v>
      </c>
      <c r="BZ799" s="71"/>
      <c r="CD799" s="20" t="e">
        <f t="shared" si="158"/>
        <v>#N/A</v>
      </c>
    </row>
    <row r="800" spans="1:82" ht="61.5" x14ac:dyDescent="0.85">
      <c r="B800" s="24" t="s">
        <v>771</v>
      </c>
      <c r="C800" s="114"/>
      <c r="D800" s="31">
        <f t="shared" ref="D800:AE800" si="164">SUM(D801:D805)</f>
        <v>47943565.089999996</v>
      </c>
      <c r="E800" s="31">
        <f t="shared" si="164"/>
        <v>1687981.85</v>
      </c>
      <c r="F800" s="31">
        <f t="shared" si="164"/>
        <v>3794416.2800000003</v>
      </c>
      <c r="G800" s="31">
        <f t="shared" si="164"/>
        <v>8172581.8799999999</v>
      </c>
      <c r="H800" s="31">
        <f t="shared" si="164"/>
        <v>3136482.6500000004</v>
      </c>
      <c r="I800" s="31">
        <f t="shared" si="164"/>
        <v>1605699.19</v>
      </c>
      <c r="J800" s="31">
        <f t="shared" si="164"/>
        <v>0</v>
      </c>
      <c r="K800" s="33">
        <f t="shared" si="164"/>
        <v>4</v>
      </c>
      <c r="L800" s="31">
        <f t="shared" si="164"/>
        <v>8863212</v>
      </c>
      <c r="M800" s="31">
        <f t="shared" si="164"/>
        <v>0</v>
      </c>
      <c r="N800" s="31">
        <f t="shared" si="164"/>
        <v>0</v>
      </c>
      <c r="O800" s="31">
        <f t="shared" si="164"/>
        <v>0</v>
      </c>
      <c r="P800" s="31">
        <f t="shared" si="164"/>
        <v>0</v>
      </c>
      <c r="Q800" s="31">
        <f t="shared" si="164"/>
        <v>11072.9</v>
      </c>
      <c r="R800" s="31">
        <f t="shared" si="164"/>
        <v>19484959.420000002</v>
      </c>
      <c r="S800" s="31">
        <f t="shared" si="164"/>
        <v>0</v>
      </c>
      <c r="T800" s="31">
        <f t="shared" si="164"/>
        <v>0</v>
      </c>
      <c r="U800" s="31">
        <f t="shared" si="164"/>
        <v>0</v>
      </c>
      <c r="V800" s="31">
        <f t="shared" si="164"/>
        <v>0</v>
      </c>
      <c r="W800" s="31">
        <f t="shared" si="164"/>
        <v>0</v>
      </c>
      <c r="X800" s="31">
        <f t="shared" si="164"/>
        <v>0</v>
      </c>
      <c r="Y800" s="31">
        <f t="shared" si="164"/>
        <v>0</v>
      </c>
      <c r="Z800" s="31">
        <f t="shared" si="164"/>
        <v>0</v>
      </c>
      <c r="AA800" s="31">
        <f t="shared" si="164"/>
        <v>0</v>
      </c>
      <c r="AB800" s="31">
        <f t="shared" si="164"/>
        <v>0</v>
      </c>
      <c r="AC800" s="31">
        <f t="shared" si="164"/>
        <v>568231.82000000007</v>
      </c>
      <c r="AD800" s="31">
        <f t="shared" si="164"/>
        <v>630000</v>
      </c>
      <c r="AE800" s="31">
        <f t="shared" si="164"/>
        <v>0</v>
      </c>
      <c r="AF800" s="72" t="s">
        <v>764</v>
      </c>
      <c r="AG800" s="72" t="s">
        <v>764</v>
      </c>
      <c r="AH800" s="87" t="s">
        <v>764</v>
      </c>
      <c r="AT800" s="20" t="e">
        <f>VLOOKUP(C800,AW:AX,2,FALSE)</f>
        <v>#N/A</v>
      </c>
      <c r="BZ800" s="71">
        <v>21856214.649999999</v>
      </c>
      <c r="CB800" s="71">
        <f>BZ800-D800</f>
        <v>-26087350.439999998</v>
      </c>
      <c r="CD800" s="20" t="e">
        <f t="shared" si="158"/>
        <v>#N/A</v>
      </c>
    </row>
    <row r="801" spans="1:82" ht="61.5" x14ac:dyDescent="0.85">
      <c r="A801" s="20">
        <v>1</v>
      </c>
      <c r="B801" s="66">
        <f>SUBTOTAL(103,$A$560:A801)</f>
        <v>238</v>
      </c>
      <c r="C801" s="24" t="s">
        <v>388</v>
      </c>
      <c r="D801" s="31">
        <f>E801+F801+G801+H801+I801+J801+L801+N801+P801+R801+T801+U801+V801+W801+X801+Y801+Z801+AA801+AB801+AC801+AD801+AE801</f>
        <v>8993212</v>
      </c>
      <c r="E801" s="31">
        <v>0</v>
      </c>
      <c r="F801" s="31">
        <v>0</v>
      </c>
      <c r="G801" s="31">
        <v>0</v>
      </c>
      <c r="H801" s="31">
        <v>0</v>
      </c>
      <c r="I801" s="31">
        <v>0</v>
      </c>
      <c r="J801" s="31">
        <v>0</v>
      </c>
      <c r="K801" s="33">
        <v>4</v>
      </c>
      <c r="L801" s="31">
        <v>8863212</v>
      </c>
      <c r="M801" s="31">
        <v>0</v>
      </c>
      <c r="N801" s="31">
        <v>0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1">
        <v>0</v>
      </c>
      <c r="AD801" s="31">
        <v>130000</v>
      </c>
      <c r="AE801" s="31">
        <v>0</v>
      </c>
      <c r="AF801" s="34">
        <v>2021</v>
      </c>
      <c r="AG801" s="34">
        <v>2021</v>
      </c>
      <c r="AH801" s="35" t="s">
        <v>271</v>
      </c>
      <c r="AT801" s="20" t="e">
        <f>VLOOKUP(C801,AW:AX,2,FALSE)</f>
        <v>#N/A</v>
      </c>
      <c r="BZ801" s="71"/>
      <c r="CD801" s="20" t="e">
        <f t="shared" si="158"/>
        <v>#N/A</v>
      </c>
    </row>
    <row r="802" spans="1:82" ht="61.5" x14ac:dyDescent="0.85">
      <c r="A802" s="20">
        <v>1</v>
      </c>
      <c r="B802" s="66">
        <f>SUBTOTAL(103,$A$560:A802)</f>
        <v>239</v>
      </c>
      <c r="C802" s="24" t="s">
        <v>1678</v>
      </c>
      <c r="D802" s="31">
        <f>E802+F802+G802+H802+I802+J802+L802+N802+P802+R802+T802+U802+V802+W802+X802+Y802+Z802+AA802+AB802+AC802+AD802+AE802</f>
        <v>7201018.8100000005</v>
      </c>
      <c r="E802" s="31">
        <v>601798.30000000005</v>
      </c>
      <c r="F802" s="31">
        <v>1360064.57</v>
      </c>
      <c r="G802" s="31">
        <v>2159210.9500000002</v>
      </c>
      <c r="H802" s="31">
        <v>1072260.3</v>
      </c>
      <c r="I802" s="31">
        <v>1605699.19</v>
      </c>
      <c r="J802" s="31">
        <v>0</v>
      </c>
      <c r="K802" s="33">
        <v>0</v>
      </c>
      <c r="L802" s="31">
        <v>0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31">
        <v>0</v>
      </c>
      <c r="AC802" s="31">
        <f>ROUND((E802+F802+G802+H802+I802+J802)*1.5%,2)</f>
        <v>101985.5</v>
      </c>
      <c r="AD802" s="31">
        <v>300000</v>
      </c>
      <c r="AE802" s="31">
        <v>0</v>
      </c>
      <c r="AF802" s="34">
        <v>2021</v>
      </c>
      <c r="AG802" s="34">
        <v>2021</v>
      </c>
      <c r="AH802" s="35">
        <v>2021</v>
      </c>
      <c r="AT802" s="20" t="e">
        <f>VLOOKUP(C802,AW:AX,2,FALSE)</f>
        <v>#N/A</v>
      </c>
      <c r="BZ802" s="71"/>
      <c r="CD802" s="20" t="e">
        <f t="shared" si="158"/>
        <v>#N/A</v>
      </c>
    </row>
    <row r="803" spans="1:82" ht="61.5" x14ac:dyDescent="0.85">
      <c r="A803" s="20">
        <v>1</v>
      </c>
      <c r="B803" s="66">
        <f>SUBTOTAL(103,$A$560:A803)</f>
        <v>240</v>
      </c>
      <c r="C803" s="24" t="s">
        <v>389</v>
      </c>
      <c r="D803" s="31">
        <f>E803+F803+G803+H803+I803+J803+L803+N803+P803+R803+T803+U803+V803+W803+X803+Y803+Z803+AA803+AB803+AC803+AD803+AE803</f>
        <v>5661983.8399999999</v>
      </c>
      <c r="E803" s="31">
        <v>0</v>
      </c>
      <c r="F803" s="31">
        <v>0</v>
      </c>
      <c r="G803" s="31">
        <v>0</v>
      </c>
      <c r="H803" s="31">
        <v>0</v>
      </c>
      <c r="I803" s="31">
        <v>0</v>
      </c>
      <c r="J803" s="31">
        <v>0</v>
      </c>
      <c r="K803" s="33">
        <v>0</v>
      </c>
      <c r="L803" s="31">
        <v>0</v>
      </c>
      <c r="M803" s="31">
        <v>0</v>
      </c>
      <c r="N803" s="31">
        <v>0</v>
      </c>
      <c r="O803" s="31">
        <v>0</v>
      </c>
      <c r="P803" s="31">
        <v>0</v>
      </c>
      <c r="Q803" s="31">
        <v>2476.9</v>
      </c>
      <c r="R803" s="31">
        <v>5381264.8700000001</v>
      </c>
      <c r="S803" s="31">
        <v>0</v>
      </c>
      <c r="T803" s="31">
        <v>0</v>
      </c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0</v>
      </c>
      <c r="AA803" s="31">
        <v>0</v>
      </c>
      <c r="AB803" s="31">
        <v>0</v>
      </c>
      <c r="AC803" s="31">
        <f>ROUND(R803*1.5%,2)</f>
        <v>80718.97</v>
      </c>
      <c r="AD803" s="31">
        <v>200000</v>
      </c>
      <c r="AE803" s="31">
        <v>0</v>
      </c>
      <c r="AF803" s="34">
        <v>2021</v>
      </c>
      <c r="AG803" s="34">
        <v>2021</v>
      </c>
      <c r="AH803" s="35">
        <v>2021</v>
      </c>
      <c r="AT803" s="20" t="e">
        <f>VLOOKUP(C803,AW:AX,2,FALSE)</f>
        <v>#N/A</v>
      </c>
      <c r="BZ803" s="71"/>
      <c r="CD803" s="20" t="e">
        <f t="shared" si="158"/>
        <v>#N/A</v>
      </c>
    </row>
    <row r="804" spans="1:82" ht="61.5" x14ac:dyDescent="0.85">
      <c r="A804" s="20">
        <v>1</v>
      </c>
      <c r="B804" s="66">
        <f>SUBTOTAL(103,$A$560:A804)</f>
        <v>241</v>
      </c>
      <c r="C804" s="211" t="s">
        <v>1191</v>
      </c>
      <c r="D804" s="31">
        <f t="shared" ref="D804" si="165">E804+F804+G804+H804+I804+J804+L804+N804+P804+R804+T804+U804+V804+W804+X804+Y804+Z804+AA804+AB804+AC804+AD804+AE804</f>
        <v>11772100.469999999</v>
      </c>
      <c r="E804" s="31">
        <v>1086183.55</v>
      </c>
      <c r="F804" s="31">
        <v>2434351.71</v>
      </c>
      <c r="G804" s="31">
        <f>5505401.14+507969.79</f>
        <v>6013370.9299999997</v>
      </c>
      <c r="H804" s="31">
        <v>2064222.35</v>
      </c>
      <c r="I804" s="31">
        <v>0</v>
      </c>
      <c r="J804" s="31">
        <v>0</v>
      </c>
      <c r="K804" s="33">
        <v>0</v>
      </c>
      <c r="L804" s="31">
        <v>0</v>
      </c>
      <c r="M804" s="31">
        <v>0</v>
      </c>
      <c r="N804" s="31">
        <v>0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1">
        <f>ROUND((E804+F804+G804+H804+I804+J804)*1.5%,2)</f>
        <v>173971.93</v>
      </c>
      <c r="AD804" s="31">
        <v>0</v>
      </c>
      <c r="AE804" s="31">
        <v>0</v>
      </c>
      <c r="AF804" s="35" t="s">
        <v>271</v>
      </c>
      <c r="AG804" s="34">
        <v>2021</v>
      </c>
      <c r="AH804" s="35">
        <v>2021</v>
      </c>
      <c r="BZ804" s="71"/>
      <c r="CD804" s="20" t="e">
        <f t="shared" ref="CD804:CD829" si="166">VLOOKUP(C804,CE:CF,2,FALSE)</f>
        <v>#N/A</v>
      </c>
    </row>
    <row r="805" spans="1:82" ht="61.5" x14ac:dyDescent="0.85">
      <c r="A805" s="20">
        <v>1</v>
      </c>
      <c r="B805" s="66">
        <f>SUBTOTAL(103,$A$560:A805)</f>
        <v>242</v>
      </c>
      <c r="C805" s="211" t="s">
        <v>387</v>
      </c>
      <c r="D805" s="31">
        <f t="shared" ref="D805" si="167">E805+F805+G805+H805+I805+J805+L805+N805+P805+R805+T805+U805+V805+W805+X805+Y805+Z805+AA805+AB805+AC805+AD805+AE805</f>
        <v>14315249.970000001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3">
        <v>0</v>
      </c>
      <c r="L805" s="31">
        <v>0</v>
      </c>
      <c r="M805" s="31">
        <v>0</v>
      </c>
      <c r="N805" s="31">
        <v>0</v>
      </c>
      <c r="O805" s="31">
        <v>0</v>
      </c>
      <c r="P805" s="31">
        <v>0</v>
      </c>
      <c r="Q805" s="31">
        <v>8596</v>
      </c>
      <c r="R805" s="31">
        <v>14103694.550000001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1">
        <f>ROUND(R805*1.5%,2)</f>
        <v>211555.42</v>
      </c>
      <c r="AD805" s="333">
        <v>0</v>
      </c>
      <c r="AE805" s="31">
        <v>0</v>
      </c>
      <c r="AF805" s="35" t="s">
        <v>271</v>
      </c>
      <c r="AG805" s="34">
        <v>2021</v>
      </c>
      <c r="AH805" s="35">
        <v>2021</v>
      </c>
      <c r="AT805" s="20" t="e">
        <f t="shared" ref="AT805:AT818" si="168">VLOOKUP(C805,AW:AX,2,FALSE)</f>
        <v>#N/A</v>
      </c>
      <c r="BZ805" s="71"/>
      <c r="CD805" s="20" t="e">
        <f t="shared" si="166"/>
        <v>#N/A</v>
      </c>
    </row>
    <row r="806" spans="1:82" ht="61.5" x14ac:dyDescent="0.85">
      <c r="B806" s="24" t="s">
        <v>828</v>
      </c>
      <c r="C806" s="114"/>
      <c r="D806" s="31">
        <f t="shared" ref="D806:AE806" si="169">SUM(D807:D825)</f>
        <v>84154449.210000008</v>
      </c>
      <c r="E806" s="31">
        <f t="shared" si="169"/>
        <v>0</v>
      </c>
      <c r="F806" s="31">
        <f t="shared" si="169"/>
        <v>0</v>
      </c>
      <c r="G806" s="31">
        <f t="shared" si="169"/>
        <v>0</v>
      </c>
      <c r="H806" s="31">
        <f t="shared" si="169"/>
        <v>0</v>
      </c>
      <c r="I806" s="31">
        <f t="shared" si="169"/>
        <v>0</v>
      </c>
      <c r="J806" s="31">
        <f t="shared" si="169"/>
        <v>0</v>
      </c>
      <c r="K806" s="76">
        <f t="shared" si="169"/>
        <v>1</v>
      </c>
      <c r="L806" s="31">
        <f t="shared" si="169"/>
        <v>2138303</v>
      </c>
      <c r="M806" s="31">
        <f t="shared" si="169"/>
        <v>12432.779999999999</v>
      </c>
      <c r="N806" s="31">
        <f t="shared" si="169"/>
        <v>60290092.540000014</v>
      </c>
      <c r="O806" s="31">
        <f t="shared" si="169"/>
        <v>0</v>
      </c>
      <c r="P806" s="31">
        <f t="shared" si="169"/>
        <v>0</v>
      </c>
      <c r="Q806" s="31">
        <f t="shared" si="169"/>
        <v>2448</v>
      </c>
      <c r="R806" s="31">
        <f t="shared" si="169"/>
        <v>12099320.48</v>
      </c>
      <c r="S806" s="31">
        <f t="shared" si="169"/>
        <v>365.8</v>
      </c>
      <c r="T806" s="31">
        <f t="shared" si="169"/>
        <v>5931913.29</v>
      </c>
      <c r="U806" s="31">
        <f t="shared" si="169"/>
        <v>0</v>
      </c>
      <c r="V806" s="31">
        <f t="shared" si="169"/>
        <v>0</v>
      </c>
      <c r="W806" s="31">
        <f t="shared" si="169"/>
        <v>0</v>
      </c>
      <c r="X806" s="31">
        <f t="shared" si="169"/>
        <v>0</v>
      </c>
      <c r="Y806" s="31">
        <f t="shared" si="169"/>
        <v>0</v>
      </c>
      <c r="Z806" s="31">
        <f t="shared" si="169"/>
        <v>0</v>
      </c>
      <c r="AA806" s="31">
        <f t="shared" si="169"/>
        <v>0</v>
      </c>
      <c r="AB806" s="31">
        <f t="shared" si="169"/>
        <v>0</v>
      </c>
      <c r="AC806" s="31">
        <f t="shared" si="169"/>
        <v>1174819.9000000001</v>
      </c>
      <c r="AD806" s="31">
        <f t="shared" si="169"/>
        <v>2400000</v>
      </c>
      <c r="AE806" s="31">
        <f t="shared" si="169"/>
        <v>120000</v>
      </c>
      <c r="AF806" s="72" t="s">
        <v>764</v>
      </c>
      <c r="AG806" s="72" t="s">
        <v>764</v>
      </c>
      <c r="AH806" s="87" t="s">
        <v>764</v>
      </c>
      <c r="AT806" s="20" t="e">
        <f t="shared" si="168"/>
        <v>#N/A</v>
      </c>
      <c r="BZ806" s="71">
        <v>55019080.369999997</v>
      </c>
      <c r="CB806" s="71">
        <f>BZ806-D806</f>
        <v>-29135368.840000011</v>
      </c>
      <c r="CD806" s="20" t="e">
        <f t="shared" si="166"/>
        <v>#N/A</v>
      </c>
    </row>
    <row r="807" spans="1:82" ht="61.5" x14ac:dyDescent="0.85">
      <c r="A807" s="20">
        <v>1</v>
      </c>
      <c r="B807" s="66">
        <f>SUBTOTAL(103,$A$560:A807)</f>
        <v>243</v>
      </c>
      <c r="C807" s="24" t="s">
        <v>619</v>
      </c>
      <c r="D807" s="31">
        <f t="shared" ref="D807:D818" si="170">E807+F807+G807+H807+I807+J807+L807+N807+P807+R807+T807+U807+V807+W807+X807+Y807+Z807+AA807+AB807+AC807+AD807+AE807</f>
        <v>4335833</v>
      </c>
      <c r="E807" s="36">
        <v>0</v>
      </c>
      <c r="F807" s="36">
        <v>0</v>
      </c>
      <c r="G807" s="36">
        <v>0</v>
      </c>
      <c r="H807" s="36">
        <v>0</v>
      </c>
      <c r="I807" s="36">
        <v>0</v>
      </c>
      <c r="J807" s="36">
        <v>0</v>
      </c>
      <c r="K807" s="33">
        <v>0</v>
      </c>
      <c r="L807" s="31">
        <v>0</v>
      </c>
      <c r="M807" s="31">
        <v>773</v>
      </c>
      <c r="N807" s="31">
        <v>4123973.4</v>
      </c>
      <c r="O807" s="31">
        <v>0</v>
      </c>
      <c r="P807" s="31">
        <v>0</v>
      </c>
      <c r="Q807" s="31">
        <v>0</v>
      </c>
      <c r="R807" s="31">
        <v>0</v>
      </c>
      <c r="S807" s="31">
        <v>0</v>
      </c>
      <c r="T807" s="31">
        <v>0</v>
      </c>
      <c r="U807" s="31">
        <v>0</v>
      </c>
      <c r="V807" s="31">
        <v>0</v>
      </c>
      <c r="W807" s="31">
        <v>0</v>
      </c>
      <c r="X807" s="31">
        <v>0</v>
      </c>
      <c r="Y807" s="31">
        <v>0</v>
      </c>
      <c r="Z807" s="31">
        <v>0</v>
      </c>
      <c r="AA807" s="31">
        <v>0</v>
      </c>
      <c r="AB807" s="31">
        <v>0</v>
      </c>
      <c r="AC807" s="31">
        <f t="shared" ref="AC807:AC815" si="171">ROUND(N807*1.5%,2)</f>
        <v>61859.6</v>
      </c>
      <c r="AD807" s="31">
        <v>150000</v>
      </c>
      <c r="AE807" s="31">
        <v>0</v>
      </c>
      <c r="AF807" s="34">
        <v>2021</v>
      </c>
      <c r="AG807" s="34">
        <v>2021</v>
      </c>
      <c r="AH807" s="35">
        <v>2021</v>
      </c>
      <c r="AT807" s="20" t="e">
        <f t="shared" si="168"/>
        <v>#N/A</v>
      </c>
      <c r="BZ807" s="71"/>
      <c r="CD807" s="20" t="e">
        <f t="shared" si="166"/>
        <v>#N/A</v>
      </c>
    </row>
    <row r="808" spans="1:82" ht="61.5" x14ac:dyDescent="0.85">
      <c r="A808" s="20">
        <v>1</v>
      </c>
      <c r="B808" s="66">
        <f>SUBTOTAL(103,$A$560:A808)</f>
        <v>244</v>
      </c>
      <c r="C808" s="24" t="s">
        <v>620</v>
      </c>
      <c r="D808" s="31">
        <f t="shared" si="170"/>
        <v>5909484.1499999994</v>
      </c>
      <c r="E808" s="36">
        <v>0</v>
      </c>
      <c r="F808" s="36">
        <v>0</v>
      </c>
      <c r="G808" s="36">
        <v>0</v>
      </c>
      <c r="H808" s="36">
        <v>0</v>
      </c>
      <c r="I808" s="36">
        <v>0</v>
      </c>
      <c r="J808" s="36">
        <v>0</v>
      </c>
      <c r="K808" s="33">
        <v>0</v>
      </c>
      <c r="L808" s="31">
        <v>0</v>
      </c>
      <c r="M808" s="31">
        <v>1050</v>
      </c>
      <c r="N808" s="31">
        <v>5644811.9699999997</v>
      </c>
      <c r="O808" s="31">
        <v>0</v>
      </c>
      <c r="P808" s="31">
        <v>0</v>
      </c>
      <c r="Q808" s="31">
        <v>0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1">
        <v>0</v>
      </c>
      <c r="Y808" s="31">
        <v>0</v>
      </c>
      <c r="Z808" s="31">
        <v>0</v>
      </c>
      <c r="AA808" s="31">
        <v>0</v>
      </c>
      <c r="AB808" s="31">
        <v>0</v>
      </c>
      <c r="AC808" s="31">
        <f t="shared" si="171"/>
        <v>84672.18</v>
      </c>
      <c r="AD808" s="31">
        <v>180000</v>
      </c>
      <c r="AE808" s="31">
        <v>0</v>
      </c>
      <c r="AF808" s="34">
        <v>2021</v>
      </c>
      <c r="AG808" s="34">
        <v>2021</v>
      </c>
      <c r="AH808" s="35">
        <v>2021</v>
      </c>
      <c r="AT808" s="20" t="e">
        <f t="shared" si="168"/>
        <v>#N/A</v>
      </c>
      <c r="BZ808" s="71"/>
      <c r="CD808" s="20" t="e">
        <f t="shared" si="166"/>
        <v>#N/A</v>
      </c>
    </row>
    <row r="809" spans="1:82" ht="61.5" x14ac:dyDescent="0.85">
      <c r="A809" s="20">
        <v>1</v>
      </c>
      <c r="B809" s="66">
        <f>SUBTOTAL(103,$A$560:A809)</f>
        <v>245</v>
      </c>
      <c r="C809" s="24" t="s">
        <v>621</v>
      </c>
      <c r="D809" s="31">
        <f t="shared" si="170"/>
        <v>4721220</v>
      </c>
      <c r="E809" s="36">
        <v>0</v>
      </c>
      <c r="F809" s="36">
        <v>0</v>
      </c>
      <c r="G809" s="36">
        <v>0</v>
      </c>
      <c r="H809" s="36">
        <v>0</v>
      </c>
      <c r="I809" s="36">
        <v>0</v>
      </c>
      <c r="J809" s="36">
        <v>0</v>
      </c>
      <c r="K809" s="33">
        <v>0</v>
      </c>
      <c r="L809" s="31">
        <v>0</v>
      </c>
      <c r="M809" s="31">
        <v>945</v>
      </c>
      <c r="N809" s="31">
        <v>4503665.0199999996</v>
      </c>
      <c r="O809" s="31">
        <v>0</v>
      </c>
      <c r="P809" s="31">
        <v>0</v>
      </c>
      <c r="Q809" s="31">
        <v>0</v>
      </c>
      <c r="R809" s="31">
        <v>0</v>
      </c>
      <c r="S809" s="31">
        <v>0</v>
      </c>
      <c r="T809" s="31">
        <v>0</v>
      </c>
      <c r="U809" s="31">
        <v>0</v>
      </c>
      <c r="V809" s="31">
        <v>0</v>
      </c>
      <c r="W809" s="31">
        <v>0</v>
      </c>
      <c r="X809" s="31">
        <v>0</v>
      </c>
      <c r="Y809" s="31">
        <v>0</v>
      </c>
      <c r="Z809" s="31">
        <v>0</v>
      </c>
      <c r="AA809" s="31">
        <v>0</v>
      </c>
      <c r="AB809" s="31">
        <v>0</v>
      </c>
      <c r="AC809" s="31">
        <f t="shared" si="171"/>
        <v>67554.98</v>
      </c>
      <c r="AD809" s="31">
        <v>150000</v>
      </c>
      <c r="AE809" s="31">
        <v>0</v>
      </c>
      <c r="AF809" s="34">
        <v>2021</v>
      </c>
      <c r="AG809" s="34">
        <v>2021</v>
      </c>
      <c r="AH809" s="35">
        <v>2021</v>
      </c>
      <c r="AT809" s="20" t="e">
        <f t="shared" si="168"/>
        <v>#N/A</v>
      </c>
      <c r="BZ809" s="71"/>
      <c r="CD809" s="20" t="e">
        <f t="shared" si="166"/>
        <v>#N/A</v>
      </c>
    </row>
    <row r="810" spans="1:82" ht="61.5" x14ac:dyDescent="0.85">
      <c r="A810" s="20">
        <v>1</v>
      </c>
      <c r="B810" s="66">
        <f>SUBTOTAL(103,$A$560:A810)</f>
        <v>246</v>
      </c>
      <c r="C810" s="24" t="s">
        <v>625</v>
      </c>
      <c r="D810" s="31">
        <f t="shared" si="170"/>
        <v>3393650</v>
      </c>
      <c r="E810" s="36">
        <v>0</v>
      </c>
      <c r="F810" s="36">
        <v>0</v>
      </c>
      <c r="G810" s="36">
        <v>0</v>
      </c>
      <c r="H810" s="36">
        <v>0</v>
      </c>
      <c r="I810" s="36">
        <v>0</v>
      </c>
      <c r="J810" s="36">
        <v>0</v>
      </c>
      <c r="K810" s="33">
        <v>0</v>
      </c>
      <c r="L810" s="31">
        <v>0</v>
      </c>
      <c r="M810" s="31">
        <v>650</v>
      </c>
      <c r="N810" s="31">
        <v>3195714.29</v>
      </c>
      <c r="O810" s="31">
        <v>0</v>
      </c>
      <c r="P810" s="31">
        <v>0</v>
      </c>
      <c r="Q810" s="31">
        <v>0</v>
      </c>
      <c r="R810" s="31">
        <v>0</v>
      </c>
      <c r="S810" s="31">
        <v>0</v>
      </c>
      <c r="T810" s="31">
        <v>0</v>
      </c>
      <c r="U810" s="31">
        <v>0</v>
      </c>
      <c r="V810" s="31">
        <v>0</v>
      </c>
      <c r="W810" s="31">
        <v>0</v>
      </c>
      <c r="X810" s="31">
        <v>0</v>
      </c>
      <c r="Y810" s="31">
        <v>0</v>
      </c>
      <c r="Z810" s="31">
        <v>0</v>
      </c>
      <c r="AA810" s="31">
        <v>0</v>
      </c>
      <c r="AB810" s="31">
        <v>0</v>
      </c>
      <c r="AC810" s="31">
        <f t="shared" si="171"/>
        <v>47935.71</v>
      </c>
      <c r="AD810" s="31">
        <v>150000</v>
      </c>
      <c r="AE810" s="31">
        <v>0</v>
      </c>
      <c r="AF810" s="34">
        <v>2021</v>
      </c>
      <c r="AG810" s="34">
        <v>2021</v>
      </c>
      <c r="AH810" s="35">
        <v>2021</v>
      </c>
      <c r="AT810" s="20">
        <f t="shared" si="168"/>
        <v>1</v>
      </c>
      <c r="BZ810" s="71"/>
      <c r="CD810" s="20" t="e">
        <f t="shared" si="166"/>
        <v>#N/A</v>
      </c>
    </row>
    <row r="811" spans="1:82" ht="61.5" x14ac:dyDescent="0.85">
      <c r="A811" s="20">
        <v>1</v>
      </c>
      <c r="B811" s="66">
        <f>SUBTOTAL(103,$A$560:A811)</f>
        <v>247</v>
      </c>
      <c r="C811" s="24" t="s">
        <v>626</v>
      </c>
      <c r="D811" s="31">
        <f t="shared" si="170"/>
        <v>5195840</v>
      </c>
      <c r="E811" s="36">
        <v>0</v>
      </c>
      <c r="F811" s="36">
        <v>0</v>
      </c>
      <c r="G811" s="36">
        <v>0</v>
      </c>
      <c r="H811" s="36">
        <v>0</v>
      </c>
      <c r="I811" s="36">
        <v>0</v>
      </c>
      <c r="J811" s="36">
        <v>0</v>
      </c>
      <c r="K811" s="33">
        <v>0</v>
      </c>
      <c r="L811" s="31">
        <v>0</v>
      </c>
      <c r="M811" s="31">
        <v>1040</v>
      </c>
      <c r="N811" s="31">
        <v>4941714.29</v>
      </c>
      <c r="O811" s="31">
        <v>0</v>
      </c>
      <c r="P811" s="31">
        <v>0</v>
      </c>
      <c r="Q811" s="31">
        <v>0</v>
      </c>
      <c r="R811" s="31">
        <v>0</v>
      </c>
      <c r="S811" s="31">
        <v>0</v>
      </c>
      <c r="T811" s="31">
        <v>0</v>
      </c>
      <c r="U811" s="31">
        <v>0</v>
      </c>
      <c r="V811" s="31">
        <v>0</v>
      </c>
      <c r="W811" s="31">
        <v>0</v>
      </c>
      <c r="X811" s="31">
        <v>0</v>
      </c>
      <c r="Y811" s="31">
        <v>0</v>
      </c>
      <c r="Z811" s="31">
        <v>0</v>
      </c>
      <c r="AA811" s="31">
        <v>0</v>
      </c>
      <c r="AB811" s="31">
        <v>0</v>
      </c>
      <c r="AC811" s="31">
        <f t="shared" si="171"/>
        <v>74125.710000000006</v>
      </c>
      <c r="AD811" s="31">
        <v>180000</v>
      </c>
      <c r="AE811" s="31">
        <v>0</v>
      </c>
      <c r="AF811" s="34">
        <v>2021</v>
      </c>
      <c r="AG811" s="34">
        <v>2021</v>
      </c>
      <c r="AH811" s="35">
        <v>2021</v>
      </c>
      <c r="AT811" s="20" t="e">
        <f t="shared" si="168"/>
        <v>#N/A</v>
      </c>
      <c r="BZ811" s="71"/>
      <c r="CD811" s="20" t="e">
        <f t="shared" si="166"/>
        <v>#N/A</v>
      </c>
    </row>
    <row r="812" spans="1:82" ht="61.5" x14ac:dyDescent="0.85">
      <c r="A812" s="20">
        <v>1</v>
      </c>
      <c r="B812" s="66">
        <f>SUBTOTAL(103,$A$560:A812)</f>
        <v>248</v>
      </c>
      <c r="C812" s="24" t="s">
        <v>624</v>
      </c>
      <c r="D812" s="31">
        <f t="shared" si="170"/>
        <v>4892077</v>
      </c>
      <c r="E812" s="36">
        <v>0</v>
      </c>
      <c r="F812" s="36">
        <v>0</v>
      </c>
      <c r="G812" s="36">
        <v>0</v>
      </c>
      <c r="H812" s="36">
        <v>0</v>
      </c>
      <c r="I812" s="36">
        <v>0</v>
      </c>
      <c r="J812" s="36">
        <v>0</v>
      </c>
      <c r="K812" s="33">
        <v>0</v>
      </c>
      <c r="L812" s="31">
        <v>0</v>
      </c>
      <c r="M812" s="31">
        <v>937</v>
      </c>
      <c r="N812" s="31">
        <v>4671997.04</v>
      </c>
      <c r="O812" s="31">
        <v>0</v>
      </c>
      <c r="P812" s="31">
        <v>0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0</v>
      </c>
      <c r="Z812" s="31">
        <v>0</v>
      </c>
      <c r="AA812" s="31">
        <v>0</v>
      </c>
      <c r="AB812" s="31">
        <v>0</v>
      </c>
      <c r="AC812" s="31">
        <f t="shared" si="171"/>
        <v>70079.960000000006</v>
      </c>
      <c r="AD812" s="31">
        <v>150000</v>
      </c>
      <c r="AE812" s="31">
        <v>0</v>
      </c>
      <c r="AF812" s="34">
        <v>2021</v>
      </c>
      <c r="AG812" s="34">
        <v>2021</v>
      </c>
      <c r="AH812" s="35">
        <v>2021</v>
      </c>
      <c r="AT812" s="20">
        <f t="shared" si="168"/>
        <v>1</v>
      </c>
      <c r="BZ812" s="71"/>
      <c r="CD812" s="20" t="e">
        <f t="shared" si="166"/>
        <v>#N/A</v>
      </c>
    </row>
    <row r="813" spans="1:82" ht="61.5" x14ac:dyDescent="0.85">
      <c r="A813" s="20">
        <v>1</v>
      </c>
      <c r="B813" s="66">
        <f>SUBTOTAL(103,$A$560:A813)</f>
        <v>249</v>
      </c>
      <c r="C813" s="24" t="s">
        <v>616</v>
      </c>
      <c r="D813" s="31">
        <f t="shared" si="170"/>
        <v>2921671.6</v>
      </c>
      <c r="E813" s="36">
        <v>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3">
        <v>0</v>
      </c>
      <c r="L813" s="31">
        <v>0</v>
      </c>
      <c r="M813" s="31">
        <v>559.6</v>
      </c>
      <c r="N813" s="31">
        <v>2730710.94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0</v>
      </c>
      <c r="W813" s="31">
        <v>0</v>
      </c>
      <c r="X813" s="31">
        <v>0</v>
      </c>
      <c r="Y813" s="31">
        <v>0</v>
      </c>
      <c r="Z813" s="31">
        <v>0</v>
      </c>
      <c r="AA813" s="31">
        <v>0</v>
      </c>
      <c r="AB813" s="31">
        <v>0</v>
      </c>
      <c r="AC813" s="31">
        <f t="shared" si="171"/>
        <v>40960.660000000003</v>
      </c>
      <c r="AD813" s="31">
        <v>150000</v>
      </c>
      <c r="AE813" s="31">
        <v>0</v>
      </c>
      <c r="AF813" s="34">
        <v>2021</v>
      </c>
      <c r="AG813" s="34">
        <v>2021</v>
      </c>
      <c r="AH813" s="35">
        <v>2021</v>
      </c>
      <c r="AT813" s="20" t="e">
        <f t="shared" si="168"/>
        <v>#N/A</v>
      </c>
      <c r="BZ813" s="71"/>
      <c r="CD813" s="20" t="e">
        <f t="shared" si="166"/>
        <v>#N/A</v>
      </c>
    </row>
    <row r="814" spans="1:82" ht="61.5" x14ac:dyDescent="0.85">
      <c r="A814" s="20">
        <v>1</v>
      </c>
      <c r="B814" s="66">
        <f>SUBTOTAL(103,$A$560:A814)</f>
        <v>250</v>
      </c>
      <c r="C814" s="24" t="s">
        <v>630</v>
      </c>
      <c r="D814" s="31">
        <f t="shared" si="170"/>
        <v>4923403</v>
      </c>
      <c r="E814" s="36">
        <v>0</v>
      </c>
      <c r="F814" s="36">
        <v>0</v>
      </c>
      <c r="G814" s="36">
        <v>0</v>
      </c>
      <c r="H814" s="36">
        <v>0</v>
      </c>
      <c r="I814" s="36">
        <v>0</v>
      </c>
      <c r="J814" s="36">
        <v>0</v>
      </c>
      <c r="K814" s="33">
        <v>0</v>
      </c>
      <c r="L814" s="31">
        <v>0</v>
      </c>
      <c r="M814" s="31">
        <v>943</v>
      </c>
      <c r="N814" s="31">
        <v>4702860.0999999996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1">
        <v>0</v>
      </c>
      <c r="W814" s="31">
        <v>0</v>
      </c>
      <c r="X814" s="31">
        <v>0</v>
      </c>
      <c r="Y814" s="31">
        <v>0</v>
      </c>
      <c r="Z814" s="31">
        <v>0</v>
      </c>
      <c r="AA814" s="31">
        <v>0</v>
      </c>
      <c r="AB814" s="31">
        <v>0</v>
      </c>
      <c r="AC814" s="31">
        <f t="shared" si="171"/>
        <v>70542.899999999994</v>
      </c>
      <c r="AD814" s="31">
        <v>150000</v>
      </c>
      <c r="AE814" s="31">
        <v>0</v>
      </c>
      <c r="AF814" s="34">
        <v>2021</v>
      </c>
      <c r="AG814" s="34">
        <v>2021</v>
      </c>
      <c r="AH814" s="35">
        <v>2021</v>
      </c>
      <c r="AT814" s="20" t="e">
        <f t="shared" si="168"/>
        <v>#N/A</v>
      </c>
      <c r="BZ814" s="71"/>
      <c r="CD814" s="20" t="e">
        <f t="shared" si="166"/>
        <v>#N/A</v>
      </c>
    </row>
    <row r="815" spans="1:82" ht="61.5" x14ac:dyDescent="0.85">
      <c r="A815" s="20">
        <v>1</v>
      </c>
      <c r="B815" s="66">
        <f>SUBTOTAL(103,$A$560:A815)</f>
        <v>251</v>
      </c>
      <c r="C815" s="24" t="s">
        <v>629</v>
      </c>
      <c r="D815" s="31">
        <f t="shared" si="170"/>
        <v>2767130</v>
      </c>
      <c r="E815" s="36">
        <v>0</v>
      </c>
      <c r="F815" s="36">
        <v>0</v>
      </c>
      <c r="G815" s="36">
        <v>0</v>
      </c>
      <c r="H815" s="36">
        <v>0</v>
      </c>
      <c r="I815" s="36">
        <v>0</v>
      </c>
      <c r="J815" s="36">
        <v>0</v>
      </c>
      <c r="K815" s="33">
        <v>0</v>
      </c>
      <c r="L815" s="31">
        <v>0</v>
      </c>
      <c r="M815" s="31">
        <v>530</v>
      </c>
      <c r="N815" s="31">
        <v>2578453.2000000002</v>
      </c>
      <c r="O815" s="31">
        <v>0</v>
      </c>
      <c r="P815" s="31">
        <v>0</v>
      </c>
      <c r="Q815" s="31">
        <v>0</v>
      </c>
      <c r="R815" s="31">
        <v>0</v>
      </c>
      <c r="S815" s="31">
        <v>0</v>
      </c>
      <c r="T815" s="31">
        <v>0</v>
      </c>
      <c r="U815" s="31">
        <v>0</v>
      </c>
      <c r="V815" s="31">
        <v>0</v>
      </c>
      <c r="W815" s="31">
        <v>0</v>
      </c>
      <c r="X815" s="31">
        <v>0</v>
      </c>
      <c r="Y815" s="31">
        <v>0</v>
      </c>
      <c r="Z815" s="31">
        <v>0</v>
      </c>
      <c r="AA815" s="31">
        <v>0</v>
      </c>
      <c r="AB815" s="31">
        <v>0</v>
      </c>
      <c r="AC815" s="31">
        <f t="shared" si="171"/>
        <v>38676.800000000003</v>
      </c>
      <c r="AD815" s="31">
        <v>150000</v>
      </c>
      <c r="AE815" s="31">
        <v>0</v>
      </c>
      <c r="AF815" s="34">
        <v>2021</v>
      </c>
      <c r="AG815" s="34">
        <v>2021</v>
      </c>
      <c r="AH815" s="35">
        <v>2021</v>
      </c>
      <c r="AT815" s="20" t="e">
        <f t="shared" si="168"/>
        <v>#N/A</v>
      </c>
      <c r="BZ815" s="71"/>
      <c r="CD815" s="20" t="e">
        <f t="shared" si="166"/>
        <v>#N/A</v>
      </c>
    </row>
    <row r="816" spans="1:82" ht="61.5" x14ac:dyDescent="0.85">
      <c r="A816" s="20">
        <v>1</v>
      </c>
      <c r="B816" s="66">
        <f>SUBTOTAL(103,$A$560:A816)</f>
        <v>252</v>
      </c>
      <c r="C816" s="24" t="s">
        <v>634</v>
      </c>
      <c r="D816" s="31">
        <f t="shared" si="170"/>
        <v>2248303</v>
      </c>
      <c r="E816" s="36">
        <v>0</v>
      </c>
      <c r="F816" s="36">
        <v>0</v>
      </c>
      <c r="G816" s="36">
        <v>0</v>
      </c>
      <c r="H816" s="36">
        <v>0</v>
      </c>
      <c r="I816" s="36">
        <v>0</v>
      </c>
      <c r="J816" s="36">
        <v>0</v>
      </c>
      <c r="K816" s="33">
        <v>1</v>
      </c>
      <c r="L816" s="31">
        <f>2148303-10000</f>
        <v>2138303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31">
        <v>0</v>
      </c>
      <c r="AC816" s="31">
        <v>0</v>
      </c>
      <c r="AD816" s="31">
        <v>110000</v>
      </c>
      <c r="AE816" s="31">
        <v>0</v>
      </c>
      <c r="AF816" s="34">
        <v>2021</v>
      </c>
      <c r="AG816" s="34">
        <v>2021</v>
      </c>
      <c r="AH816" s="35" t="s">
        <v>271</v>
      </c>
      <c r="AT816" s="20" t="e">
        <f t="shared" si="168"/>
        <v>#N/A</v>
      </c>
      <c r="BZ816" s="71"/>
      <c r="CD816" s="20" t="e">
        <f t="shared" si="166"/>
        <v>#N/A</v>
      </c>
    </row>
    <row r="817" spans="1:82" ht="61.5" x14ac:dyDescent="0.85">
      <c r="A817" s="20">
        <v>1</v>
      </c>
      <c r="B817" s="66">
        <f>SUBTOTAL(103,$A$560:A817)</f>
        <v>253</v>
      </c>
      <c r="C817" s="24" t="s">
        <v>641</v>
      </c>
      <c r="D817" s="31">
        <f t="shared" si="170"/>
        <v>5495600.0099999998</v>
      </c>
      <c r="E817" s="36">
        <v>0</v>
      </c>
      <c r="F817" s="36">
        <v>0</v>
      </c>
      <c r="G817" s="36">
        <v>0</v>
      </c>
      <c r="H817" s="36">
        <v>0</v>
      </c>
      <c r="I817" s="36">
        <v>0</v>
      </c>
      <c r="J817" s="36">
        <v>0</v>
      </c>
      <c r="K817" s="33">
        <v>0</v>
      </c>
      <c r="L817" s="31">
        <v>0</v>
      </c>
      <c r="M817" s="31">
        <v>1100</v>
      </c>
      <c r="N817" s="31">
        <v>5237044.34</v>
      </c>
      <c r="O817" s="31">
        <v>0</v>
      </c>
      <c r="P817" s="31">
        <v>0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0</v>
      </c>
      <c r="Z817" s="31">
        <v>0</v>
      </c>
      <c r="AA817" s="31">
        <v>0</v>
      </c>
      <c r="AB817" s="31">
        <v>0</v>
      </c>
      <c r="AC817" s="31">
        <f t="shared" ref="AC817:AC823" si="172">ROUND(N817*1.5%,2)</f>
        <v>78555.67</v>
      </c>
      <c r="AD817" s="31">
        <v>180000</v>
      </c>
      <c r="AE817" s="31">
        <v>0</v>
      </c>
      <c r="AF817" s="34">
        <v>2021</v>
      </c>
      <c r="AG817" s="34">
        <v>2021</v>
      </c>
      <c r="AH817" s="35">
        <v>2021</v>
      </c>
      <c r="AT817" s="20" t="e">
        <f t="shared" si="168"/>
        <v>#N/A</v>
      </c>
      <c r="BZ817" s="71"/>
      <c r="CD817" s="20" t="e">
        <f t="shared" si="166"/>
        <v>#N/A</v>
      </c>
    </row>
    <row r="818" spans="1:82" ht="61.5" x14ac:dyDescent="0.85">
      <c r="A818" s="20">
        <v>1</v>
      </c>
      <c r="B818" s="66">
        <f>SUBTOTAL(103,$A$560:A818)</f>
        <v>254</v>
      </c>
      <c r="C818" s="24" t="s">
        <v>632</v>
      </c>
      <c r="D818" s="31">
        <f t="shared" si="170"/>
        <v>4364006</v>
      </c>
      <c r="E818" s="36">
        <v>0</v>
      </c>
      <c r="F818" s="36">
        <v>0</v>
      </c>
      <c r="G818" s="36">
        <v>0</v>
      </c>
      <c r="H818" s="36">
        <v>0</v>
      </c>
      <c r="I818" s="36">
        <v>0</v>
      </c>
      <c r="J818" s="36">
        <v>0</v>
      </c>
      <c r="K818" s="33">
        <v>0</v>
      </c>
      <c r="L818" s="31">
        <v>0</v>
      </c>
      <c r="M818" s="31">
        <v>873.5</v>
      </c>
      <c r="N818" s="31">
        <v>4151730.05</v>
      </c>
      <c r="O818" s="31">
        <v>0</v>
      </c>
      <c r="P818" s="31">
        <v>0</v>
      </c>
      <c r="Q818" s="31">
        <v>0</v>
      </c>
      <c r="R818" s="31">
        <v>0</v>
      </c>
      <c r="S818" s="31">
        <v>0</v>
      </c>
      <c r="T818" s="31">
        <v>0</v>
      </c>
      <c r="U818" s="31">
        <v>0</v>
      </c>
      <c r="V818" s="31">
        <v>0</v>
      </c>
      <c r="W818" s="31">
        <v>0</v>
      </c>
      <c r="X818" s="31">
        <v>0</v>
      </c>
      <c r="Y818" s="31">
        <v>0</v>
      </c>
      <c r="Z818" s="31">
        <v>0</v>
      </c>
      <c r="AA818" s="31">
        <v>0</v>
      </c>
      <c r="AB818" s="31">
        <v>0</v>
      </c>
      <c r="AC818" s="31">
        <f t="shared" si="172"/>
        <v>62275.95</v>
      </c>
      <c r="AD818" s="31">
        <v>150000</v>
      </c>
      <c r="AE818" s="31">
        <v>0</v>
      </c>
      <c r="AF818" s="34">
        <v>2021</v>
      </c>
      <c r="AG818" s="34">
        <v>2021</v>
      </c>
      <c r="AH818" s="35">
        <v>2021</v>
      </c>
      <c r="AT818" s="20" t="e">
        <f t="shared" si="168"/>
        <v>#N/A</v>
      </c>
      <c r="BZ818" s="71"/>
      <c r="CD818" s="20" t="e">
        <f t="shared" si="166"/>
        <v>#N/A</v>
      </c>
    </row>
    <row r="819" spans="1:82" ht="61.5" x14ac:dyDescent="0.85">
      <c r="A819" s="20">
        <v>1</v>
      </c>
      <c r="B819" s="66">
        <f>SUBTOTAL(103,$A$560:A819)</f>
        <v>255</v>
      </c>
      <c r="C819" s="24" t="s">
        <v>1618</v>
      </c>
      <c r="D819" s="31">
        <f t="shared" ref="D819:D823" si="173">E819+F819+G819+H819+I819+J819+L819+N819+P819+R819+T819+U819+V819+W819+X819+Y819+Z819+AA819+AB819+AC819+AD819+AE819</f>
        <v>3850862.6100000003</v>
      </c>
      <c r="E819" s="31">
        <v>0</v>
      </c>
      <c r="F819" s="31">
        <v>0</v>
      </c>
      <c r="G819" s="31">
        <v>0</v>
      </c>
      <c r="H819" s="31">
        <v>0</v>
      </c>
      <c r="I819" s="31">
        <v>0</v>
      </c>
      <c r="J819" s="31">
        <v>0</v>
      </c>
      <c r="K819" s="33">
        <v>0</v>
      </c>
      <c r="L819" s="31">
        <v>0</v>
      </c>
      <c r="M819" s="31">
        <v>766</v>
      </c>
      <c r="N819" s="31">
        <f>3812708.18-206610.58+59776.89</f>
        <v>3665874.49</v>
      </c>
      <c r="O819" s="31">
        <v>0</v>
      </c>
      <c r="P819" s="31">
        <v>0</v>
      </c>
      <c r="Q819" s="31">
        <v>0</v>
      </c>
      <c r="R819" s="31">
        <v>0</v>
      </c>
      <c r="S819" s="31">
        <v>0</v>
      </c>
      <c r="T819" s="31">
        <v>0</v>
      </c>
      <c r="U819" s="31">
        <v>0</v>
      </c>
      <c r="V819" s="31">
        <v>0</v>
      </c>
      <c r="W819" s="31">
        <v>0</v>
      </c>
      <c r="X819" s="31">
        <v>0</v>
      </c>
      <c r="Y819" s="31">
        <v>0</v>
      </c>
      <c r="Z819" s="31">
        <v>0</v>
      </c>
      <c r="AA819" s="31">
        <v>0</v>
      </c>
      <c r="AB819" s="31">
        <v>0</v>
      </c>
      <c r="AC819" s="31">
        <f t="shared" si="172"/>
        <v>54988.12</v>
      </c>
      <c r="AD819" s="31">
        <v>130000</v>
      </c>
      <c r="AE819" s="31">
        <v>0</v>
      </c>
      <c r="AF819" s="34">
        <v>2021</v>
      </c>
      <c r="AG819" s="34">
        <v>2021</v>
      </c>
      <c r="AH819" s="35">
        <v>2021</v>
      </c>
      <c r="BZ819" s="71"/>
      <c r="CD819" s="20" t="e">
        <f t="shared" si="166"/>
        <v>#N/A</v>
      </c>
    </row>
    <row r="820" spans="1:82" ht="61.5" x14ac:dyDescent="0.85">
      <c r="A820" s="20">
        <v>1</v>
      </c>
      <c r="B820" s="66">
        <f>SUBTOTAL(103,$A$560:A820)</f>
        <v>256</v>
      </c>
      <c r="C820" s="24" t="s">
        <v>1641</v>
      </c>
      <c r="D820" s="31">
        <f t="shared" si="173"/>
        <v>2693242.85</v>
      </c>
      <c r="E820" s="31">
        <v>0</v>
      </c>
      <c r="F820" s="31">
        <v>0</v>
      </c>
      <c r="G820" s="31">
        <v>0</v>
      </c>
      <c r="H820" s="31">
        <v>0</v>
      </c>
      <c r="I820" s="31">
        <v>0</v>
      </c>
      <c r="J820" s="31">
        <v>0</v>
      </c>
      <c r="K820" s="33">
        <v>0</v>
      </c>
      <c r="L820" s="31">
        <v>0</v>
      </c>
      <c r="M820" s="31">
        <v>729.73</v>
      </c>
      <c r="N820" s="31">
        <v>2554919.06</v>
      </c>
      <c r="O820" s="31">
        <v>0</v>
      </c>
      <c r="P820" s="31">
        <v>0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  <c r="V820" s="31">
        <v>0</v>
      </c>
      <c r="W820" s="31">
        <v>0</v>
      </c>
      <c r="X820" s="31">
        <v>0</v>
      </c>
      <c r="Y820" s="31">
        <v>0</v>
      </c>
      <c r="Z820" s="31">
        <v>0</v>
      </c>
      <c r="AA820" s="31">
        <v>0</v>
      </c>
      <c r="AB820" s="31">
        <v>0</v>
      </c>
      <c r="AC820" s="31">
        <f t="shared" si="172"/>
        <v>38323.79</v>
      </c>
      <c r="AD820" s="31">
        <v>100000</v>
      </c>
      <c r="AE820" s="31">
        <v>0</v>
      </c>
      <c r="AF820" s="34">
        <v>2021</v>
      </c>
      <c r="AG820" s="34">
        <v>2021</v>
      </c>
      <c r="AH820" s="35">
        <v>2021</v>
      </c>
      <c r="BZ820" s="71"/>
      <c r="CD820" s="20" t="e">
        <f t="shared" si="166"/>
        <v>#N/A</v>
      </c>
    </row>
    <row r="821" spans="1:82" ht="61.5" x14ac:dyDescent="0.85">
      <c r="A821" s="20">
        <v>1</v>
      </c>
      <c r="B821" s="66">
        <f>SUBTOTAL(103,$A$560:A821)</f>
        <v>257</v>
      </c>
      <c r="C821" s="24" t="s">
        <v>1642</v>
      </c>
      <c r="D821" s="31">
        <f t="shared" si="173"/>
        <v>2003970.19</v>
      </c>
      <c r="E821" s="31">
        <v>0</v>
      </c>
      <c r="F821" s="31">
        <v>0</v>
      </c>
      <c r="G821" s="31">
        <v>0</v>
      </c>
      <c r="H821" s="31">
        <v>0</v>
      </c>
      <c r="I821" s="31">
        <v>0</v>
      </c>
      <c r="J821" s="31">
        <v>0</v>
      </c>
      <c r="K821" s="33">
        <v>0</v>
      </c>
      <c r="L821" s="31">
        <v>0</v>
      </c>
      <c r="M821" s="31">
        <v>383.77</v>
      </c>
      <c r="N821" s="31">
        <v>1875832.7</v>
      </c>
      <c r="O821" s="31">
        <v>0</v>
      </c>
      <c r="P821" s="31">
        <v>0</v>
      </c>
      <c r="Q821" s="31">
        <v>0</v>
      </c>
      <c r="R821" s="31">
        <v>0</v>
      </c>
      <c r="S821" s="31">
        <v>0</v>
      </c>
      <c r="T821" s="31">
        <v>0</v>
      </c>
      <c r="U821" s="31">
        <v>0</v>
      </c>
      <c r="V821" s="31">
        <v>0</v>
      </c>
      <c r="W821" s="31">
        <v>0</v>
      </c>
      <c r="X821" s="31">
        <v>0</v>
      </c>
      <c r="Y821" s="31">
        <v>0</v>
      </c>
      <c r="Z821" s="31">
        <v>0</v>
      </c>
      <c r="AA821" s="31">
        <v>0</v>
      </c>
      <c r="AB821" s="31">
        <v>0</v>
      </c>
      <c r="AC821" s="31">
        <f t="shared" si="172"/>
        <v>28137.49</v>
      </c>
      <c r="AD821" s="31">
        <v>100000</v>
      </c>
      <c r="AE821" s="31">
        <v>0</v>
      </c>
      <c r="AF821" s="34">
        <v>2021</v>
      </c>
      <c r="AG821" s="34">
        <v>2021</v>
      </c>
      <c r="AH821" s="35">
        <v>2021</v>
      </c>
      <c r="BZ821" s="71"/>
      <c r="CD821" s="20" t="e">
        <f t="shared" si="166"/>
        <v>#N/A</v>
      </c>
    </row>
    <row r="822" spans="1:82" ht="61.5" x14ac:dyDescent="0.85">
      <c r="A822" s="20">
        <v>1</v>
      </c>
      <c r="B822" s="66">
        <f>SUBTOTAL(103,$A$560:A822)</f>
        <v>258</v>
      </c>
      <c r="C822" s="24" t="s">
        <v>1643</v>
      </c>
      <c r="D822" s="31">
        <f t="shared" si="173"/>
        <v>3795204.2399999998</v>
      </c>
      <c r="E822" s="31">
        <v>0</v>
      </c>
      <c r="F822" s="31">
        <v>0</v>
      </c>
      <c r="G822" s="31">
        <v>0</v>
      </c>
      <c r="H822" s="31">
        <v>0</v>
      </c>
      <c r="I822" s="31">
        <v>0</v>
      </c>
      <c r="J822" s="31">
        <v>0</v>
      </c>
      <c r="K822" s="33">
        <v>0</v>
      </c>
      <c r="L822" s="31">
        <v>0</v>
      </c>
      <c r="M822" s="31">
        <v>726.8</v>
      </c>
      <c r="N822" s="31">
        <v>3620890.88</v>
      </c>
      <c r="O822" s="31">
        <v>0</v>
      </c>
      <c r="P822" s="31">
        <v>0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1">
        <v>0</v>
      </c>
      <c r="X822" s="31">
        <v>0</v>
      </c>
      <c r="Y822" s="31">
        <v>0</v>
      </c>
      <c r="Z822" s="31">
        <v>0</v>
      </c>
      <c r="AA822" s="31">
        <v>0</v>
      </c>
      <c r="AB822" s="31">
        <v>0</v>
      </c>
      <c r="AC822" s="31">
        <f t="shared" si="172"/>
        <v>54313.36</v>
      </c>
      <c r="AD822" s="31">
        <v>120000</v>
      </c>
      <c r="AE822" s="31">
        <v>0</v>
      </c>
      <c r="AF822" s="34">
        <v>2021</v>
      </c>
      <c r="AG822" s="34">
        <v>2021</v>
      </c>
      <c r="AH822" s="35">
        <v>2021</v>
      </c>
      <c r="BZ822" s="71"/>
      <c r="CD822" s="20" t="e">
        <f t="shared" si="166"/>
        <v>#N/A</v>
      </c>
    </row>
    <row r="823" spans="1:82" ht="61.5" x14ac:dyDescent="0.85">
      <c r="A823" s="20">
        <v>1</v>
      </c>
      <c r="B823" s="66">
        <f>SUBTOTAL(103,$A$560:A823)</f>
        <v>259</v>
      </c>
      <c r="C823" s="24" t="s">
        <v>1644</v>
      </c>
      <c r="D823" s="31">
        <f t="shared" si="173"/>
        <v>2221249.2799999998</v>
      </c>
      <c r="E823" s="31">
        <v>0</v>
      </c>
      <c r="F823" s="31">
        <v>0</v>
      </c>
      <c r="G823" s="31">
        <v>0</v>
      </c>
      <c r="H823" s="31">
        <v>0</v>
      </c>
      <c r="I823" s="31">
        <v>0</v>
      </c>
      <c r="J823" s="31">
        <v>0</v>
      </c>
      <c r="K823" s="33">
        <v>0</v>
      </c>
      <c r="L823" s="31">
        <v>0</v>
      </c>
      <c r="M823" s="31">
        <v>425.38</v>
      </c>
      <c r="N823" s="31">
        <v>2089900.77</v>
      </c>
      <c r="O823" s="31">
        <v>0</v>
      </c>
      <c r="P823" s="31">
        <v>0</v>
      </c>
      <c r="Q823" s="31">
        <v>0</v>
      </c>
      <c r="R823" s="31">
        <v>0</v>
      </c>
      <c r="S823" s="31">
        <v>0</v>
      </c>
      <c r="T823" s="31">
        <v>0</v>
      </c>
      <c r="U823" s="31">
        <v>0</v>
      </c>
      <c r="V823" s="31">
        <v>0</v>
      </c>
      <c r="W823" s="31">
        <v>0</v>
      </c>
      <c r="X823" s="31">
        <v>0</v>
      </c>
      <c r="Y823" s="31">
        <v>0</v>
      </c>
      <c r="Z823" s="31">
        <v>0</v>
      </c>
      <c r="AA823" s="31">
        <v>0</v>
      </c>
      <c r="AB823" s="31">
        <v>0</v>
      </c>
      <c r="AC823" s="31">
        <f t="shared" si="172"/>
        <v>31348.51</v>
      </c>
      <c r="AD823" s="31">
        <v>100000</v>
      </c>
      <c r="AE823" s="31">
        <v>0</v>
      </c>
      <c r="AF823" s="34">
        <v>2021</v>
      </c>
      <c r="AG823" s="34">
        <v>2021</v>
      </c>
      <c r="AH823" s="35">
        <v>2021</v>
      </c>
      <c r="BZ823" s="71"/>
      <c r="CD823" s="20" t="e">
        <f t="shared" si="166"/>
        <v>#N/A</v>
      </c>
    </row>
    <row r="824" spans="1:82" ht="61.5" x14ac:dyDescent="0.85">
      <c r="A824" s="20">
        <v>1</v>
      </c>
      <c r="B824" s="66">
        <f>SUBTOTAL(103,$A$560:A824)</f>
        <v>260</v>
      </c>
      <c r="C824" s="24" t="s">
        <v>628</v>
      </c>
      <c r="D824" s="31">
        <f t="shared" ref="D824" si="174">E824+F824+G824+H824+I824+J824+L824+N824+P824+R824+T824+U824+V824+W824+X824+Y824+Z824+AA824+AB824+AC824+AD824+AE824</f>
        <v>16858961.600000001</v>
      </c>
      <c r="E824" s="36">
        <v>0</v>
      </c>
      <c r="F824" s="36">
        <v>0</v>
      </c>
      <c r="G824" s="36">
        <v>0</v>
      </c>
      <c r="H824" s="36">
        <v>0</v>
      </c>
      <c r="I824" s="36">
        <v>0</v>
      </c>
      <c r="J824" s="36">
        <v>0</v>
      </c>
      <c r="K824" s="33">
        <v>0</v>
      </c>
      <c r="L824" s="31">
        <v>0</v>
      </c>
      <c r="M824" s="31">
        <v>0</v>
      </c>
      <c r="N824" s="31">
        <v>0</v>
      </c>
      <c r="O824" s="36">
        <v>0</v>
      </c>
      <c r="P824" s="36">
        <v>0</v>
      </c>
      <c r="Q824" s="31">
        <v>2448</v>
      </c>
      <c r="R824" s="31">
        <f>13074770.52-1165153.63+43983.36+394249.55-377278.61+128749.29</f>
        <v>12099320.48</v>
      </c>
      <c r="S824" s="31">
        <v>229</v>
      </c>
      <c r="T824" s="31">
        <f>ROUND((4698151.31-120000)/101.5*100,2)</f>
        <v>4510493.9000000004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0</v>
      </c>
      <c r="AA824" s="31">
        <v>0</v>
      </c>
      <c r="AB824" s="31">
        <v>0</v>
      </c>
      <c r="AC824" s="31">
        <f>ROUND((R824+T824)*1.5%,2)</f>
        <v>249147.22</v>
      </c>
      <c r="AD824" s="31">
        <v>0</v>
      </c>
      <c r="AE824" s="31">
        <v>0</v>
      </c>
      <c r="AF824" s="34" t="s">
        <v>271</v>
      </c>
      <c r="AG824" s="34">
        <v>2021</v>
      </c>
      <c r="AH824" s="35">
        <v>2021</v>
      </c>
      <c r="AT824" s="20" t="e">
        <f>VLOOKUP(C824,AW:AX,2,FALSE)</f>
        <v>#N/A</v>
      </c>
      <c r="BZ824" s="71"/>
      <c r="CD824" s="20" t="e">
        <f t="shared" si="166"/>
        <v>#N/A</v>
      </c>
    </row>
    <row r="825" spans="1:82" ht="61.5" x14ac:dyDescent="0.85">
      <c r="A825" s="20">
        <v>1</v>
      </c>
      <c r="B825" s="66">
        <f>SUBTOTAL(103,$A$560:A825)</f>
        <v>261</v>
      </c>
      <c r="C825" s="211" t="s">
        <v>1203</v>
      </c>
      <c r="D825" s="31">
        <f>E825+F825+G825+H825+I825+J825+L825+N825+P825+R825+T825+U825+V825+W825+X825+Y825+Z825+AA825+AB825+AC825+AD825+AE825</f>
        <v>1562740.68</v>
      </c>
      <c r="E825" s="36">
        <v>0</v>
      </c>
      <c r="F825" s="36">
        <v>0</v>
      </c>
      <c r="G825" s="36">
        <v>0</v>
      </c>
      <c r="H825" s="36">
        <v>0</v>
      </c>
      <c r="I825" s="36">
        <v>0</v>
      </c>
      <c r="J825" s="36">
        <v>0</v>
      </c>
      <c r="K825" s="33">
        <v>0</v>
      </c>
      <c r="L825" s="31">
        <v>0</v>
      </c>
      <c r="M825" s="31">
        <v>0</v>
      </c>
      <c r="N825" s="31">
        <v>0</v>
      </c>
      <c r="O825" s="36">
        <v>0</v>
      </c>
      <c r="P825" s="36">
        <v>0</v>
      </c>
      <c r="Q825" s="31">
        <v>0</v>
      </c>
      <c r="R825" s="31">
        <v>0</v>
      </c>
      <c r="S825" s="31">
        <v>136.80000000000001</v>
      </c>
      <c r="T825" s="31">
        <v>1421419.39</v>
      </c>
      <c r="U825" s="31">
        <v>0</v>
      </c>
      <c r="V825" s="31">
        <v>0</v>
      </c>
      <c r="W825" s="31">
        <v>0</v>
      </c>
      <c r="X825" s="31">
        <v>0</v>
      </c>
      <c r="Y825" s="31">
        <v>0</v>
      </c>
      <c r="Z825" s="31">
        <v>0</v>
      </c>
      <c r="AA825" s="31">
        <v>0</v>
      </c>
      <c r="AB825" s="31">
        <v>0</v>
      </c>
      <c r="AC825" s="31">
        <f>ROUND(T825*1.5%,2)</f>
        <v>21321.29</v>
      </c>
      <c r="AD825" s="31">
        <v>0</v>
      </c>
      <c r="AE825" s="31">
        <v>120000</v>
      </c>
      <c r="AF825" s="34" t="s">
        <v>271</v>
      </c>
      <c r="AG825" s="34">
        <v>2021</v>
      </c>
      <c r="AH825" s="35">
        <v>2021</v>
      </c>
      <c r="BZ825" s="71"/>
      <c r="CD825" s="20" t="e">
        <f t="shared" si="166"/>
        <v>#N/A</v>
      </c>
    </row>
    <row r="826" spans="1:82" ht="61.5" x14ac:dyDescent="0.85">
      <c r="B826" s="24" t="s">
        <v>829</v>
      </c>
      <c r="C826" s="24"/>
      <c r="D826" s="31">
        <f t="shared" ref="D826:AE826" si="175">SUM(D827:D831)</f>
        <v>19605520.310000002</v>
      </c>
      <c r="E826" s="31">
        <f t="shared" si="175"/>
        <v>145980.06</v>
      </c>
      <c r="F826" s="31">
        <f t="shared" si="175"/>
        <v>431178.77</v>
      </c>
      <c r="G826" s="31">
        <f t="shared" si="175"/>
        <v>1599107.07</v>
      </c>
      <c r="H826" s="31">
        <f t="shared" si="175"/>
        <v>270735.94</v>
      </c>
      <c r="I826" s="31">
        <f t="shared" si="175"/>
        <v>0</v>
      </c>
      <c r="J826" s="31">
        <f t="shared" si="175"/>
        <v>0</v>
      </c>
      <c r="K826" s="33">
        <f t="shared" si="175"/>
        <v>0</v>
      </c>
      <c r="L826" s="31">
        <f t="shared" si="175"/>
        <v>0</v>
      </c>
      <c r="M826" s="31">
        <f t="shared" si="175"/>
        <v>3367.5</v>
      </c>
      <c r="N826" s="31">
        <f t="shared" si="175"/>
        <v>16297353.139999999</v>
      </c>
      <c r="O826" s="31">
        <f t="shared" si="175"/>
        <v>0</v>
      </c>
      <c r="P826" s="31">
        <f t="shared" si="175"/>
        <v>0</v>
      </c>
      <c r="Q826" s="31">
        <f t="shared" si="175"/>
        <v>0</v>
      </c>
      <c r="R826" s="31">
        <f t="shared" si="175"/>
        <v>0</v>
      </c>
      <c r="S826" s="31">
        <f t="shared" si="175"/>
        <v>0</v>
      </c>
      <c r="T826" s="31">
        <f t="shared" si="175"/>
        <v>0</v>
      </c>
      <c r="U826" s="31">
        <f t="shared" si="175"/>
        <v>0</v>
      </c>
      <c r="V826" s="31">
        <f t="shared" si="175"/>
        <v>0</v>
      </c>
      <c r="W826" s="31">
        <f t="shared" si="175"/>
        <v>0</v>
      </c>
      <c r="X826" s="31">
        <f t="shared" si="175"/>
        <v>0</v>
      </c>
      <c r="Y826" s="31">
        <f t="shared" si="175"/>
        <v>0</v>
      </c>
      <c r="Z826" s="31">
        <f t="shared" si="175"/>
        <v>0</v>
      </c>
      <c r="AA826" s="31">
        <f t="shared" si="175"/>
        <v>0</v>
      </c>
      <c r="AB826" s="31">
        <f t="shared" si="175"/>
        <v>0</v>
      </c>
      <c r="AC826" s="31">
        <f t="shared" si="175"/>
        <v>281165.33</v>
      </c>
      <c r="AD826" s="31">
        <f t="shared" si="175"/>
        <v>580000</v>
      </c>
      <c r="AE826" s="31">
        <f t="shared" si="175"/>
        <v>0</v>
      </c>
      <c r="AF826" s="72" t="s">
        <v>764</v>
      </c>
      <c r="AG826" s="72" t="s">
        <v>764</v>
      </c>
      <c r="AH826" s="87" t="s">
        <v>764</v>
      </c>
      <c r="AT826" s="20" t="e">
        <f>VLOOKUP(C826,AW:AX,2,FALSE)</f>
        <v>#N/A</v>
      </c>
      <c r="BZ826" s="71">
        <v>10075097.600000001</v>
      </c>
      <c r="CD826" s="20" t="e">
        <f t="shared" si="166"/>
        <v>#N/A</v>
      </c>
    </row>
    <row r="827" spans="1:82" ht="61.5" x14ac:dyDescent="0.85">
      <c r="A827" s="20">
        <v>1</v>
      </c>
      <c r="B827" s="66">
        <f>SUBTOTAL(103,$A$560:A827)</f>
        <v>262</v>
      </c>
      <c r="C827" s="24" t="s">
        <v>650</v>
      </c>
      <c r="D827" s="31">
        <f>E827+F827+G827+H827+I827+J827+L827+N827+P827+R827+T827+U827+V827+W827+X827+Y827+Z827+AA827+AB827+AC827+AD827+AE827</f>
        <v>5608010</v>
      </c>
      <c r="E827" s="36">
        <v>0</v>
      </c>
      <c r="F827" s="36">
        <v>0</v>
      </c>
      <c r="G827" s="36">
        <v>0</v>
      </c>
      <c r="H827" s="36">
        <v>0</v>
      </c>
      <c r="I827" s="36">
        <v>0</v>
      </c>
      <c r="J827" s="36">
        <v>0</v>
      </c>
      <c r="K827" s="33">
        <v>0</v>
      </c>
      <c r="L827" s="31">
        <v>0</v>
      </c>
      <c r="M827" s="31">
        <v>1122.5</v>
      </c>
      <c r="N827" s="31">
        <v>5347793.0999999996</v>
      </c>
      <c r="O827" s="31">
        <v>0</v>
      </c>
      <c r="P827" s="31">
        <v>0</v>
      </c>
      <c r="Q827" s="31">
        <v>0</v>
      </c>
      <c r="R827" s="31">
        <v>0</v>
      </c>
      <c r="S827" s="31">
        <v>0</v>
      </c>
      <c r="T827" s="31">
        <v>0</v>
      </c>
      <c r="U827" s="31">
        <v>0</v>
      </c>
      <c r="V827" s="31">
        <v>0</v>
      </c>
      <c r="W827" s="31">
        <v>0</v>
      </c>
      <c r="X827" s="31">
        <v>0</v>
      </c>
      <c r="Y827" s="31">
        <v>0</v>
      </c>
      <c r="Z827" s="31">
        <v>0</v>
      </c>
      <c r="AA827" s="31">
        <v>0</v>
      </c>
      <c r="AB827" s="31">
        <v>0</v>
      </c>
      <c r="AC827" s="31">
        <f>ROUND(N827*1.5%,2)</f>
        <v>80216.899999999994</v>
      </c>
      <c r="AD827" s="31">
        <v>180000</v>
      </c>
      <c r="AE827" s="31">
        <v>0</v>
      </c>
      <c r="AF827" s="34">
        <v>2021</v>
      </c>
      <c r="AG827" s="34">
        <v>2021</v>
      </c>
      <c r="AH827" s="35">
        <v>2021</v>
      </c>
      <c r="AT827" s="20" t="e">
        <f>VLOOKUP(C827,AW:AX,2,FALSE)</f>
        <v>#N/A</v>
      </c>
      <c r="BZ827" s="71"/>
      <c r="CD827" s="20" t="e">
        <f t="shared" si="166"/>
        <v>#N/A</v>
      </c>
    </row>
    <row r="828" spans="1:82" ht="61.5" x14ac:dyDescent="0.85">
      <c r="A828" s="20">
        <v>1</v>
      </c>
      <c r="B828" s="66">
        <f>SUBTOTAL(103,$A$560:A828)</f>
        <v>263</v>
      </c>
      <c r="C828" s="24" t="s">
        <v>647</v>
      </c>
      <c r="D828" s="31">
        <f>E828+F828+G828+H828+I828+J828+L828+N828+P828+R828+T828+U828+V828+W828+X828+Y828+Z828+AA828+AB828+AC828+AD828+AE828</f>
        <v>4467087.6000000006</v>
      </c>
      <c r="E828" s="36">
        <v>0</v>
      </c>
      <c r="F828" s="36">
        <v>0</v>
      </c>
      <c r="G828" s="36">
        <v>0</v>
      </c>
      <c r="H828" s="36">
        <v>0</v>
      </c>
      <c r="I828" s="36">
        <v>0</v>
      </c>
      <c r="J828" s="36">
        <v>0</v>
      </c>
      <c r="K828" s="33">
        <v>0</v>
      </c>
      <c r="L828" s="31">
        <v>0</v>
      </c>
      <c r="M828" s="31">
        <v>855.6</v>
      </c>
      <c r="N828" s="31">
        <v>4253288.28</v>
      </c>
      <c r="O828" s="31">
        <v>0</v>
      </c>
      <c r="P828" s="31">
        <v>0</v>
      </c>
      <c r="Q828" s="31">
        <v>0</v>
      </c>
      <c r="R828" s="31">
        <v>0</v>
      </c>
      <c r="S828" s="31">
        <v>0</v>
      </c>
      <c r="T828" s="31">
        <v>0</v>
      </c>
      <c r="U828" s="31">
        <v>0</v>
      </c>
      <c r="V828" s="31">
        <v>0</v>
      </c>
      <c r="W828" s="31">
        <v>0</v>
      </c>
      <c r="X828" s="31">
        <v>0</v>
      </c>
      <c r="Y828" s="31">
        <v>0</v>
      </c>
      <c r="Z828" s="31">
        <v>0</v>
      </c>
      <c r="AA828" s="31">
        <v>0</v>
      </c>
      <c r="AB828" s="31">
        <v>0</v>
      </c>
      <c r="AC828" s="31">
        <f>ROUND(N828*1.5%,2)</f>
        <v>63799.32</v>
      </c>
      <c r="AD828" s="31">
        <v>150000</v>
      </c>
      <c r="AE828" s="31">
        <v>0</v>
      </c>
      <c r="AF828" s="34">
        <v>2021</v>
      </c>
      <c r="AG828" s="34">
        <v>2021</v>
      </c>
      <c r="AH828" s="35">
        <v>2021</v>
      </c>
      <c r="AT828" s="20" t="e">
        <f>VLOOKUP(C828,AW:AX,2,FALSE)</f>
        <v>#N/A</v>
      </c>
      <c r="BZ828" s="71"/>
      <c r="CD828" s="20" t="e">
        <f t="shared" si="166"/>
        <v>#N/A</v>
      </c>
    </row>
    <row r="829" spans="1:82" ht="61.5" x14ac:dyDescent="0.85">
      <c r="A829" s="20">
        <v>1</v>
      </c>
      <c r="B829" s="66">
        <f>SUBTOTAL(103,$A$560:A829)</f>
        <v>264</v>
      </c>
      <c r="C829" s="211" t="s">
        <v>1210</v>
      </c>
      <c r="D829" s="31">
        <f>E829+F829+G829+H829+I829+J829+L829+N829+P829+R829+T829+U829+V829+W829+X829+Y829+Z829+AA829+AB829+AC829+AD829+AE829</f>
        <v>2483706.87</v>
      </c>
      <c r="E829" s="36">
        <v>145980.06</v>
      </c>
      <c r="F829" s="36">
        <v>431178.77</v>
      </c>
      <c r="G829" s="36">
        <v>1599107.07</v>
      </c>
      <c r="H829" s="36">
        <v>270735.94</v>
      </c>
      <c r="I829" s="36">
        <v>0</v>
      </c>
      <c r="J829" s="36">
        <v>0</v>
      </c>
      <c r="K829" s="33">
        <v>0</v>
      </c>
      <c r="L829" s="31">
        <v>0</v>
      </c>
      <c r="M829" s="31">
        <v>0</v>
      </c>
      <c r="N829" s="31">
        <v>0</v>
      </c>
      <c r="O829" s="36">
        <v>0</v>
      </c>
      <c r="P829" s="36">
        <v>0</v>
      </c>
      <c r="Q829" s="31">
        <v>0</v>
      </c>
      <c r="R829" s="31">
        <v>0</v>
      </c>
      <c r="S829" s="31">
        <v>0</v>
      </c>
      <c r="T829" s="31">
        <v>0</v>
      </c>
      <c r="U829" s="31">
        <v>0</v>
      </c>
      <c r="V829" s="31">
        <v>0</v>
      </c>
      <c r="W829" s="31">
        <v>0</v>
      </c>
      <c r="X829" s="31">
        <v>0</v>
      </c>
      <c r="Y829" s="31">
        <v>0</v>
      </c>
      <c r="Z829" s="31">
        <v>0</v>
      </c>
      <c r="AA829" s="31">
        <v>0</v>
      </c>
      <c r="AB829" s="31">
        <v>0</v>
      </c>
      <c r="AC829" s="31">
        <f>ROUND((E829+F829+G829+H829+I829+J829)*1.5%,2)</f>
        <v>36705.03</v>
      </c>
      <c r="AD829" s="31">
        <v>0</v>
      </c>
      <c r="AE829" s="31">
        <v>0</v>
      </c>
      <c r="AF829" s="34" t="s">
        <v>271</v>
      </c>
      <c r="AG829" s="34">
        <v>2021</v>
      </c>
      <c r="AH829" s="35">
        <v>2021</v>
      </c>
      <c r="BZ829" s="71"/>
      <c r="CD829" s="20" t="e">
        <f t="shared" si="166"/>
        <v>#N/A</v>
      </c>
    </row>
    <row r="830" spans="1:82" ht="61.5" x14ac:dyDescent="0.85">
      <c r="A830" s="20">
        <v>1</v>
      </c>
      <c r="B830" s="66">
        <f>SUBTOTAL(103,$A$560:A830)</f>
        <v>265</v>
      </c>
      <c r="C830" s="212" t="s">
        <v>1935</v>
      </c>
      <c r="D830" s="31">
        <f>E830+F830+G830+H830+I830+J830+L830+N830+P830+R830+T830+U830+V830+W830+X830+Y830+Z830+AA830+AB830+AC830+AD830+AE830</f>
        <v>2819900</v>
      </c>
      <c r="E830" s="38">
        <v>0</v>
      </c>
      <c r="F830" s="38">
        <v>0</v>
      </c>
      <c r="G830" s="38">
        <v>0</v>
      </c>
      <c r="H830" s="38">
        <v>0</v>
      </c>
      <c r="I830" s="38">
        <v>0</v>
      </c>
      <c r="J830" s="38">
        <v>0</v>
      </c>
      <c r="K830" s="85">
        <v>0</v>
      </c>
      <c r="L830" s="38">
        <v>0</v>
      </c>
      <c r="M830" s="31">
        <v>532</v>
      </c>
      <c r="N830" s="31">
        <f>M830*5000</f>
        <v>2660000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0</v>
      </c>
      <c r="AA830" s="31">
        <v>0</v>
      </c>
      <c r="AB830" s="31">
        <v>0</v>
      </c>
      <c r="AC830" s="31">
        <f>ROUND(N830*1.5%,2)</f>
        <v>39900</v>
      </c>
      <c r="AD830" s="31">
        <v>120000</v>
      </c>
      <c r="AE830" s="31">
        <v>0</v>
      </c>
      <c r="AF830" s="34">
        <v>2021</v>
      </c>
      <c r="AG830" s="34">
        <v>2021</v>
      </c>
      <c r="AH830" s="35">
        <v>2021</v>
      </c>
      <c r="AT830" s="20" t="e">
        <f>VLOOKUP(C830,AW:AX,2,FALSE)</f>
        <v>#N/A</v>
      </c>
      <c r="BZ830" s="71"/>
    </row>
    <row r="831" spans="1:82" ht="61.5" x14ac:dyDescent="0.85">
      <c r="A831" s="20">
        <v>1</v>
      </c>
      <c r="B831" s="66">
        <f>SUBTOTAL(103,$A$560:A831)</f>
        <v>266</v>
      </c>
      <c r="C831" s="212" t="s">
        <v>1108</v>
      </c>
      <c r="D831" s="31">
        <f>E831+F831+G831+H831+I831+J831+L831+N831+P831+R831+T831+U831+V831+W831+X831+Y831+Z831+AA831+AB831+AC831+AD831+AE831</f>
        <v>4226815.84</v>
      </c>
      <c r="E831" s="38">
        <v>0</v>
      </c>
      <c r="F831" s="38">
        <v>0</v>
      </c>
      <c r="G831" s="38">
        <v>0</v>
      </c>
      <c r="H831" s="38">
        <v>0</v>
      </c>
      <c r="I831" s="38">
        <v>0</v>
      </c>
      <c r="J831" s="38">
        <v>0</v>
      </c>
      <c r="K831" s="85">
        <v>0</v>
      </c>
      <c r="L831" s="38">
        <v>0</v>
      </c>
      <c r="M831" s="31">
        <v>857.4</v>
      </c>
      <c r="N831" s="31">
        <v>4036271.76</v>
      </c>
      <c r="O831" s="31">
        <v>0</v>
      </c>
      <c r="P831" s="31">
        <v>0</v>
      </c>
      <c r="Q831" s="31">
        <v>0</v>
      </c>
      <c r="R831" s="31">
        <v>0</v>
      </c>
      <c r="S831" s="31">
        <v>0</v>
      </c>
      <c r="T831" s="31">
        <v>0</v>
      </c>
      <c r="U831" s="31">
        <v>0</v>
      </c>
      <c r="V831" s="31">
        <v>0</v>
      </c>
      <c r="W831" s="31">
        <v>0</v>
      </c>
      <c r="X831" s="31">
        <v>0</v>
      </c>
      <c r="Y831" s="31">
        <v>0</v>
      </c>
      <c r="Z831" s="31">
        <v>0</v>
      </c>
      <c r="AA831" s="31">
        <v>0</v>
      </c>
      <c r="AB831" s="31">
        <v>0</v>
      </c>
      <c r="AC831" s="31">
        <f>ROUND(N831*1.5%,2)</f>
        <v>60544.08</v>
      </c>
      <c r="AD831" s="31">
        <v>130000</v>
      </c>
      <c r="AE831" s="31">
        <v>0</v>
      </c>
      <c r="AF831" s="34">
        <v>2021</v>
      </c>
      <c r="AG831" s="34">
        <v>2021</v>
      </c>
      <c r="AH831" s="35">
        <v>2021</v>
      </c>
      <c r="BZ831" s="71"/>
    </row>
    <row r="832" spans="1:82" ht="61.5" x14ac:dyDescent="0.85">
      <c r="B832" s="24" t="s">
        <v>830</v>
      </c>
      <c r="C832" s="24"/>
      <c r="D832" s="31">
        <f t="shared" ref="D832:AE832" si="176">SUM(D833:D836)</f>
        <v>13069363.829999998</v>
      </c>
      <c r="E832" s="31">
        <f t="shared" si="176"/>
        <v>0</v>
      </c>
      <c r="F832" s="31">
        <f t="shared" si="176"/>
        <v>0</v>
      </c>
      <c r="G832" s="31">
        <f t="shared" si="176"/>
        <v>0</v>
      </c>
      <c r="H832" s="31">
        <f t="shared" si="176"/>
        <v>0</v>
      </c>
      <c r="I832" s="31">
        <f t="shared" si="176"/>
        <v>0</v>
      </c>
      <c r="J832" s="31">
        <f t="shared" si="176"/>
        <v>0</v>
      </c>
      <c r="K832" s="33">
        <f t="shared" si="176"/>
        <v>0</v>
      </c>
      <c r="L832" s="31">
        <f t="shared" si="176"/>
        <v>0</v>
      </c>
      <c r="M832" s="31">
        <f t="shared" si="176"/>
        <v>2503.23</v>
      </c>
      <c r="N832" s="31">
        <f t="shared" si="176"/>
        <v>12314644.17</v>
      </c>
      <c r="O832" s="31">
        <f t="shared" si="176"/>
        <v>0</v>
      </c>
      <c r="P832" s="31">
        <f t="shared" si="176"/>
        <v>0</v>
      </c>
      <c r="Q832" s="31">
        <f t="shared" si="176"/>
        <v>0</v>
      </c>
      <c r="R832" s="31">
        <f t="shared" si="176"/>
        <v>0</v>
      </c>
      <c r="S832" s="31">
        <f t="shared" si="176"/>
        <v>0</v>
      </c>
      <c r="T832" s="31">
        <f t="shared" si="176"/>
        <v>0</v>
      </c>
      <c r="U832" s="31">
        <f t="shared" si="176"/>
        <v>0</v>
      </c>
      <c r="V832" s="31">
        <f t="shared" si="176"/>
        <v>0</v>
      </c>
      <c r="W832" s="31">
        <f t="shared" si="176"/>
        <v>0</v>
      </c>
      <c r="X832" s="31">
        <f t="shared" si="176"/>
        <v>0</v>
      </c>
      <c r="Y832" s="31">
        <f t="shared" si="176"/>
        <v>0</v>
      </c>
      <c r="Z832" s="31">
        <f t="shared" si="176"/>
        <v>0</v>
      </c>
      <c r="AA832" s="31">
        <f t="shared" si="176"/>
        <v>0</v>
      </c>
      <c r="AB832" s="31">
        <f t="shared" si="176"/>
        <v>0</v>
      </c>
      <c r="AC832" s="31">
        <f t="shared" si="176"/>
        <v>184719.65999999997</v>
      </c>
      <c r="AD832" s="31">
        <f t="shared" si="176"/>
        <v>570000</v>
      </c>
      <c r="AE832" s="31">
        <f t="shared" si="176"/>
        <v>0</v>
      </c>
      <c r="AF832" s="72" t="s">
        <v>764</v>
      </c>
      <c r="AG832" s="72" t="s">
        <v>764</v>
      </c>
      <c r="AH832" s="87" t="s">
        <v>764</v>
      </c>
      <c r="AT832" s="20" t="e">
        <f t="shared" ref="AT832:AT856" si="177">VLOOKUP(C832,AW:AX,2,FALSE)</f>
        <v>#N/A</v>
      </c>
      <c r="BZ832" s="71">
        <v>13069363.829999998</v>
      </c>
      <c r="CD832" s="20" t="e">
        <f t="shared" ref="CD832:CD863" si="178">VLOOKUP(C832,CE:CF,2,FALSE)</f>
        <v>#N/A</v>
      </c>
    </row>
    <row r="833" spans="1:82" ht="61.5" x14ac:dyDescent="0.85">
      <c r="A833" s="20">
        <v>1</v>
      </c>
      <c r="B833" s="66">
        <f>SUBTOTAL(103,$A$560:A833)</f>
        <v>267</v>
      </c>
      <c r="C833" s="24" t="s">
        <v>655</v>
      </c>
      <c r="D833" s="31">
        <f>E833+F833+G833+H833+I833+J833+L833+N833+P833+R833+T833+U833+V833+W833+X833+Y833+Z833+AA833+AB833+AC833+AD833+AE833</f>
        <v>1801245</v>
      </c>
      <c r="E833" s="36">
        <v>0</v>
      </c>
      <c r="F833" s="36">
        <v>0</v>
      </c>
      <c r="G833" s="36">
        <v>0</v>
      </c>
      <c r="H833" s="36">
        <v>0</v>
      </c>
      <c r="I833" s="36">
        <v>0</v>
      </c>
      <c r="J833" s="36">
        <v>0</v>
      </c>
      <c r="K833" s="33">
        <v>0</v>
      </c>
      <c r="L833" s="31">
        <v>0</v>
      </c>
      <c r="M833" s="31">
        <v>345</v>
      </c>
      <c r="N833" s="31">
        <v>1656399.01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1">
        <v>0</v>
      </c>
      <c r="X833" s="31">
        <v>0</v>
      </c>
      <c r="Y833" s="31">
        <v>0</v>
      </c>
      <c r="Z833" s="31">
        <v>0</v>
      </c>
      <c r="AA833" s="31">
        <v>0</v>
      </c>
      <c r="AB833" s="31">
        <v>0</v>
      </c>
      <c r="AC833" s="31">
        <f>ROUND(N833*1.5%,2)</f>
        <v>24845.99</v>
      </c>
      <c r="AD833" s="31">
        <v>120000</v>
      </c>
      <c r="AE833" s="31">
        <v>0</v>
      </c>
      <c r="AF833" s="34">
        <v>2021</v>
      </c>
      <c r="AG833" s="34">
        <v>2021</v>
      </c>
      <c r="AH833" s="35">
        <v>2021</v>
      </c>
      <c r="AT833" s="20" t="e">
        <f t="shared" si="177"/>
        <v>#N/A</v>
      </c>
      <c r="BZ833" s="71"/>
      <c r="CD833" s="20" t="e">
        <f t="shared" si="178"/>
        <v>#N/A</v>
      </c>
    </row>
    <row r="834" spans="1:82" ht="61.5" x14ac:dyDescent="0.85">
      <c r="A834" s="20">
        <v>1</v>
      </c>
      <c r="B834" s="66">
        <f>SUBTOTAL(103,$A$560:A834)</f>
        <v>268</v>
      </c>
      <c r="C834" s="24" t="s">
        <v>656</v>
      </c>
      <c r="D834" s="31">
        <f>E834+F834+G834+H834+I834+J834+L834+N834+P834+R834+T834+U834+V834+W834+X834+Y834+Z834+AA834+AB834+AC834+AD834+AE834</f>
        <v>4223945.63</v>
      </c>
      <c r="E834" s="36">
        <v>0</v>
      </c>
      <c r="F834" s="36">
        <v>0</v>
      </c>
      <c r="G834" s="36">
        <v>0</v>
      </c>
      <c r="H834" s="36">
        <v>0</v>
      </c>
      <c r="I834" s="36">
        <v>0</v>
      </c>
      <c r="J834" s="36">
        <v>0</v>
      </c>
      <c r="K834" s="33">
        <v>0</v>
      </c>
      <c r="L834" s="31">
        <v>0</v>
      </c>
      <c r="M834" s="31">
        <v>809.03</v>
      </c>
      <c r="N834" s="31">
        <v>4013739.54</v>
      </c>
      <c r="O834" s="31">
        <v>0</v>
      </c>
      <c r="P834" s="31">
        <v>0</v>
      </c>
      <c r="Q834" s="31">
        <v>0</v>
      </c>
      <c r="R834" s="31">
        <v>0</v>
      </c>
      <c r="S834" s="31">
        <v>0</v>
      </c>
      <c r="T834" s="31">
        <v>0</v>
      </c>
      <c r="U834" s="31">
        <v>0</v>
      </c>
      <c r="V834" s="31">
        <v>0</v>
      </c>
      <c r="W834" s="31">
        <v>0</v>
      </c>
      <c r="X834" s="31">
        <v>0</v>
      </c>
      <c r="Y834" s="31">
        <v>0</v>
      </c>
      <c r="Z834" s="31">
        <v>0</v>
      </c>
      <c r="AA834" s="31">
        <v>0</v>
      </c>
      <c r="AB834" s="31">
        <v>0</v>
      </c>
      <c r="AC834" s="31">
        <f>ROUND(N834*1.5%,2)</f>
        <v>60206.09</v>
      </c>
      <c r="AD834" s="31">
        <v>150000</v>
      </c>
      <c r="AE834" s="31">
        <v>0</v>
      </c>
      <c r="AF834" s="34">
        <v>2021</v>
      </c>
      <c r="AG834" s="34">
        <v>2021</v>
      </c>
      <c r="AH834" s="35">
        <v>2021</v>
      </c>
      <c r="AT834" s="20" t="e">
        <f t="shared" si="177"/>
        <v>#N/A</v>
      </c>
      <c r="BZ834" s="71"/>
      <c r="CD834" s="20" t="e">
        <f t="shared" si="178"/>
        <v>#N/A</v>
      </c>
    </row>
    <row r="835" spans="1:82" ht="61.5" x14ac:dyDescent="0.85">
      <c r="A835" s="20">
        <v>1</v>
      </c>
      <c r="B835" s="66">
        <f>SUBTOTAL(103,$A$560:A835)</f>
        <v>269</v>
      </c>
      <c r="C835" s="24" t="s">
        <v>657</v>
      </c>
      <c r="D835" s="31">
        <f>E835+F835+G835+H835+I835+J835+L835+N835+P835+R835+T835+U835+V835+W835+X835+Y835+Z835+AA835+AB835+AC835+AD835+AE835</f>
        <v>3905308</v>
      </c>
      <c r="E835" s="36">
        <v>0</v>
      </c>
      <c r="F835" s="36">
        <v>0</v>
      </c>
      <c r="G835" s="36">
        <v>0</v>
      </c>
      <c r="H835" s="36">
        <v>0</v>
      </c>
      <c r="I835" s="36">
        <v>0</v>
      </c>
      <c r="J835" s="36">
        <v>0</v>
      </c>
      <c r="K835" s="33">
        <v>0</v>
      </c>
      <c r="L835" s="31">
        <v>0</v>
      </c>
      <c r="M835" s="31">
        <v>748</v>
      </c>
      <c r="N835" s="31">
        <v>3699810.84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0</v>
      </c>
      <c r="AC835" s="31">
        <f>ROUND(N835*1.5%,2)</f>
        <v>55497.16</v>
      </c>
      <c r="AD835" s="31">
        <v>150000</v>
      </c>
      <c r="AE835" s="31">
        <v>0</v>
      </c>
      <c r="AF835" s="34">
        <v>2021</v>
      </c>
      <c r="AG835" s="34">
        <v>2021</v>
      </c>
      <c r="AH835" s="35">
        <v>2021</v>
      </c>
      <c r="AT835" s="20" t="e">
        <f t="shared" si="177"/>
        <v>#N/A</v>
      </c>
      <c r="BZ835" s="71"/>
      <c r="CD835" s="20" t="e">
        <f t="shared" si="178"/>
        <v>#N/A</v>
      </c>
    </row>
    <row r="836" spans="1:82" ht="61.5" x14ac:dyDescent="0.85">
      <c r="A836" s="20">
        <v>1</v>
      </c>
      <c r="B836" s="66">
        <f>SUBTOTAL(103,$A$560:A836)</f>
        <v>270</v>
      </c>
      <c r="C836" s="24" t="s">
        <v>654</v>
      </c>
      <c r="D836" s="31">
        <f>E836+F836+G836+H836+I836+J836+L836+N836+P836+R836+T836+U836+V836+W836+X836+Y836+Z836+AA836+AB836+AC836+AD836+AE836</f>
        <v>3138865.1999999997</v>
      </c>
      <c r="E836" s="36">
        <v>0</v>
      </c>
      <c r="F836" s="36">
        <v>0</v>
      </c>
      <c r="G836" s="36">
        <v>0</v>
      </c>
      <c r="H836" s="36">
        <v>0</v>
      </c>
      <c r="I836" s="36">
        <v>0</v>
      </c>
      <c r="J836" s="36">
        <v>0</v>
      </c>
      <c r="K836" s="33">
        <v>0</v>
      </c>
      <c r="L836" s="31">
        <v>0</v>
      </c>
      <c r="M836" s="31">
        <v>601.20000000000005</v>
      </c>
      <c r="N836" s="31">
        <v>2944694.78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  <c r="V836" s="31">
        <v>0</v>
      </c>
      <c r="W836" s="31">
        <v>0</v>
      </c>
      <c r="X836" s="31">
        <v>0</v>
      </c>
      <c r="Y836" s="31">
        <v>0</v>
      </c>
      <c r="Z836" s="31">
        <v>0</v>
      </c>
      <c r="AA836" s="31">
        <v>0</v>
      </c>
      <c r="AB836" s="31">
        <v>0</v>
      </c>
      <c r="AC836" s="31">
        <f>ROUND(N836*1.5%,2)</f>
        <v>44170.42</v>
      </c>
      <c r="AD836" s="31">
        <v>150000</v>
      </c>
      <c r="AE836" s="31">
        <v>0</v>
      </c>
      <c r="AF836" s="34">
        <v>2021</v>
      </c>
      <c r="AG836" s="34">
        <v>2021</v>
      </c>
      <c r="AH836" s="35">
        <v>2021</v>
      </c>
      <c r="AT836" s="20" t="e">
        <f t="shared" si="177"/>
        <v>#N/A</v>
      </c>
      <c r="BZ836" s="71"/>
      <c r="CD836" s="20" t="e">
        <f t="shared" si="178"/>
        <v>#N/A</v>
      </c>
    </row>
    <row r="837" spans="1:82" ht="61.5" x14ac:dyDescent="0.85">
      <c r="B837" s="24" t="s">
        <v>831</v>
      </c>
      <c r="C837" s="24"/>
      <c r="D837" s="31">
        <f>SUM(D838:D840)</f>
        <v>12458692.33</v>
      </c>
      <c r="E837" s="31">
        <f t="shared" ref="E837:AE837" si="179">SUM(E838:E840)</f>
        <v>126532.34</v>
      </c>
      <c r="F837" s="31">
        <f t="shared" si="179"/>
        <v>0</v>
      </c>
      <c r="G837" s="31">
        <f t="shared" si="179"/>
        <v>1835434.08</v>
      </c>
      <c r="H837" s="31">
        <f t="shared" si="179"/>
        <v>207872.75</v>
      </c>
      <c r="I837" s="31">
        <f t="shared" si="179"/>
        <v>1044754.25</v>
      </c>
      <c r="J837" s="31">
        <f t="shared" si="179"/>
        <v>0</v>
      </c>
      <c r="K837" s="33">
        <f t="shared" si="179"/>
        <v>0</v>
      </c>
      <c r="L837" s="31">
        <f t="shared" si="179"/>
        <v>0</v>
      </c>
      <c r="M837" s="31">
        <f t="shared" si="179"/>
        <v>1780</v>
      </c>
      <c r="N837" s="31">
        <f t="shared" si="179"/>
        <v>8587073.9000000004</v>
      </c>
      <c r="O837" s="31">
        <f t="shared" si="179"/>
        <v>0</v>
      </c>
      <c r="P837" s="31">
        <f t="shared" si="179"/>
        <v>0</v>
      </c>
      <c r="Q837" s="31">
        <f t="shared" si="179"/>
        <v>0</v>
      </c>
      <c r="R837" s="31">
        <f t="shared" si="179"/>
        <v>0</v>
      </c>
      <c r="S837" s="31">
        <f t="shared" si="179"/>
        <v>0</v>
      </c>
      <c r="T837" s="31">
        <f t="shared" si="179"/>
        <v>0</v>
      </c>
      <c r="U837" s="31">
        <f t="shared" si="179"/>
        <v>0</v>
      </c>
      <c r="V837" s="31">
        <f t="shared" si="179"/>
        <v>0</v>
      </c>
      <c r="W837" s="31">
        <f t="shared" si="179"/>
        <v>0</v>
      </c>
      <c r="X837" s="31">
        <f t="shared" si="179"/>
        <v>0</v>
      </c>
      <c r="Y837" s="31">
        <f t="shared" si="179"/>
        <v>0</v>
      </c>
      <c r="Z837" s="31">
        <f t="shared" si="179"/>
        <v>0</v>
      </c>
      <c r="AA837" s="31">
        <f t="shared" si="179"/>
        <v>0</v>
      </c>
      <c r="AB837" s="31">
        <f t="shared" si="179"/>
        <v>0</v>
      </c>
      <c r="AC837" s="31">
        <f t="shared" si="179"/>
        <v>177025.01</v>
      </c>
      <c r="AD837" s="31">
        <f t="shared" si="179"/>
        <v>480000</v>
      </c>
      <c r="AE837" s="31">
        <f t="shared" si="179"/>
        <v>0</v>
      </c>
      <c r="AF837" s="72" t="s">
        <v>764</v>
      </c>
      <c r="AG837" s="72" t="s">
        <v>764</v>
      </c>
      <c r="AH837" s="87" t="s">
        <v>764</v>
      </c>
      <c r="AT837" s="20" t="e">
        <f t="shared" si="177"/>
        <v>#N/A</v>
      </c>
      <c r="BZ837" s="71">
        <v>9045880.0099999998</v>
      </c>
      <c r="CD837" s="20" t="e">
        <f t="shared" si="178"/>
        <v>#N/A</v>
      </c>
    </row>
    <row r="838" spans="1:82" ht="61.5" x14ac:dyDescent="0.85">
      <c r="A838" s="20">
        <v>1</v>
      </c>
      <c r="B838" s="66">
        <f>SUBTOTAL(103,$A$560:A838)</f>
        <v>271</v>
      </c>
      <c r="C838" s="24" t="s">
        <v>662</v>
      </c>
      <c r="D838" s="31">
        <f>E838+F838+G838+H838+I838+J838+L838+N838+P838+R838+T838+U838+V838+W838+X838+Y838+Z838+AA838+AB838+AC838+AD838+AE838</f>
        <v>3550280</v>
      </c>
      <c r="E838" s="36">
        <v>0</v>
      </c>
      <c r="F838" s="36">
        <v>0</v>
      </c>
      <c r="G838" s="36">
        <v>0</v>
      </c>
      <c r="H838" s="36">
        <v>0</v>
      </c>
      <c r="I838" s="36">
        <v>0</v>
      </c>
      <c r="J838" s="36">
        <v>0</v>
      </c>
      <c r="K838" s="33">
        <v>0</v>
      </c>
      <c r="L838" s="31">
        <v>0</v>
      </c>
      <c r="M838" s="31">
        <v>680</v>
      </c>
      <c r="N838" s="31">
        <v>3350029.56</v>
      </c>
      <c r="O838" s="31">
        <v>0</v>
      </c>
      <c r="P838" s="31">
        <v>0</v>
      </c>
      <c r="Q838" s="31">
        <v>0</v>
      </c>
      <c r="R838" s="31">
        <v>0</v>
      </c>
      <c r="S838" s="31">
        <v>0</v>
      </c>
      <c r="T838" s="31">
        <v>0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31">
        <v>0</v>
      </c>
      <c r="AC838" s="31">
        <f>ROUND(N838*1.5%,2)</f>
        <v>50250.44</v>
      </c>
      <c r="AD838" s="31">
        <v>150000</v>
      </c>
      <c r="AE838" s="31">
        <v>0</v>
      </c>
      <c r="AF838" s="34">
        <v>2021</v>
      </c>
      <c r="AG838" s="34">
        <v>2021</v>
      </c>
      <c r="AH838" s="35">
        <v>2021</v>
      </c>
      <c r="AT838" s="20" t="e">
        <f t="shared" si="177"/>
        <v>#N/A</v>
      </c>
      <c r="BZ838" s="71"/>
      <c r="CD838" s="20" t="e">
        <f t="shared" si="178"/>
        <v>#N/A</v>
      </c>
    </row>
    <row r="839" spans="1:82" ht="61.5" x14ac:dyDescent="0.85">
      <c r="A839" s="20">
        <v>1</v>
      </c>
      <c r="B839" s="66">
        <f>SUBTOTAL(103,$A$560:A839)</f>
        <v>272</v>
      </c>
      <c r="C839" s="24" t="s">
        <v>665</v>
      </c>
      <c r="D839" s="31">
        <f>E839+F839+G839+H839+I839+J839+L839+N839+P839+R839+T839+U839+V839+W839+X839+Y839+Z839+AA839+AB839+AC839+AD839+AE839</f>
        <v>5495600.0099999998</v>
      </c>
      <c r="E839" s="38">
        <v>0</v>
      </c>
      <c r="F839" s="38">
        <v>0</v>
      </c>
      <c r="G839" s="38">
        <v>0</v>
      </c>
      <c r="H839" s="38">
        <v>0</v>
      </c>
      <c r="I839" s="38">
        <v>0</v>
      </c>
      <c r="J839" s="38">
        <v>0</v>
      </c>
      <c r="K839" s="85">
        <v>0</v>
      </c>
      <c r="L839" s="38">
        <v>0</v>
      </c>
      <c r="M839" s="31">
        <v>1100</v>
      </c>
      <c r="N839" s="31">
        <v>5237044.34</v>
      </c>
      <c r="O839" s="31">
        <v>0</v>
      </c>
      <c r="P839" s="31">
        <v>0</v>
      </c>
      <c r="Q839" s="31">
        <v>0</v>
      </c>
      <c r="R839" s="31">
        <v>0</v>
      </c>
      <c r="S839" s="31">
        <v>0</v>
      </c>
      <c r="T839" s="31">
        <v>0</v>
      </c>
      <c r="U839" s="31">
        <v>0</v>
      </c>
      <c r="V839" s="31">
        <v>0</v>
      </c>
      <c r="W839" s="31">
        <v>0</v>
      </c>
      <c r="X839" s="31">
        <v>0</v>
      </c>
      <c r="Y839" s="31">
        <v>0</v>
      </c>
      <c r="Z839" s="31">
        <v>0</v>
      </c>
      <c r="AA839" s="31">
        <v>0</v>
      </c>
      <c r="AB839" s="31">
        <v>0</v>
      </c>
      <c r="AC839" s="31">
        <f>ROUND(N839*1.5%,2)</f>
        <v>78555.67</v>
      </c>
      <c r="AD839" s="31">
        <v>180000</v>
      </c>
      <c r="AE839" s="31">
        <v>0</v>
      </c>
      <c r="AF839" s="34">
        <v>2021</v>
      </c>
      <c r="AG839" s="34">
        <v>2021</v>
      </c>
      <c r="AH839" s="35">
        <v>2021</v>
      </c>
      <c r="AT839" s="20" t="e">
        <f t="shared" si="177"/>
        <v>#N/A</v>
      </c>
      <c r="BZ839" s="71"/>
      <c r="CD839" s="20" t="e">
        <f t="shared" si="178"/>
        <v>#N/A</v>
      </c>
    </row>
    <row r="840" spans="1:82" ht="61.5" x14ac:dyDescent="0.85">
      <c r="A840" s="20">
        <v>1</v>
      </c>
      <c r="B840" s="66">
        <f>SUBTOTAL(103,$A$560:A840)</f>
        <v>273</v>
      </c>
      <c r="C840" s="212" t="s">
        <v>1940</v>
      </c>
      <c r="D840" s="31">
        <f>E840+F840+G840+H840+I840+J840+L840+N840+P840+R840+T840+U840+V840+W840+X840+Y840+Z840+AA840+AB840+AC840+AD840+AE840</f>
        <v>3412812.32</v>
      </c>
      <c r="E840" s="38">
        <v>126532.34</v>
      </c>
      <c r="F840" s="38">
        <v>0</v>
      </c>
      <c r="G840" s="38">
        <f>2070237.87-234803.79</f>
        <v>1835434.08</v>
      </c>
      <c r="H840" s="38">
        <v>207872.75</v>
      </c>
      <c r="I840" s="38">
        <v>1044754.25</v>
      </c>
      <c r="J840" s="38">
        <v>0</v>
      </c>
      <c r="K840" s="85">
        <v>0</v>
      </c>
      <c r="L840" s="38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31">
        <v>0</v>
      </c>
      <c r="AC840" s="31">
        <f>ROUND((E840+G840+H840+I840)*1.5%,2)</f>
        <v>48218.9</v>
      </c>
      <c r="AD840" s="31">
        <v>150000</v>
      </c>
      <c r="AE840" s="31">
        <v>0</v>
      </c>
      <c r="AF840" s="34">
        <v>2021</v>
      </c>
      <c r="AG840" s="34">
        <v>2021</v>
      </c>
      <c r="AH840" s="35">
        <v>2021</v>
      </c>
      <c r="AT840" s="20" t="e">
        <f t="shared" si="177"/>
        <v>#N/A</v>
      </c>
      <c r="BZ840" s="71"/>
      <c r="CD840" s="20" t="e">
        <f t="shared" si="178"/>
        <v>#N/A</v>
      </c>
    </row>
    <row r="841" spans="1:82" ht="61.5" x14ac:dyDescent="0.85">
      <c r="B841" s="24" t="s">
        <v>832</v>
      </c>
      <c r="C841" s="114"/>
      <c r="D841" s="31">
        <f>SUM(D842:D842)</f>
        <v>2579501.7000000002</v>
      </c>
      <c r="E841" s="31">
        <f t="shared" ref="E841:AE841" si="180">SUM(E842:E842)</f>
        <v>0</v>
      </c>
      <c r="F841" s="31">
        <f t="shared" si="180"/>
        <v>0</v>
      </c>
      <c r="G841" s="31">
        <f t="shared" si="180"/>
        <v>0</v>
      </c>
      <c r="H841" s="31">
        <f t="shared" si="180"/>
        <v>0</v>
      </c>
      <c r="I841" s="31">
        <f t="shared" si="180"/>
        <v>0</v>
      </c>
      <c r="J841" s="31">
        <f t="shared" si="180"/>
        <v>0</v>
      </c>
      <c r="K841" s="33">
        <f t="shared" si="180"/>
        <v>0</v>
      </c>
      <c r="L841" s="31">
        <f t="shared" si="180"/>
        <v>0</v>
      </c>
      <c r="M841" s="31">
        <f t="shared" si="180"/>
        <v>1040</v>
      </c>
      <c r="N841" s="31">
        <f t="shared" si="180"/>
        <v>2393597.73</v>
      </c>
      <c r="O841" s="31">
        <f t="shared" si="180"/>
        <v>0</v>
      </c>
      <c r="P841" s="31">
        <f t="shared" si="180"/>
        <v>0</v>
      </c>
      <c r="Q841" s="31">
        <f t="shared" si="180"/>
        <v>0</v>
      </c>
      <c r="R841" s="31">
        <f t="shared" si="180"/>
        <v>0</v>
      </c>
      <c r="S841" s="31">
        <f t="shared" si="180"/>
        <v>0</v>
      </c>
      <c r="T841" s="31">
        <f t="shared" si="180"/>
        <v>0</v>
      </c>
      <c r="U841" s="31">
        <f t="shared" si="180"/>
        <v>0</v>
      </c>
      <c r="V841" s="31">
        <f t="shared" si="180"/>
        <v>0</v>
      </c>
      <c r="W841" s="31">
        <f t="shared" si="180"/>
        <v>0</v>
      </c>
      <c r="X841" s="31">
        <f t="shared" si="180"/>
        <v>0</v>
      </c>
      <c r="Y841" s="31">
        <f t="shared" si="180"/>
        <v>0</v>
      </c>
      <c r="Z841" s="31">
        <f t="shared" si="180"/>
        <v>0</v>
      </c>
      <c r="AA841" s="31">
        <f t="shared" si="180"/>
        <v>0</v>
      </c>
      <c r="AB841" s="31">
        <f t="shared" si="180"/>
        <v>0</v>
      </c>
      <c r="AC841" s="31">
        <f t="shared" si="180"/>
        <v>35903.97</v>
      </c>
      <c r="AD841" s="31">
        <f t="shared" si="180"/>
        <v>150000</v>
      </c>
      <c r="AE841" s="31">
        <f t="shared" si="180"/>
        <v>0</v>
      </c>
      <c r="AF841" s="72" t="s">
        <v>764</v>
      </c>
      <c r="AG841" s="72" t="s">
        <v>764</v>
      </c>
      <c r="AH841" s="87" t="s">
        <v>764</v>
      </c>
      <c r="AT841" s="20" t="e">
        <f t="shared" si="177"/>
        <v>#N/A</v>
      </c>
      <c r="BZ841" s="71">
        <v>2579501.7000000002</v>
      </c>
      <c r="CD841" s="20" t="e">
        <f t="shared" si="178"/>
        <v>#N/A</v>
      </c>
    </row>
    <row r="842" spans="1:82" ht="61.5" x14ac:dyDescent="0.85">
      <c r="A842" s="20">
        <v>1</v>
      </c>
      <c r="B842" s="66">
        <f>SUBTOTAL(103,$A$560:A842)</f>
        <v>274</v>
      </c>
      <c r="C842" s="24" t="s">
        <v>772</v>
      </c>
      <c r="D842" s="31">
        <f>E842+F842+G842+H842+I842+J842+L842+N842+P842+R842+T842+U842+V842+W842+X842+Y842+Z842+AA842+AB842+AC842+AD842+AE842</f>
        <v>2579501.7000000002</v>
      </c>
      <c r="E842" s="31">
        <v>0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3">
        <v>0</v>
      </c>
      <c r="L842" s="31">
        <v>0</v>
      </c>
      <c r="M842" s="31">
        <v>1040</v>
      </c>
      <c r="N842" s="31">
        <v>2393597.73</v>
      </c>
      <c r="O842" s="31">
        <v>0</v>
      </c>
      <c r="P842" s="31">
        <v>0</v>
      </c>
      <c r="Q842" s="31">
        <v>0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1">
        <v>0</v>
      </c>
      <c r="X842" s="31">
        <v>0</v>
      </c>
      <c r="Y842" s="31">
        <v>0</v>
      </c>
      <c r="Z842" s="31">
        <v>0</v>
      </c>
      <c r="AA842" s="31">
        <v>0</v>
      </c>
      <c r="AB842" s="31">
        <v>0</v>
      </c>
      <c r="AC842" s="31">
        <f>ROUND(N842*1.5%,2)</f>
        <v>35903.97</v>
      </c>
      <c r="AD842" s="31">
        <v>150000</v>
      </c>
      <c r="AE842" s="31">
        <v>0</v>
      </c>
      <c r="AF842" s="34">
        <v>2021</v>
      </c>
      <c r="AG842" s="34">
        <v>2021</v>
      </c>
      <c r="AH842" s="35">
        <v>2021</v>
      </c>
      <c r="AT842" s="20" t="e">
        <f t="shared" si="177"/>
        <v>#N/A</v>
      </c>
      <c r="BZ842" s="71"/>
      <c r="CD842" s="20" t="e">
        <f t="shared" si="178"/>
        <v>#N/A</v>
      </c>
    </row>
    <row r="843" spans="1:82" ht="61.5" x14ac:dyDescent="0.85">
      <c r="B843" s="24" t="s">
        <v>834</v>
      </c>
      <c r="C843" s="24"/>
      <c r="D843" s="31">
        <f t="shared" ref="D843:AE843" si="181">SUM(D844:D845)</f>
        <v>3008567.42</v>
      </c>
      <c r="E843" s="31">
        <f t="shared" si="181"/>
        <v>0</v>
      </c>
      <c r="F843" s="31">
        <f t="shared" si="181"/>
        <v>0</v>
      </c>
      <c r="G843" s="31">
        <f t="shared" si="181"/>
        <v>0</v>
      </c>
      <c r="H843" s="31">
        <f t="shared" si="181"/>
        <v>0</v>
      </c>
      <c r="I843" s="31">
        <f t="shared" si="181"/>
        <v>357402.65</v>
      </c>
      <c r="J843" s="31">
        <f t="shared" si="181"/>
        <v>0</v>
      </c>
      <c r="K843" s="33">
        <f t="shared" si="181"/>
        <v>0</v>
      </c>
      <c r="L843" s="31">
        <f t="shared" si="181"/>
        <v>0</v>
      </c>
      <c r="M843" s="31">
        <f t="shared" si="181"/>
        <v>646</v>
      </c>
      <c r="N843" s="31">
        <f t="shared" si="181"/>
        <v>2419511.06</v>
      </c>
      <c r="O843" s="31">
        <f t="shared" si="181"/>
        <v>0</v>
      </c>
      <c r="P843" s="31">
        <f t="shared" si="181"/>
        <v>0</v>
      </c>
      <c r="Q843" s="31">
        <f t="shared" si="181"/>
        <v>0</v>
      </c>
      <c r="R843" s="31">
        <f t="shared" si="181"/>
        <v>0</v>
      </c>
      <c r="S843" s="31">
        <f t="shared" si="181"/>
        <v>0</v>
      </c>
      <c r="T843" s="31">
        <f t="shared" si="181"/>
        <v>0</v>
      </c>
      <c r="U843" s="31">
        <f t="shared" si="181"/>
        <v>0</v>
      </c>
      <c r="V843" s="31">
        <f t="shared" si="181"/>
        <v>0</v>
      </c>
      <c r="W843" s="31">
        <f t="shared" si="181"/>
        <v>0</v>
      </c>
      <c r="X843" s="31">
        <f t="shared" si="181"/>
        <v>0</v>
      </c>
      <c r="Y843" s="31">
        <f t="shared" si="181"/>
        <v>0</v>
      </c>
      <c r="Z843" s="31">
        <f t="shared" si="181"/>
        <v>0</v>
      </c>
      <c r="AA843" s="31">
        <f t="shared" si="181"/>
        <v>0</v>
      </c>
      <c r="AB843" s="31">
        <f t="shared" si="181"/>
        <v>0</v>
      </c>
      <c r="AC843" s="31">
        <f t="shared" si="181"/>
        <v>41653.71</v>
      </c>
      <c r="AD843" s="31">
        <f t="shared" si="181"/>
        <v>190000</v>
      </c>
      <c r="AE843" s="31">
        <f t="shared" si="181"/>
        <v>0</v>
      </c>
      <c r="AF843" s="72" t="s">
        <v>764</v>
      </c>
      <c r="AG843" s="72" t="s">
        <v>764</v>
      </c>
      <c r="AH843" s="87" t="s">
        <v>764</v>
      </c>
      <c r="AT843" s="20" t="e">
        <f t="shared" si="177"/>
        <v>#N/A</v>
      </c>
      <c r="BZ843" s="71">
        <v>3008567.42</v>
      </c>
      <c r="CD843" s="20" t="e">
        <f t="shared" si="178"/>
        <v>#N/A</v>
      </c>
    </row>
    <row r="844" spans="1:82" ht="61.5" x14ac:dyDescent="0.85">
      <c r="A844" s="20">
        <v>1</v>
      </c>
      <c r="B844" s="66">
        <f>SUBTOTAL(103,$A$560:A844)</f>
        <v>275</v>
      </c>
      <c r="C844" s="24" t="s">
        <v>698</v>
      </c>
      <c r="D844" s="31">
        <f>E844+F844+G844+H844+I844+J844+L844+N844+P844+R844+T844+U844+V844+W844+X844+Y844+Z844+AA844+AB844+AC844+AD844+AE844</f>
        <v>2605803.73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3">
        <v>0</v>
      </c>
      <c r="L844" s="31">
        <v>0</v>
      </c>
      <c r="M844" s="31">
        <v>646</v>
      </c>
      <c r="N844" s="31">
        <v>2419511.06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0</v>
      </c>
      <c r="W844" s="31">
        <v>0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1">
        <f>ROUND(N844*1.5%,2)</f>
        <v>36292.67</v>
      </c>
      <c r="AD844" s="31">
        <v>150000</v>
      </c>
      <c r="AE844" s="31">
        <v>0</v>
      </c>
      <c r="AF844" s="34">
        <v>2021</v>
      </c>
      <c r="AG844" s="34">
        <v>2021</v>
      </c>
      <c r="AH844" s="35">
        <v>2021</v>
      </c>
      <c r="AT844" s="20" t="e">
        <f t="shared" si="177"/>
        <v>#N/A</v>
      </c>
      <c r="BZ844" s="71"/>
      <c r="CD844" s="20" t="e">
        <f t="shared" si="178"/>
        <v>#N/A</v>
      </c>
    </row>
    <row r="845" spans="1:82" ht="61.5" x14ac:dyDescent="0.85">
      <c r="A845" s="20">
        <v>1</v>
      </c>
      <c r="B845" s="66">
        <f>SUBTOTAL(103,$A$560:A845)</f>
        <v>276</v>
      </c>
      <c r="C845" s="24" t="s">
        <v>689</v>
      </c>
      <c r="D845" s="31">
        <f>E845+F845+G845+H845+I845+J845+L845+N845+P845+R845+T845+U845+V845+W845+X845+Y845+Z845+AA845+AB845+AC845+AD845+AE845</f>
        <v>402763.69</v>
      </c>
      <c r="E845" s="31">
        <v>0</v>
      </c>
      <c r="F845" s="31">
        <v>0</v>
      </c>
      <c r="G845" s="31">
        <v>0</v>
      </c>
      <c r="H845" s="31">
        <v>0</v>
      </c>
      <c r="I845" s="31">
        <v>357402.65</v>
      </c>
      <c r="J845" s="31">
        <v>0</v>
      </c>
      <c r="K845" s="33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1">
        <v>0</v>
      </c>
      <c r="X845" s="31">
        <v>0</v>
      </c>
      <c r="Y845" s="31">
        <v>0</v>
      </c>
      <c r="Z845" s="31">
        <v>0</v>
      </c>
      <c r="AA845" s="31">
        <v>0</v>
      </c>
      <c r="AB845" s="31">
        <v>0</v>
      </c>
      <c r="AC845" s="31">
        <f>ROUND((E845+F845+G845+H845+I845+J845)*1.5%,2)</f>
        <v>5361.04</v>
      </c>
      <c r="AD845" s="31">
        <v>40000</v>
      </c>
      <c r="AE845" s="31">
        <v>0</v>
      </c>
      <c r="AF845" s="34">
        <v>2021</v>
      </c>
      <c r="AG845" s="34">
        <v>2021</v>
      </c>
      <c r="AH845" s="35">
        <v>2021</v>
      </c>
      <c r="AT845" s="20" t="e">
        <f t="shared" si="177"/>
        <v>#N/A</v>
      </c>
      <c r="BZ845" s="71"/>
      <c r="CD845" s="20" t="e">
        <f t="shared" si="178"/>
        <v>#N/A</v>
      </c>
    </row>
    <row r="846" spans="1:82" ht="61.5" x14ac:dyDescent="0.85">
      <c r="B846" s="24" t="s">
        <v>879</v>
      </c>
      <c r="C846" s="24"/>
      <c r="D846" s="31">
        <f t="shared" ref="D846:AE846" si="182">D847</f>
        <v>3080948</v>
      </c>
      <c r="E846" s="31">
        <f t="shared" si="182"/>
        <v>0</v>
      </c>
      <c r="F846" s="31">
        <f t="shared" si="182"/>
        <v>0</v>
      </c>
      <c r="G846" s="31">
        <f t="shared" si="182"/>
        <v>0</v>
      </c>
      <c r="H846" s="31">
        <f t="shared" si="182"/>
        <v>0</v>
      </c>
      <c r="I846" s="31">
        <f t="shared" si="182"/>
        <v>0</v>
      </c>
      <c r="J846" s="31">
        <f t="shared" si="182"/>
        <v>0</v>
      </c>
      <c r="K846" s="33">
        <f t="shared" si="182"/>
        <v>0</v>
      </c>
      <c r="L846" s="31">
        <f t="shared" si="182"/>
        <v>0</v>
      </c>
      <c r="M846" s="31">
        <f t="shared" si="182"/>
        <v>520</v>
      </c>
      <c r="N846" s="31">
        <f t="shared" si="182"/>
        <v>2887633.5</v>
      </c>
      <c r="O846" s="31">
        <f t="shared" si="182"/>
        <v>0</v>
      </c>
      <c r="P846" s="31">
        <f t="shared" si="182"/>
        <v>0</v>
      </c>
      <c r="Q846" s="31">
        <f t="shared" si="182"/>
        <v>0</v>
      </c>
      <c r="R846" s="31">
        <f t="shared" si="182"/>
        <v>0</v>
      </c>
      <c r="S846" s="31">
        <f t="shared" si="182"/>
        <v>0</v>
      </c>
      <c r="T846" s="31">
        <f t="shared" si="182"/>
        <v>0</v>
      </c>
      <c r="U846" s="31">
        <f t="shared" si="182"/>
        <v>0</v>
      </c>
      <c r="V846" s="31">
        <f t="shared" si="182"/>
        <v>0</v>
      </c>
      <c r="W846" s="31">
        <f t="shared" si="182"/>
        <v>0</v>
      </c>
      <c r="X846" s="31">
        <f t="shared" si="182"/>
        <v>0</v>
      </c>
      <c r="Y846" s="31">
        <f t="shared" si="182"/>
        <v>0</v>
      </c>
      <c r="Z846" s="31">
        <f t="shared" si="182"/>
        <v>0</v>
      </c>
      <c r="AA846" s="31">
        <f t="shared" si="182"/>
        <v>0</v>
      </c>
      <c r="AB846" s="31">
        <f t="shared" si="182"/>
        <v>0</v>
      </c>
      <c r="AC846" s="31">
        <f t="shared" si="182"/>
        <v>43314.5</v>
      </c>
      <c r="AD846" s="31">
        <f t="shared" si="182"/>
        <v>150000</v>
      </c>
      <c r="AE846" s="31">
        <f t="shared" si="182"/>
        <v>0</v>
      </c>
      <c r="AF846" s="72" t="s">
        <v>764</v>
      </c>
      <c r="AG846" s="72" t="s">
        <v>764</v>
      </c>
      <c r="AH846" s="87" t="s">
        <v>764</v>
      </c>
      <c r="AT846" s="20" t="e">
        <f t="shared" si="177"/>
        <v>#N/A</v>
      </c>
      <c r="BZ846" s="71">
        <v>3080948</v>
      </c>
      <c r="CD846" s="20" t="e">
        <f t="shared" si="178"/>
        <v>#N/A</v>
      </c>
    </row>
    <row r="847" spans="1:82" ht="61.5" x14ac:dyDescent="0.85">
      <c r="A847" s="20">
        <v>1</v>
      </c>
      <c r="B847" s="66">
        <f>SUBTOTAL(103,$A$560:A847)</f>
        <v>277</v>
      </c>
      <c r="C847" s="24" t="s">
        <v>683</v>
      </c>
      <c r="D847" s="31">
        <f>E847+F847+G847+H847+I847+J847+L847+N847+P847+R847+T847+U847+V847+W847+X847+Y847+Z847+AA847+AB847+AC847+AD847+AE847</f>
        <v>3080948</v>
      </c>
      <c r="E847" s="31">
        <v>0</v>
      </c>
      <c r="F847" s="31">
        <v>0</v>
      </c>
      <c r="G847" s="31">
        <v>0</v>
      </c>
      <c r="H847" s="31">
        <v>0</v>
      </c>
      <c r="I847" s="31">
        <v>0</v>
      </c>
      <c r="J847" s="31">
        <v>0</v>
      </c>
      <c r="K847" s="33">
        <v>0</v>
      </c>
      <c r="L847" s="31">
        <v>0</v>
      </c>
      <c r="M847" s="31">
        <v>520</v>
      </c>
      <c r="N847" s="31">
        <v>2887633.5</v>
      </c>
      <c r="O847" s="31">
        <v>0</v>
      </c>
      <c r="P847" s="31">
        <v>0</v>
      </c>
      <c r="Q847" s="31">
        <v>0</v>
      </c>
      <c r="R847" s="31">
        <v>0</v>
      </c>
      <c r="S847" s="31">
        <v>0</v>
      </c>
      <c r="T847" s="31">
        <v>0</v>
      </c>
      <c r="U847" s="31">
        <v>0</v>
      </c>
      <c r="V847" s="31">
        <v>0</v>
      </c>
      <c r="W847" s="31">
        <v>0</v>
      </c>
      <c r="X847" s="31">
        <v>0</v>
      </c>
      <c r="Y847" s="31">
        <v>0</v>
      </c>
      <c r="Z847" s="31">
        <v>0</v>
      </c>
      <c r="AA847" s="31">
        <v>0</v>
      </c>
      <c r="AB847" s="31">
        <v>0</v>
      </c>
      <c r="AC847" s="31">
        <f>ROUND(N847*1.5%,2)</f>
        <v>43314.5</v>
      </c>
      <c r="AD847" s="31">
        <v>150000</v>
      </c>
      <c r="AE847" s="31">
        <v>0</v>
      </c>
      <c r="AF847" s="34">
        <v>2021</v>
      </c>
      <c r="AG847" s="34">
        <v>2021</v>
      </c>
      <c r="AH847" s="35">
        <v>2021</v>
      </c>
      <c r="AT847" s="20" t="e">
        <f t="shared" si="177"/>
        <v>#N/A</v>
      </c>
      <c r="BZ847" s="71"/>
      <c r="CD847" s="20" t="e">
        <f t="shared" si="178"/>
        <v>#N/A</v>
      </c>
    </row>
    <row r="848" spans="1:82" ht="61.5" x14ac:dyDescent="0.85">
      <c r="B848" s="24" t="s">
        <v>835</v>
      </c>
      <c r="C848" s="24"/>
      <c r="D848" s="31">
        <f>D849</f>
        <v>2008998.15</v>
      </c>
      <c r="E848" s="31">
        <f t="shared" ref="E848:AE848" si="183">E849</f>
        <v>0</v>
      </c>
      <c r="F848" s="31">
        <f t="shared" si="183"/>
        <v>0</v>
      </c>
      <c r="G848" s="31">
        <f t="shared" si="183"/>
        <v>0</v>
      </c>
      <c r="H848" s="31">
        <f t="shared" si="183"/>
        <v>0</v>
      </c>
      <c r="I848" s="31">
        <f t="shared" si="183"/>
        <v>0</v>
      </c>
      <c r="J848" s="31">
        <f t="shared" si="183"/>
        <v>0</v>
      </c>
      <c r="K848" s="33">
        <f t="shared" si="183"/>
        <v>0</v>
      </c>
      <c r="L848" s="31">
        <f t="shared" si="183"/>
        <v>0</v>
      </c>
      <c r="M848" s="31">
        <f t="shared" si="183"/>
        <v>812</v>
      </c>
      <c r="N848" s="31">
        <f t="shared" si="183"/>
        <v>1851229.7</v>
      </c>
      <c r="O848" s="31">
        <f t="shared" si="183"/>
        <v>0</v>
      </c>
      <c r="P848" s="31">
        <f t="shared" si="183"/>
        <v>0</v>
      </c>
      <c r="Q848" s="31">
        <f t="shared" si="183"/>
        <v>0</v>
      </c>
      <c r="R848" s="31">
        <f t="shared" si="183"/>
        <v>0</v>
      </c>
      <c r="S848" s="31">
        <f t="shared" si="183"/>
        <v>0</v>
      </c>
      <c r="T848" s="31">
        <f t="shared" si="183"/>
        <v>0</v>
      </c>
      <c r="U848" s="31">
        <f t="shared" si="183"/>
        <v>0</v>
      </c>
      <c r="V848" s="31">
        <f t="shared" si="183"/>
        <v>0</v>
      </c>
      <c r="W848" s="31">
        <f t="shared" si="183"/>
        <v>0</v>
      </c>
      <c r="X848" s="31">
        <f t="shared" si="183"/>
        <v>0</v>
      </c>
      <c r="Y848" s="31">
        <f t="shared" si="183"/>
        <v>0</v>
      </c>
      <c r="Z848" s="31">
        <f t="shared" si="183"/>
        <v>0</v>
      </c>
      <c r="AA848" s="31">
        <f t="shared" si="183"/>
        <v>0</v>
      </c>
      <c r="AB848" s="31">
        <f t="shared" si="183"/>
        <v>0</v>
      </c>
      <c r="AC848" s="31">
        <f t="shared" si="183"/>
        <v>27768.45</v>
      </c>
      <c r="AD848" s="31">
        <f t="shared" si="183"/>
        <v>130000</v>
      </c>
      <c r="AE848" s="31">
        <f t="shared" si="183"/>
        <v>0</v>
      </c>
      <c r="AF848" s="72" t="s">
        <v>764</v>
      </c>
      <c r="AG848" s="72" t="s">
        <v>764</v>
      </c>
      <c r="AH848" s="87" t="s">
        <v>764</v>
      </c>
      <c r="AT848" s="20" t="e">
        <f t="shared" si="177"/>
        <v>#N/A</v>
      </c>
      <c r="BZ848" s="71">
        <v>2000000</v>
      </c>
      <c r="CD848" s="20" t="e">
        <f t="shared" si="178"/>
        <v>#N/A</v>
      </c>
    </row>
    <row r="849" spans="1:82" ht="61.5" x14ac:dyDescent="0.85">
      <c r="A849" s="20">
        <v>1</v>
      </c>
      <c r="B849" s="66">
        <f>SUBTOTAL(103,$A$560:A849)</f>
        <v>278</v>
      </c>
      <c r="C849" s="156" t="s">
        <v>690</v>
      </c>
      <c r="D849" s="31">
        <f>E849+F849+G849+H849+I849+J849+L849+N849+P849+R849+T849+U849+V849+W849+X849+Y849+Z849+AA849+AB849+AC849+AD849+AE849</f>
        <v>2008998.15</v>
      </c>
      <c r="E849" s="31">
        <v>0</v>
      </c>
      <c r="F849" s="31">
        <v>0</v>
      </c>
      <c r="G849" s="31">
        <v>0</v>
      </c>
      <c r="H849" s="31">
        <v>0</v>
      </c>
      <c r="I849" s="31">
        <v>0</v>
      </c>
      <c r="J849" s="31">
        <v>0</v>
      </c>
      <c r="K849" s="33">
        <v>0</v>
      </c>
      <c r="L849" s="31">
        <v>0</v>
      </c>
      <c r="M849" s="31">
        <v>812</v>
      </c>
      <c r="N849" s="31">
        <f>1842364.53+8865.17</f>
        <v>1851229.7</v>
      </c>
      <c r="O849" s="31">
        <v>0</v>
      </c>
      <c r="P849" s="31">
        <v>0</v>
      </c>
      <c r="Q849" s="31">
        <v>0</v>
      </c>
      <c r="R849" s="31">
        <v>0</v>
      </c>
      <c r="S849" s="31">
        <v>0</v>
      </c>
      <c r="T849" s="31">
        <v>0</v>
      </c>
      <c r="U849" s="31">
        <v>0</v>
      </c>
      <c r="V849" s="31">
        <v>0</v>
      </c>
      <c r="W849" s="31">
        <v>0</v>
      </c>
      <c r="X849" s="31">
        <v>0</v>
      </c>
      <c r="Y849" s="31">
        <v>0</v>
      </c>
      <c r="Z849" s="31">
        <v>0</v>
      </c>
      <c r="AA849" s="31">
        <v>0</v>
      </c>
      <c r="AB849" s="31">
        <v>0</v>
      </c>
      <c r="AC849" s="31">
        <f>ROUND(N849*1.5%,2)</f>
        <v>27768.45</v>
      </c>
      <c r="AD849" s="31">
        <v>130000</v>
      </c>
      <c r="AE849" s="31">
        <v>0</v>
      </c>
      <c r="AF849" s="34">
        <v>2021</v>
      </c>
      <c r="AG849" s="34">
        <v>2021</v>
      </c>
      <c r="AH849" s="35">
        <v>2021</v>
      </c>
      <c r="AT849" s="20" t="e">
        <f t="shared" si="177"/>
        <v>#N/A</v>
      </c>
      <c r="BZ849" s="71"/>
      <c r="CD849" s="20" t="e">
        <f t="shared" si="178"/>
        <v>#N/A</v>
      </c>
    </row>
    <row r="850" spans="1:82" ht="61.5" x14ac:dyDescent="0.85">
      <c r="B850" s="24" t="s">
        <v>836</v>
      </c>
      <c r="C850" s="24"/>
      <c r="D850" s="31">
        <f t="shared" ref="D850:AE850" si="184">SUM(D851:D859)</f>
        <v>29982330.300000001</v>
      </c>
      <c r="E850" s="31">
        <f t="shared" si="184"/>
        <v>0</v>
      </c>
      <c r="F850" s="31">
        <f t="shared" si="184"/>
        <v>0</v>
      </c>
      <c r="G850" s="31">
        <f t="shared" si="184"/>
        <v>0</v>
      </c>
      <c r="H850" s="31">
        <f t="shared" si="184"/>
        <v>0</v>
      </c>
      <c r="I850" s="31">
        <f t="shared" si="184"/>
        <v>0</v>
      </c>
      <c r="J850" s="31">
        <f t="shared" si="184"/>
        <v>0</v>
      </c>
      <c r="K850" s="33">
        <f t="shared" si="184"/>
        <v>0</v>
      </c>
      <c r="L850" s="31">
        <f t="shared" si="184"/>
        <v>0</v>
      </c>
      <c r="M850" s="31">
        <f t="shared" si="184"/>
        <v>6132.2</v>
      </c>
      <c r="N850" s="31">
        <f t="shared" si="184"/>
        <v>24087634.149999999</v>
      </c>
      <c r="O850" s="31">
        <f t="shared" si="184"/>
        <v>0</v>
      </c>
      <c r="P850" s="31">
        <f t="shared" si="184"/>
        <v>0</v>
      </c>
      <c r="Q850" s="31">
        <f t="shared" si="184"/>
        <v>3487.93</v>
      </c>
      <c r="R850" s="31">
        <f t="shared" si="184"/>
        <v>4487942.51</v>
      </c>
      <c r="S850" s="31">
        <f t="shared" si="184"/>
        <v>0</v>
      </c>
      <c r="T850" s="31">
        <f t="shared" si="184"/>
        <v>0</v>
      </c>
      <c r="U850" s="31">
        <f t="shared" si="184"/>
        <v>0</v>
      </c>
      <c r="V850" s="31">
        <f t="shared" si="184"/>
        <v>0</v>
      </c>
      <c r="W850" s="31">
        <f t="shared" si="184"/>
        <v>0</v>
      </c>
      <c r="X850" s="31">
        <f t="shared" si="184"/>
        <v>0</v>
      </c>
      <c r="Y850" s="31">
        <f t="shared" si="184"/>
        <v>0</v>
      </c>
      <c r="Z850" s="31">
        <f t="shared" si="184"/>
        <v>0</v>
      </c>
      <c r="AA850" s="31">
        <f t="shared" si="184"/>
        <v>0</v>
      </c>
      <c r="AB850" s="31">
        <f t="shared" si="184"/>
        <v>0</v>
      </c>
      <c r="AC850" s="31">
        <f t="shared" si="184"/>
        <v>428633.64</v>
      </c>
      <c r="AD850" s="31">
        <f t="shared" si="184"/>
        <v>738120</v>
      </c>
      <c r="AE850" s="31">
        <f t="shared" si="184"/>
        <v>240000</v>
      </c>
      <c r="AF850" s="72" t="s">
        <v>764</v>
      </c>
      <c r="AG850" s="72" t="s">
        <v>764</v>
      </c>
      <c r="AH850" s="87" t="s">
        <v>764</v>
      </c>
      <c r="AT850" s="20" t="e">
        <f t="shared" si="177"/>
        <v>#N/A</v>
      </c>
      <c r="BZ850" s="71">
        <v>23342012.82</v>
      </c>
      <c r="CD850" s="20" t="e">
        <f t="shared" si="178"/>
        <v>#N/A</v>
      </c>
    </row>
    <row r="851" spans="1:82" ht="61.5" x14ac:dyDescent="0.85">
      <c r="A851" s="20">
        <v>1</v>
      </c>
      <c r="B851" s="66">
        <f>SUBTOTAL(103,$A$560:A851)</f>
        <v>279</v>
      </c>
      <c r="C851" s="24" t="s">
        <v>680</v>
      </c>
      <c r="D851" s="31">
        <f t="shared" ref="D851:D855" si="185">E851+F851+G851+H851+I851+J851+L851+N851+P851+R851+T851+U851+V851+W851+X851+Y851+Z851+AA851+AB851+AC851+AD851+AE851</f>
        <v>2492137.06</v>
      </c>
      <c r="E851" s="31">
        <v>0</v>
      </c>
      <c r="F851" s="31">
        <v>0</v>
      </c>
      <c r="G851" s="31">
        <v>0</v>
      </c>
      <c r="H851" s="31">
        <v>0</v>
      </c>
      <c r="I851" s="31">
        <v>0</v>
      </c>
      <c r="J851" s="31">
        <v>0</v>
      </c>
      <c r="K851" s="33">
        <v>0</v>
      </c>
      <c r="L851" s="31">
        <v>0</v>
      </c>
      <c r="M851" s="31">
        <v>0</v>
      </c>
      <c r="N851" s="31">
        <v>0</v>
      </c>
      <c r="O851" s="31">
        <v>0</v>
      </c>
      <c r="P851" s="31">
        <v>0</v>
      </c>
      <c r="Q851" s="31">
        <v>2768.5</v>
      </c>
      <c r="R851" s="31">
        <v>2307055.62</v>
      </c>
      <c r="S851" s="31">
        <v>0</v>
      </c>
      <c r="T851" s="31">
        <v>0</v>
      </c>
      <c r="U851" s="31">
        <v>0</v>
      </c>
      <c r="V851" s="31">
        <v>0</v>
      </c>
      <c r="W851" s="31">
        <v>0</v>
      </c>
      <c r="X851" s="31">
        <v>0</v>
      </c>
      <c r="Y851" s="31">
        <v>0</v>
      </c>
      <c r="Z851" s="31">
        <v>0</v>
      </c>
      <c r="AA851" s="31">
        <v>0</v>
      </c>
      <c r="AB851" s="31">
        <v>0</v>
      </c>
      <c r="AC851" s="31">
        <f>ROUND(R851*1.5%,2)</f>
        <v>34605.83</v>
      </c>
      <c r="AD851" s="205">
        <v>150475.60999999999</v>
      </c>
      <c r="AE851" s="31">
        <v>0</v>
      </c>
      <c r="AF851" s="34">
        <v>2021</v>
      </c>
      <c r="AG851" s="34">
        <v>2021</v>
      </c>
      <c r="AH851" s="35">
        <v>2021</v>
      </c>
      <c r="AT851" s="20">
        <f t="shared" si="177"/>
        <v>1</v>
      </c>
      <c r="BZ851" s="71"/>
      <c r="CD851" s="20" t="e">
        <f t="shared" si="178"/>
        <v>#N/A</v>
      </c>
    </row>
    <row r="852" spans="1:82" ht="61.5" x14ac:dyDescent="0.85">
      <c r="A852" s="20">
        <v>1</v>
      </c>
      <c r="B852" s="66">
        <f>SUBTOTAL(103,$A$560:A852)</f>
        <v>280</v>
      </c>
      <c r="C852" s="24" t="s">
        <v>668</v>
      </c>
      <c r="D852" s="31">
        <f t="shared" si="185"/>
        <v>5311274.96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3">
        <v>0</v>
      </c>
      <c r="L852" s="31">
        <v>0</v>
      </c>
      <c r="M852" s="31">
        <v>1323</v>
      </c>
      <c r="N852" s="31">
        <v>5114076.47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  <c r="V852" s="31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31">
        <v>0</v>
      </c>
      <c r="AC852" s="31">
        <f t="shared" ref="AC852:AC859" si="186">ROUND(N852*1.5%,2)</f>
        <v>76711.149999999994</v>
      </c>
      <c r="AD852" s="205">
        <v>120487.34</v>
      </c>
      <c r="AE852" s="31">
        <v>0</v>
      </c>
      <c r="AF852" s="34">
        <v>2021</v>
      </c>
      <c r="AG852" s="34">
        <v>2021</v>
      </c>
      <c r="AH852" s="35">
        <v>2021</v>
      </c>
      <c r="AT852" s="20" t="e">
        <f t="shared" si="177"/>
        <v>#N/A</v>
      </c>
      <c r="BZ852" s="71"/>
      <c r="CD852" s="20" t="e">
        <f t="shared" si="178"/>
        <v>#N/A</v>
      </c>
    </row>
    <row r="853" spans="1:82" ht="61.5" x14ac:dyDescent="0.85">
      <c r="A853" s="20">
        <v>1</v>
      </c>
      <c r="B853" s="66">
        <f>SUBTOTAL(103,$A$560:A853)</f>
        <v>281</v>
      </c>
      <c r="C853" s="24" t="s">
        <v>696</v>
      </c>
      <c r="D853" s="31">
        <f t="shared" si="185"/>
        <v>4042067.3</v>
      </c>
      <c r="E853" s="31">
        <v>0</v>
      </c>
      <c r="F853" s="31">
        <v>0</v>
      </c>
      <c r="G853" s="31">
        <v>0</v>
      </c>
      <c r="H853" s="31">
        <v>0</v>
      </c>
      <c r="I853" s="31">
        <v>0</v>
      </c>
      <c r="J853" s="31">
        <v>0</v>
      </c>
      <c r="K853" s="33">
        <v>0</v>
      </c>
      <c r="L853" s="31">
        <v>0</v>
      </c>
      <c r="M853" s="31">
        <v>856</v>
      </c>
      <c r="N853" s="31">
        <v>3865028.57</v>
      </c>
      <c r="O853" s="31">
        <v>0</v>
      </c>
      <c r="P853" s="31">
        <v>0</v>
      </c>
      <c r="Q853" s="31">
        <v>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1">
        <v>0</v>
      </c>
      <c r="Y853" s="31">
        <v>0</v>
      </c>
      <c r="Z853" s="31">
        <v>0</v>
      </c>
      <c r="AA853" s="31">
        <v>0</v>
      </c>
      <c r="AB853" s="31">
        <v>0</v>
      </c>
      <c r="AC853" s="31">
        <f t="shared" si="186"/>
        <v>57975.43</v>
      </c>
      <c r="AD853" s="205">
        <v>119063.3</v>
      </c>
      <c r="AE853" s="31">
        <v>0</v>
      </c>
      <c r="AF853" s="34">
        <v>2021</v>
      </c>
      <c r="AG853" s="34">
        <v>2021</v>
      </c>
      <c r="AH853" s="35">
        <v>2021</v>
      </c>
      <c r="AT853" s="20" t="e">
        <f t="shared" si="177"/>
        <v>#N/A</v>
      </c>
      <c r="BZ853" s="71"/>
      <c r="CD853" s="20" t="e">
        <f t="shared" si="178"/>
        <v>#N/A</v>
      </c>
    </row>
    <row r="854" spans="1:82" ht="61.5" x14ac:dyDescent="0.85">
      <c r="A854" s="20">
        <v>1</v>
      </c>
      <c r="B854" s="66">
        <f>SUBTOTAL(103,$A$560:A854)</f>
        <v>282</v>
      </c>
      <c r="C854" s="24" t="s">
        <v>673</v>
      </c>
      <c r="D854" s="31">
        <f t="shared" si="185"/>
        <v>4517254.16</v>
      </c>
      <c r="E854" s="31">
        <v>0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3">
        <v>0</v>
      </c>
      <c r="L854" s="31">
        <v>0</v>
      </c>
      <c r="M854" s="31">
        <v>1236</v>
      </c>
      <c r="N854" s="31">
        <f>3504904.43+238305.42+589784.98</f>
        <v>4332994.83</v>
      </c>
      <c r="O854" s="31">
        <v>0</v>
      </c>
      <c r="P854" s="31">
        <v>0</v>
      </c>
      <c r="Q854" s="31">
        <v>0</v>
      </c>
      <c r="R854" s="31">
        <v>0</v>
      </c>
      <c r="S854" s="31">
        <v>0</v>
      </c>
      <c r="T854" s="31">
        <v>0</v>
      </c>
      <c r="U854" s="31">
        <v>0</v>
      </c>
      <c r="V854" s="31">
        <v>0</v>
      </c>
      <c r="W854" s="31">
        <v>0</v>
      </c>
      <c r="X854" s="31">
        <v>0</v>
      </c>
      <c r="Y854" s="31">
        <v>0</v>
      </c>
      <c r="Z854" s="31">
        <v>0</v>
      </c>
      <c r="AA854" s="31">
        <v>0</v>
      </c>
      <c r="AB854" s="31">
        <v>0</v>
      </c>
      <c r="AC854" s="31">
        <f t="shared" si="186"/>
        <v>64994.92</v>
      </c>
      <c r="AD854" s="205">
        <v>119264.41</v>
      </c>
      <c r="AE854" s="31">
        <v>0</v>
      </c>
      <c r="AF854" s="34">
        <v>2021</v>
      </c>
      <c r="AG854" s="34">
        <v>2021</v>
      </c>
      <c r="AH854" s="35">
        <v>2021</v>
      </c>
      <c r="AT854" s="20" t="e">
        <f t="shared" si="177"/>
        <v>#N/A</v>
      </c>
      <c r="BZ854" s="71"/>
      <c r="CD854" s="20" t="e">
        <f t="shared" si="178"/>
        <v>#N/A</v>
      </c>
    </row>
    <row r="855" spans="1:82" ht="61.5" x14ac:dyDescent="0.85">
      <c r="A855" s="20">
        <v>1</v>
      </c>
      <c r="B855" s="66">
        <f>SUBTOTAL(103,$A$560:A855)</f>
        <v>283</v>
      </c>
      <c r="C855" s="24" t="s">
        <v>678</v>
      </c>
      <c r="D855" s="31">
        <f t="shared" si="185"/>
        <v>3875480.82</v>
      </c>
      <c r="E855" s="31">
        <v>0</v>
      </c>
      <c r="F855" s="31">
        <v>0</v>
      </c>
      <c r="G855" s="31">
        <v>0</v>
      </c>
      <c r="H855" s="31">
        <v>0</v>
      </c>
      <c r="I855" s="31">
        <v>0</v>
      </c>
      <c r="J855" s="31">
        <v>0</v>
      </c>
      <c r="K855" s="33">
        <v>0</v>
      </c>
      <c r="L855" s="31">
        <v>0</v>
      </c>
      <c r="M855" s="31">
        <v>949</v>
      </c>
      <c r="N855" s="31">
        <v>3710689.66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0</v>
      </c>
      <c r="U855" s="31">
        <v>0</v>
      </c>
      <c r="V855" s="31">
        <v>0</v>
      </c>
      <c r="W855" s="31">
        <v>0</v>
      </c>
      <c r="X855" s="31">
        <v>0</v>
      </c>
      <c r="Y855" s="31">
        <v>0</v>
      </c>
      <c r="Z855" s="31">
        <v>0</v>
      </c>
      <c r="AA855" s="31">
        <v>0</v>
      </c>
      <c r="AB855" s="31">
        <v>0</v>
      </c>
      <c r="AC855" s="31">
        <f t="shared" si="186"/>
        <v>55660.34</v>
      </c>
      <c r="AD855" s="205">
        <v>109130.82</v>
      </c>
      <c r="AE855" s="31">
        <v>0</v>
      </c>
      <c r="AF855" s="34">
        <v>2021</v>
      </c>
      <c r="AG855" s="34">
        <v>2021</v>
      </c>
      <c r="AH855" s="35">
        <v>2021</v>
      </c>
      <c r="AT855" s="20" t="e">
        <f t="shared" si="177"/>
        <v>#N/A</v>
      </c>
      <c r="BZ855" s="71"/>
      <c r="CD855" s="20" t="e">
        <f t="shared" si="178"/>
        <v>#N/A</v>
      </c>
    </row>
    <row r="856" spans="1:82" ht="61.5" x14ac:dyDescent="0.85">
      <c r="A856" s="20">
        <v>1</v>
      </c>
      <c r="B856" s="66">
        <f>SUBTOTAL(103,$A$560:A856)</f>
        <v>284</v>
      </c>
      <c r="C856" s="24" t="s">
        <v>677</v>
      </c>
      <c r="D856" s="31">
        <f t="shared" ref="D856:D859" si="187">E856+F856+G856+H856+I856+J856+L856+N856+P856+R856+T856+U856+V856+W856+X856+Y856+Z856+AA856+AB856+AC856+AD856+AE856</f>
        <v>3103798.52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3">
        <v>0</v>
      </c>
      <c r="L856" s="31">
        <v>0</v>
      </c>
      <c r="M856" s="31">
        <v>840</v>
      </c>
      <c r="N856" s="31">
        <v>2940000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1">
        <v>0</v>
      </c>
      <c r="Z856" s="31">
        <v>0</v>
      </c>
      <c r="AA856" s="31">
        <v>0</v>
      </c>
      <c r="AB856" s="31">
        <v>0</v>
      </c>
      <c r="AC856" s="31">
        <f t="shared" si="186"/>
        <v>44100</v>
      </c>
      <c r="AD856" s="205">
        <v>119698.52</v>
      </c>
      <c r="AE856" s="31">
        <v>0</v>
      </c>
      <c r="AF856" s="34">
        <v>2021</v>
      </c>
      <c r="AG856" s="34">
        <v>2021</v>
      </c>
      <c r="AH856" s="35">
        <v>2021</v>
      </c>
      <c r="AT856" s="20" t="e">
        <f t="shared" si="177"/>
        <v>#N/A</v>
      </c>
      <c r="BZ856" s="71"/>
      <c r="CD856" s="20" t="e">
        <f t="shared" si="178"/>
        <v>#N/A</v>
      </c>
    </row>
    <row r="857" spans="1:82" ht="61.5" x14ac:dyDescent="0.85">
      <c r="A857" s="20">
        <v>1</v>
      </c>
      <c r="B857" s="66">
        <f>SUBTOTAL(103,$A$560:A857)</f>
        <v>285</v>
      </c>
      <c r="C857" s="211" t="s">
        <v>666</v>
      </c>
      <c r="D857" s="31">
        <f>E857+F857+G857+H857+I857+J857+L857+N857+P857+R857+T857+U857+V857+W857+X857+Y857+Z857+AA857+AB857+AC857+AD857+AE857</f>
        <v>2213600.19</v>
      </c>
      <c r="E857" s="38">
        <v>0</v>
      </c>
      <c r="F857" s="38">
        <v>0</v>
      </c>
      <c r="G857" s="31">
        <v>0</v>
      </c>
      <c r="H857" s="38">
        <v>0</v>
      </c>
      <c r="I857" s="38">
        <v>0</v>
      </c>
      <c r="J857" s="38">
        <v>0</v>
      </c>
      <c r="K857" s="33">
        <v>0</v>
      </c>
      <c r="L857" s="31">
        <v>0</v>
      </c>
      <c r="M857" s="31">
        <v>0</v>
      </c>
      <c r="N857" s="31">
        <v>0</v>
      </c>
      <c r="O857" s="38">
        <v>0</v>
      </c>
      <c r="P857" s="38">
        <v>0</v>
      </c>
      <c r="Q857" s="31">
        <v>719.43</v>
      </c>
      <c r="R857" s="31">
        <f>2079598.77+101288.12</f>
        <v>2180886.89</v>
      </c>
      <c r="S857" s="31">
        <v>0</v>
      </c>
      <c r="T857" s="31">
        <v>0</v>
      </c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1">
        <f>ROUND(R857*1.5%,2)</f>
        <v>32713.3</v>
      </c>
      <c r="AD857" s="31">
        <v>0</v>
      </c>
      <c r="AE857" s="31">
        <v>0</v>
      </c>
      <c r="AF857" s="34" t="s">
        <v>271</v>
      </c>
      <c r="AG857" s="34">
        <v>2021</v>
      </c>
      <c r="AH857" s="35">
        <v>2021</v>
      </c>
      <c r="BZ857" s="71"/>
      <c r="CD857" s="20" t="e">
        <f t="shared" si="178"/>
        <v>#N/A</v>
      </c>
    </row>
    <row r="858" spans="1:82" ht="61.5" x14ac:dyDescent="0.85">
      <c r="A858" s="20">
        <v>1</v>
      </c>
      <c r="B858" s="66">
        <f>SUBTOTAL(103,$A$560:A858)</f>
        <v>286</v>
      </c>
      <c r="C858" s="211" t="s">
        <v>1215</v>
      </c>
      <c r="D858" s="31">
        <f>E858+F858+G858+H858+I858+J858+L858+N858+P858+R858+T858+U858+V858+W858+X858+Y858+Z858+AA858+AB858+AC858+AD858+AE858</f>
        <v>1859292.57</v>
      </c>
      <c r="E858" s="38">
        <v>0</v>
      </c>
      <c r="F858" s="38">
        <v>0</v>
      </c>
      <c r="G858" s="31">
        <v>0</v>
      </c>
      <c r="H858" s="38">
        <v>0</v>
      </c>
      <c r="I858" s="38">
        <v>0</v>
      </c>
      <c r="J858" s="38">
        <v>0</v>
      </c>
      <c r="K858" s="33">
        <v>0</v>
      </c>
      <c r="L858" s="31">
        <v>0</v>
      </c>
      <c r="M858" s="207">
        <v>407.8</v>
      </c>
      <c r="N858" s="207">
        <v>1713588.74</v>
      </c>
      <c r="O858" s="38">
        <v>0</v>
      </c>
      <c r="P858" s="38">
        <v>0</v>
      </c>
      <c r="Q858" s="31">
        <v>0</v>
      </c>
      <c r="R858" s="31">
        <v>0</v>
      </c>
      <c r="S858" s="31">
        <v>0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1">
        <v>0</v>
      </c>
      <c r="Z858" s="31">
        <v>0</v>
      </c>
      <c r="AA858" s="31">
        <v>0</v>
      </c>
      <c r="AB858" s="31">
        <v>0</v>
      </c>
      <c r="AC858" s="31">
        <f t="shared" si="186"/>
        <v>25703.83</v>
      </c>
      <c r="AD858" s="31">
        <v>0</v>
      </c>
      <c r="AE858" s="31">
        <v>120000</v>
      </c>
      <c r="AF858" s="34" t="s">
        <v>271</v>
      </c>
      <c r="AG858" s="34">
        <v>2021</v>
      </c>
      <c r="AH858" s="35">
        <v>2021</v>
      </c>
      <c r="BZ858" s="71"/>
      <c r="CD858" s="20">
        <f t="shared" si="178"/>
        <v>407.8</v>
      </c>
    </row>
    <row r="859" spans="1:82" ht="61.5" x14ac:dyDescent="0.85">
      <c r="A859" s="20">
        <v>1</v>
      </c>
      <c r="B859" s="66">
        <f>SUBTOTAL(103,$A$560:A859)</f>
        <v>287</v>
      </c>
      <c r="C859" s="211" t="s">
        <v>682</v>
      </c>
      <c r="D859" s="31">
        <f t="shared" si="187"/>
        <v>2567424.7199999997</v>
      </c>
      <c r="E859" s="38">
        <v>0</v>
      </c>
      <c r="F859" s="38">
        <v>0</v>
      </c>
      <c r="G859" s="31">
        <v>0</v>
      </c>
      <c r="H859" s="38">
        <v>0</v>
      </c>
      <c r="I859" s="38">
        <v>0</v>
      </c>
      <c r="J859" s="38">
        <v>0</v>
      </c>
      <c r="K859" s="33">
        <v>0</v>
      </c>
      <c r="L859" s="31">
        <v>0</v>
      </c>
      <c r="M859" s="31">
        <v>520.4</v>
      </c>
      <c r="N859" s="31">
        <f>2529482.48-118226.6</f>
        <v>2411255.88</v>
      </c>
      <c r="O859" s="38">
        <v>0</v>
      </c>
      <c r="P859" s="38">
        <v>0</v>
      </c>
      <c r="Q859" s="31">
        <v>0</v>
      </c>
      <c r="R859" s="31">
        <v>0</v>
      </c>
      <c r="S859" s="31">
        <v>0</v>
      </c>
      <c r="T859" s="31">
        <v>0</v>
      </c>
      <c r="U859" s="31">
        <v>0</v>
      </c>
      <c r="V859" s="31">
        <v>0</v>
      </c>
      <c r="W859" s="31">
        <v>0</v>
      </c>
      <c r="X859" s="31">
        <v>0</v>
      </c>
      <c r="Y859" s="31">
        <v>0</v>
      </c>
      <c r="Z859" s="31">
        <v>0</v>
      </c>
      <c r="AA859" s="31">
        <v>0</v>
      </c>
      <c r="AB859" s="31">
        <v>0</v>
      </c>
      <c r="AC859" s="31">
        <f t="shared" si="186"/>
        <v>36168.839999999997</v>
      </c>
      <c r="AD859" s="31">
        <v>0</v>
      </c>
      <c r="AE859" s="31">
        <v>120000</v>
      </c>
      <c r="AF859" s="34" t="s">
        <v>271</v>
      </c>
      <c r="AG859" s="34">
        <v>2021</v>
      </c>
      <c r="AH859" s="35">
        <v>2021</v>
      </c>
      <c r="AT859" s="20" t="e">
        <f>VLOOKUP(C859,AW:AX,2,FALSE)</f>
        <v>#N/A</v>
      </c>
      <c r="BZ859" s="71"/>
      <c r="CD859" s="20" t="e">
        <f t="shared" si="178"/>
        <v>#N/A</v>
      </c>
    </row>
    <row r="860" spans="1:82" ht="61.5" x14ac:dyDescent="0.85">
      <c r="B860" s="24" t="s">
        <v>837</v>
      </c>
      <c r="C860" s="114"/>
      <c r="D860" s="31">
        <f t="shared" ref="D860:AE860" si="188">SUM(D861:D865)</f>
        <v>16668323.34</v>
      </c>
      <c r="E860" s="31">
        <f t="shared" si="188"/>
        <v>0</v>
      </c>
      <c r="F860" s="31">
        <f t="shared" si="188"/>
        <v>0</v>
      </c>
      <c r="G860" s="31">
        <f t="shared" si="188"/>
        <v>0</v>
      </c>
      <c r="H860" s="31">
        <f t="shared" si="188"/>
        <v>0</v>
      </c>
      <c r="I860" s="31">
        <f t="shared" si="188"/>
        <v>0</v>
      </c>
      <c r="J860" s="31">
        <f t="shared" si="188"/>
        <v>0</v>
      </c>
      <c r="K860" s="33">
        <f t="shared" si="188"/>
        <v>0</v>
      </c>
      <c r="L860" s="31">
        <f t="shared" si="188"/>
        <v>0</v>
      </c>
      <c r="M860" s="31">
        <f t="shared" si="188"/>
        <v>2454</v>
      </c>
      <c r="N860" s="31">
        <f t="shared" si="188"/>
        <v>10789974.23</v>
      </c>
      <c r="O860" s="31">
        <f t="shared" si="188"/>
        <v>0</v>
      </c>
      <c r="P860" s="31">
        <f t="shared" si="188"/>
        <v>0</v>
      </c>
      <c r="Q860" s="31">
        <f t="shared" si="188"/>
        <v>0</v>
      </c>
      <c r="R860" s="31">
        <f t="shared" si="188"/>
        <v>0</v>
      </c>
      <c r="S860" s="31">
        <f t="shared" si="188"/>
        <v>114</v>
      </c>
      <c r="T860" s="31">
        <f t="shared" si="188"/>
        <v>966674.55</v>
      </c>
      <c r="U860" s="31">
        <f t="shared" si="188"/>
        <v>4066158.53</v>
      </c>
      <c r="V860" s="31">
        <f t="shared" si="188"/>
        <v>0</v>
      </c>
      <c r="W860" s="31">
        <f t="shared" si="188"/>
        <v>0</v>
      </c>
      <c r="X860" s="31">
        <f t="shared" si="188"/>
        <v>0</v>
      </c>
      <c r="Y860" s="31">
        <f t="shared" si="188"/>
        <v>0</v>
      </c>
      <c r="Z860" s="31">
        <f t="shared" si="188"/>
        <v>0</v>
      </c>
      <c r="AA860" s="31">
        <f t="shared" si="188"/>
        <v>0</v>
      </c>
      <c r="AB860" s="31">
        <f t="shared" si="188"/>
        <v>0</v>
      </c>
      <c r="AC860" s="31">
        <f t="shared" si="188"/>
        <v>237342.11</v>
      </c>
      <c r="AD860" s="31">
        <f t="shared" si="188"/>
        <v>488173.92000000004</v>
      </c>
      <c r="AE860" s="31">
        <f t="shared" si="188"/>
        <v>120000</v>
      </c>
      <c r="AF860" s="72" t="s">
        <v>764</v>
      </c>
      <c r="AG860" s="72" t="s">
        <v>764</v>
      </c>
      <c r="AH860" s="87" t="s">
        <v>764</v>
      </c>
      <c r="AT860" s="20" t="e">
        <f>VLOOKUP(C860,AW:AX,2,FALSE)</f>
        <v>#N/A</v>
      </c>
      <c r="BZ860" s="71">
        <v>11973050.91</v>
      </c>
      <c r="CB860" s="71">
        <f>BZ860-D860</f>
        <v>-4695272.43</v>
      </c>
      <c r="CD860" s="20" t="e">
        <f t="shared" si="178"/>
        <v>#N/A</v>
      </c>
    </row>
    <row r="861" spans="1:82" ht="61.5" x14ac:dyDescent="0.85">
      <c r="A861" s="20">
        <v>1</v>
      </c>
      <c r="B861" s="66">
        <f>SUBTOTAL(103,$A$560:A861)</f>
        <v>288</v>
      </c>
      <c r="C861" s="24" t="s">
        <v>237</v>
      </c>
      <c r="D861" s="31">
        <f t="shared" ref="D861:D867" si="189">E861+F861+G861+H861+I861+J861+L861+N861+P861+R861+T861+U861+V861+W861+X861+Y861+Z861+AA861+AB861+AC861+AD861+AE861</f>
        <v>7386727.6500000004</v>
      </c>
      <c r="E861" s="31">
        <v>0</v>
      </c>
      <c r="F861" s="31">
        <v>0</v>
      </c>
      <c r="G861" s="31">
        <v>0</v>
      </c>
      <c r="H861" s="31">
        <v>0</v>
      </c>
      <c r="I861" s="31">
        <v>0</v>
      </c>
      <c r="J861" s="31">
        <v>0</v>
      </c>
      <c r="K861" s="33">
        <v>0</v>
      </c>
      <c r="L861" s="31">
        <v>0</v>
      </c>
      <c r="M861" s="31">
        <v>1509</v>
      </c>
      <c r="N861" s="31">
        <f>7404827.59-237942.47-7322.63</f>
        <v>7159562.4900000002</v>
      </c>
      <c r="O861" s="31">
        <v>0</v>
      </c>
      <c r="P861" s="31">
        <v>0</v>
      </c>
      <c r="Q861" s="31">
        <v>0</v>
      </c>
      <c r="R861" s="31">
        <v>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1">
        <v>0</v>
      </c>
      <c r="Y861" s="31">
        <v>0</v>
      </c>
      <c r="Z861" s="31">
        <v>0</v>
      </c>
      <c r="AA861" s="31">
        <v>0</v>
      </c>
      <c r="AB861" s="31">
        <v>0</v>
      </c>
      <c r="AC861" s="31">
        <f>ROUND(N861*1.5%,2)</f>
        <v>107393.44</v>
      </c>
      <c r="AD861" s="210">
        <v>119771.72</v>
      </c>
      <c r="AE861" s="31">
        <v>0</v>
      </c>
      <c r="AF861" s="34">
        <v>2021</v>
      </c>
      <c r="AG861" s="34">
        <v>2021</v>
      </c>
      <c r="AH861" s="35">
        <v>2021</v>
      </c>
      <c r="AT861" s="20">
        <f>VLOOKUP(C861,AW:AX,2,FALSE)</f>
        <v>1</v>
      </c>
      <c r="BZ861" s="71"/>
      <c r="CD861" s="20" t="e">
        <f t="shared" si="178"/>
        <v>#N/A</v>
      </c>
    </row>
    <row r="862" spans="1:82" ht="61.5" x14ac:dyDescent="0.85">
      <c r="A862" s="20">
        <v>1</v>
      </c>
      <c r="B862" s="66">
        <f>SUBTOTAL(103,$A$560:A862)</f>
        <v>289</v>
      </c>
      <c r="C862" s="24" t="s">
        <v>242</v>
      </c>
      <c r="D862" s="31">
        <f t="shared" si="189"/>
        <v>4229794.2699999996</v>
      </c>
      <c r="E862" s="31">
        <v>0</v>
      </c>
      <c r="F862" s="31">
        <v>0</v>
      </c>
      <c r="G862" s="31">
        <v>0</v>
      </c>
      <c r="H862" s="31">
        <v>0</v>
      </c>
      <c r="I862" s="31">
        <v>0</v>
      </c>
      <c r="J862" s="31">
        <v>0</v>
      </c>
      <c r="K862" s="33">
        <v>0</v>
      </c>
      <c r="L862" s="31">
        <v>0</v>
      </c>
      <c r="M862" s="31">
        <v>0</v>
      </c>
      <c r="N862" s="31">
        <v>0</v>
      </c>
      <c r="O862" s="31">
        <v>0</v>
      </c>
      <c r="P862" s="31">
        <v>0</v>
      </c>
      <c r="Q862" s="31">
        <v>0</v>
      </c>
      <c r="R862" s="31">
        <v>0</v>
      </c>
      <c r="S862" s="31">
        <v>0</v>
      </c>
      <c r="T862" s="31">
        <v>0</v>
      </c>
      <c r="U862" s="31">
        <v>4066158.53</v>
      </c>
      <c r="V862" s="31">
        <v>0</v>
      </c>
      <c r="W862" s="31">
        <v>0</v>
      </c>
      <c r="X862" s="31">
        <v>0</v>
      </c>
      <c r="Y862" s="31">
        <v>0</v>
      </c>
      <c r="Z862" s="31">
        <v>0</v>
      </c>
      <c r="AA862" s="31">
        <v>0</v>
      </c>
      <c r="AB862" s="31">
        <v>0</v>
      </c>
      <c r="AC862" s="31">
        <f>ROUND(U862*1.5%,2)</f>
        <v>60992.38</v>
      </c>
      <c r="AD862" s="210">
        <v>102643.36</v>
      </c>
      <c r="AE862" s="31">
        <v>0</v>
      </c>
      <c r="AF862" s="34">
        <v>2021</v>
      </c>
      <c r="AG862" s="34">
        <v>2021</v>
      </c>
      <c r="AH862" s="35">
        <v>2021</v>
      </c>
      <c r="AT862" s="20" t="e">
        <f>VLOOKUP(C862,AW:AX,2,FALSE)</f>
        <v>#N/A</v>
      </c>
      <c r="BZ862" s="71"/>
      <c r="CD862" s="20" t="e">
        <f t="shared" si="178"/>
        <v>#N/A</v>
      </c>
    </row>
    <row r="863" spans="1:82" ht="61.5" x14ac:dyDescent="0.85">
      <c r="A863" s="20">
        <v>1</v>
      </c>
      <c r="B863" s="66">
        <f>SUBTOTAL(103,$A$560:A863)</f>
        <v>290</v>
      </c>
      <c r="C863" s="24" t="s">
        <v>1630</v>
      </c>
      <c r="D863" s="31">
        <f t="shared" si="189"/>
        <v>1438527.14</v>
      </c>
      <c r="E863" s="31">
        <v>0</v>
      </c>
      <c r="F863" s="31">
        <v>0</v>
      </c>
      <c r="G863" s="31">
        <v>0</v>
      </c>
      <c r="H863" s="31">
        <v>0</v>
      </c>
      <c r="I863" s="31">
        <v>0</v>
      </c>
      <c r="J863" s="31">
        <v>0</v>
      </c>
      <c r="K863" s="33">
        <v>0</v>
      </c>
      <c r="L863" s="31">
        <v>0</v>
      </c>
      <c r="M863" s="31">
        <v>280</v>
      </c>
      <c r="N863" s="31">
        <v>1361678.82</v>
      </c>
      <c r="O863" s="31">
        <v>0</v>
      </c>
      <c r="P863" s="31">
        <v>0</v>
      </c>
      <c r="Q863" s="31">
        <v>0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1">
        <v>0</v>
      </c>
      <c r="Y863" s="31">
        <v>0</v>
      </c>
      <c r="Z863" s="31">
        <v>0</v>
      </c>
      <c r="AA863" s="31">
        <v>0</v>
      </c>
      <c r="AB863" s="31">
        <v>0</v>
      </c>
      <c r="AC863" s="31">
        <f>ROUND(N863*1.5%,2)</f>
        <v>20425.18</v>
      </c>
      <c r="AD863" s="210">
        <v>56423.14</v>
      </c>
      <c r="AE863" s="31">
        <v>0</v>
      </c>
      <c r="AF863" s="34">
        <v>2021</v>
      </c>
      <c r="AG863" s="34">
        <v>2021</v>
      </c>
      <c r="AH863" s="35">
        <v>2021</v>
      </c>
      <c r="BZ863" s="71"/>
      <c r="CD863" s="20" t="e">
        <f t="shared" si="178"/>
        <v>#N/A</v>
      </c>
    </row>
    <row r="864" spans="1:82" ht="61.5" x14ac:dyDescent="0.85">
      <c r="A864" s="20">
        <v>1</v>
      </c>
      <c r="B864" s="66">
        <f>SUBTOTAL(103,$A$560:A864)</f>
        <v>291</v>
      </c>
      <c r="C864" s="24" t="s">
        <v>1631</v>
      </c>
      <c r="D864" s="31">
        <f>E864+F864+G864+H864+I864+J864+L864+N864+P864+R864+T864+U864+V864+W864+X864+Y864+Z864+AA864+AB864+AC864+AD864+AE864</f>
        <v>1221174.67</v>
      </c>
      <c r="E864" s="31">
        <v>0</v>
      </c>
      <c r="F864" s="31">
        <v>0</v>
      </c>
      <c r="G864" s="31">
        <v>0</v>
      </c>
      <c r="H864" s="31">
        <v>0</v>
      </c>
      <c r="I864" s="31">
        <v>0</v>
      </c>
      <c r="J864" s="31">
        <v>0</v>
      </c>
      <c r="K864" s="33">
        <v>0</v>
      </c>
      <c r="L864" s="31">
        <v>0</v>
      </c>
      <c r="M864" s="31">
        <v>0</v>
      </c>
      <c r="N864" s="31">
        <v>0</v>
      </c>
      <c r="O864" s="31">
        <v>0</v>
      </c>
      <c r="P864" s="31">
        <v>0</v>
      </c>
      <c r="Q864" s="31">
        <v>0</v>
      </c>
      <c r="R864" s="31">
        <v>0</v>
      </c>
      <c r="S864" s="31">
        <v>114</v>
      </c>
      <c r="T864" s="31">
        <v>966674.55</v>
      </c>
      <c r="U864" s="31">
        <v>0</v>
      </c>
      <c r="V864" s="31">
        <v>0</v>
      </c>
      <c r="W864" s="31">
        <v>0</v>
      </c>
      <c r="X864" s="31">
        <v>0</v>
      </c>
      <c r="Y864" s="31">
        <v>0</v>
      </c>
      <c r="Z864" s="31">
        <v>0</v>
      </c>
      <c r="AA864" s="31">
        <v>0</v>
      </c>
      <c r="AB864" s="31">
        <v>0</v>
      </c>
      <c r="AC864" s="31">
        <f>ROUND(T864*1.5%,2)</f>
        <v>14500.12</v>
      </c>
      <c r="AD864" s="31">
        <v>120000</v>
      </c>
      <c r="AE864" s="31">
        <v>120000</v>
      </c>
      <c r="AF864" s="34">
        <v>2021</v>
      </c>
      <c r="AG864" s="34">
        <v>2021</v>
      </c>
      <c r="AH864" s="35">
        <v>2021</v>
      </c>
      <c r="BZ864" s="71"/>
      <c r="CD864" s="20" t="e">
        <f t="shared" ref="CD864:CD895" si="190">VLOOKUP(C864,CE:CF,2,FALSE)</f>
        <v>#N/A</v>
      </c>
    </row>
    <row r="865" spans="1:82" ht="61.5" x14ac:dyDescent="0.85">
      <c r="A865" s="20">
        <v>1</v>
      </c>
      <c r="B865" s="66">
        <f>SUBTOTAL(103,$A$560:A865)</f>
        <v>292</v>
      </c>
      <c r="C865" s="24" t="s">
        <v>1230</v>
      </c>
      <c r="D865" s="31">
        <f>E865+F865+G865+H865+I865+J865+L865+N865+P865+R865+T865+U865+V865+W865+X865+Y865+Z865+AA865+AB865+AC865+AD865+AE865</f>
        <v>2392099.6100000003</v>
      </c>
      <c r="E865" s="38">
        <v>0</v>
      </c>
      <c r="F865" s="38">
        <v>0</v>
      </c>
      <c r="G865" s="31">
        <v>0</v>
      </c>
      <c r="H865" s="38">
        <v>0</v>
      </c>
      <c r="I865" s="38">
        <v>0</v>
      </c>
      <c r="J865" s="38">
        <v>0</v>
      </c>
      <c r="K865" s="33">
        <v>0</v>
      </c>
      <c r="L865" s="31">
        <v>0</v>
      </c>
      <c r="M865" s="31">
        <v>665</v>
      </c>
      <c r="N865" s="31">
        <v>2268732.92</v>
      </c>
      <c r="O865" s="38">
        <v>0</v>
      </c>
      <c r="P865" s="38">
        <v>0</v>
      </c>
      <c r="Q865" s="31">
        <v>0</v>
      </c>
      <c r="R865" s="31">
        <v>0</v>
      </c>
      <c r="S865" s="31">
        <v>0</v>
      </c>
      <c r="T865" s="31">
        <v>0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0</v>
      </c>
      <c r="AA865" s="31">
        <v>0</v>
      </c>
      <c r="AB865" s="31">
        <v>0</v>
      </c>
      <c r="AC865" s="31">
        <f>ROUND(N865*1.5%,2)</f>
        <v>34030.99</v>
      </c>
      <c r="AD865" s="210">
        <v>89335.7</v>
      </c>
      <c r="AE865" s="31">
        <v>0</v>
      </c>
      <c r="AF865" s="34">
        <v>2021</v>
      </c>
      <c r="AG865" s="34">
        <v>2021</v>
      </c>
      <c r="AH865" s="35">
        <v>2021</v>
      </c>
      <c r="BZ865" s="71"/>
      <c r="CD865" s="20" t="e">
        <f t="shared" si="190"/>
        <v>#N/A</v>
      </c>
    </row>
    <row r="866" spans="1:82" ht="61.5" x14ac:dyDescent="0.85">
      <c r="B866" s="24" t="s">
        <v>1296</v>
      </c>
      <c r="C866" s="24"/>
      <c r="D866" s="31">
        <f>SUM(D867:D868)</f>
        <v>4544967.91</v>
      </c>
      <c r="E866" s="31">
        <f t="shared" ref="E866:AE866" si="191">SUM(E867:E868)</f>
        <v>0</v>
      </c>
      <c r="F866" s="31">
        <f t="shared" si="191"/>
        <v>0</v>
      </c>
      <c r="G866" s="31">
        <f t="shared" si="191"/>
        <v>0</v>
      </c>
      <c r="H866" s="31">
        <f t="shared" si="191"/>
        <v>0</v>
      </c>
      <c r="I866" s="31">
        <f t="shared" si="191"/>
        <v>0</v>
      </c>
      <c r="J866" s="31">
        <f t="shared" si="191"/>
        <v>0</v>
      </c>
      <c r="K866" s="33">
        <f t="shared" si="191"/>
        <v>0</v>
      </c>
      <c r="L866" s="31">
        <f t="shared" si="191"/>
        <v>0</v>
      </c>
      <c r="M866" s="31">
        <f t="shared" si="191"/>
        <v>0</v>
      </c>
      <c r="N866" s="31">
        <f t="shared" si="191"/>
        <v>0</v>
      </c>
      <c r="O866" s="31">
        <f t="shared" si="191"/>
        <v>0</v>
      </c>
      <c r="P866" s="31">
        <f t="shared" si="191"/>
        <v>0</v>
      </c>
      <c r="Q866" s="31">
        <f t="shared" si="191"/>
        <v>1339.3600000000001</v>
      </c>
      <c r="R866" s="31">
        <f t="shared" si="191"/>
        <v>4359595.47</v>
      </c>
      <c r="S866" s="31">
        <f t="shared" si="191"/>
        <v>0</v>
      </c>
      <c r="T866" s="31">
        <f t="shared" si="191"/>
        <v>0</v>
      </c>
      <c r="U866" s="31">
        <f t="shared" si="191"/>
        <v>0</v>
      </c>
      <c r="V866" s="31">
        <f t="shared" si="191"/>
        <v>0</v>
      </c>
      <c r="W866" s="31">
        <f t="shared" si="191"/>
        <v>0</v>
      </c>
      <c r="X866" s="31">
        <f t="shared" si="191"/>
        <v>0</v>
      </c>
      <c r="Y866" s="31">
        <f t="shared" si="191"/>
        <v>0</v>
      </c>
      <c r="Z866" s="31">
        <f t="shared" si="191"/>
        <v>0</v>
      </c>
      <c r="AA866" s="31">
        <f t="shared" si="191"/>
        <v>0</v>
      </c>
      <c r="AB866" s="31">
        <f t="shared" si="191"/>
        <v>0</v>
      </c>
      <c r="AC866" s="31">
        <f t="shared" si="191"/>
        <v>65393.93</v>
      </c>
      <c r="AD866" s="31">
        <f t="shared" si="191"/>
        <v>119978.51</v>
      </c>
      <c r="AE866" s="31">
        <f t="shared" si="191"/>
        <v>0</v>
      </c>
      <c r="AF866" s="72" t="s">
        <v>764</v>
      </c>
      <c r="AG866" s="72" t="s">
        <v>764</v>
      </c>
      <c r="AH866" s="87" t="s">
        <v>764</v>
      </c>
      <c r="AT866" s="20" t="e">
        <f>VLOOKUP(C866,AW:AX,2,FALSE)</f>
        <v>#N/A</v>
      </c>
      <c r="BZ866" s="71">
        <v>3284631.43</v>
      </c>
      <c r="CD866" s="20" t="e">
        <f t="shared" si="190"/>
        <v>#N/A</v>
      </c>
    </row>
    <row r="867" spans="1:82" ht="61.5" x14ac:dyDescent="0.85">
      <c r="A867" s="20">
        <v>1</v>
      </c>
      <c r="B867" s="66">
        <f>SUBTOTAL(103,$A$560:A867)</f>
        <v>293</v>
      </c>
      <c r="C867" s="24" t="s">
        <v>1297</v>
      </c>
      <c r="D867" s="31">
        <f t="shared" si="189"/>
        <v>3254609.94</v>
      </c>
      <c r="E867" s="31">
        <v>0</v>
      </c>
      <c r="F867" s="31">
        <v>0</v>
      </c>
      <c r="G867" s="31">
        <v>0</v>
      </c>
      <c r="H867" s="31">
        <v>0</v>
      </c>
      <c r="I867" s="31">
        <v>0</v>
      </c>
      <c r="J867" s="31">
        <v>0</v>
      </c>
      <c r="K867" s="33">
        <v>0</v>
      </c>
      <c r="L867" s="31">
        <v>0</v>
      </c>
      <c r="M867" s="31">
        <v>0</v>
      </c>
      <c r="N867" s="31">
        <v>0</v>
      </c>
      <c r="O867" s="31">
        <v>0</v>
      </c>
      <c r="P867" s="31">
        <v>0</v>
      </c>
      <c r="Q867" s="31">
        <v>842.36</v>
      </c>
      <c r="R867" s="31">
        <v>3088306.83</v>
      </c>
      <c r="S867" s="31">
        <v>0</v>
      </c>
      <c r="T867" s="31">
        <v>0</v>
      </c>
      <c r="U867" s="31">
        <v>0</v>
      </c>
      <c r="V867" s="31">
        <v>0</v>
      </c>
      <c r="W867" s="31">
        <v>0</v>
      </c>
      <c r="X867" s="31">
        <v>0</v>
      </c>
      <c r="Y867" s="31">
        <v>0</v>
      </c>
      <c r="Z867" s="31">
        <v>0</v>
      </c>
      <c r="AA867" s="31">
        <v>0</v>
      </c>
      <c r="AB867" s="31">
        <v>0</v>
      </c>
      <c r="AC867" s="31">
        <f>ROUND(R867*1.5%,2)</f>
        <v>46324.6</v>
      </c>
      <c r="AD867" s="210">
        <v>119978.51</v>
      </c>
      <c r="AE867" s="31">
        <v>0</v>
      </c>
      <c r="AF867" s="34">
        <v>2021</v>
      </c>
      <c r="AG867" s="34">
        <v>2021</v>
      </c>
      <c r="AH867" s="35">
        <v>2021</v>
      </c>
      <c r="BZ867" s="71"/>
      <c r="CD867" s="20" t="e">
        <f t="shared" si="190"/>
        <v>#N/A</v>
      </c>
    </row>
    <row r="868" spans="1:82" ht="61.5" x14ac:dyDescent="0.85">
      <c r="A868" s="20">
        <v>1</v>
      </c>
      <c r="B868" s="66">
        <f>SUBTOTAL(103,$A$560:A868)</f>
        <v>294</v>
      </c>
      <c r="C868" s="211" t="s">
        <v>1234</v>
      </c>
      <c r="D868" s="31">
        <f>E868+F868+G868+H868+I868+J868+L868+N868+P868+R868+T868+U868+V868+W868+X868+Y868+Z868+AA868+AB868+AC868+AD868+AE868</f>
        <v>1290357.97</v>
      </c>
      <c r="E868" s="38">
        <v>0</v>
      </c>
      <c r="F868" s="38">
        <v>0</v>
      </c>
      <c r="G868" s="31">
        <v>0</v>
      </c>
      <c r="H868" s="38">
        <v>0</v>
      </c>
      <c r="I868" s="38">
        <v>0</v>
      </c>
      <c r="J868" s="38">
        <v>0</v>
      </c>
      <c r="K868" s="33">
        <v>0</v>
      </c>
      <c r="L868" s="31">
        <v>0</v>
      </c>
      <c r="M868" s="31">
        <v>0</v>
      </c>
      <c r="N868" s="31">
        <v>0</v>
      </c>
      <c r="O868" s="38">
        <v>0</v>
      </c>
      <c r="P868" s="38">
        <v>0</v>
      </c>
      <c r="Q868" s="31">
        <v>497</v>
      </c>
      <c r="R868" s="31">
        <v>1271288.6399999999</v>
      </c>
      <c r="S868" s="31">
        <v>0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1">
        <f>ROUND(R868*1.5%,2)</f>
        <v>19069.330000000002</v>
      </c>
      <c r="AD868" s="31">
        <v>0</v>
      </c>
      <c r="AE868" s="31">
        <v>0</v>
      </c>
      <c r="AF868" s="34" t="s">
        <v>271</v>
      </c>
      <c r="AG868" s="34">
        <v>2021</v>
      </c>
      <c r="AH868" s="35">
        <v>2021</v>
      </c>
      <c r="BZ868" s="71"/>
      <c r="CD868" s="20" t="e">
        <f t="shared" si="190"/>
        <v>#N/A</v>
      </c>
    </row>
    <row r="869" spans="1:82" ht="61.5" x14ac:dyDescent="0.85">
      <c r="B869" s="24" t="s">
        <v>880</v>
      </c>
      <c r="C869" s="24"/>
      <c r="D869" s="31">
        <f t="shared" ref="D869:AE869" si="192">SUM(D870)</f>
        <v>2205555.96</v>
      </c>
      <c r="E869" s="31">
        <f t="shared" si="192"/>
        <v>0</v>
      </c>
      <c r="F869" s="31">
        <f t="shared" si="192"/>
        <v>0</v>
      </c>
      <c r="G869" s="31">
        <f t="shared" si="192"/>
        <v>0</v>
      </c>
      <c r="H869" s="31">
        <f t="shared" si="192"/>
        <v>0</v>
      </c>
      <c r="I869" s="31">
        <f t="shared" si="192"/>
        <v>0</v>
      </c>
      <c r="J869" s="31">
        <f t="shared" si="192"/>
        <v>0</v>
      </c>
      <c r="K869" s="33">
        <f t="shared" si="192"/>
        <v>0</v>
      </c>
      <c r="L869" s="31">
        <f t="shared" si="192"/>
        <v>0</v>
      </c>
      <c r="M869" s="31">
        <f t="shared" si="192"/>
        <v>442.2</v>
      </c>
      <c r="N869" s="31">
        <f t="shared" si="192"/>
        <v>2103665.02</v>
      </c>
      <c r="O869" s="31">
        <f t="shared" si="192"/>
        <v>0</v>
      </c>
      <c r="P869" s="31">
        <f t="shared" si="192"/>
        <v>0</v>
      </c>
      <c r="Q869" s="31">
        <f t="shared" si="192"/>
        <v>0</v>
      </c>
      <c r="R869" s="31">
        <f t="shared" si="192"/>
        <v>0</v>
      </c>
      <c r="S869" s="31">
        <f t="shared" si="192"/>
        <v>0</v>
      </c>
      <c r="T869" s="31">
        <f t="shared" si="192"/>
        <v>0</v>
      </c>
      <c r="U869" s="31">
        <f t="shared" si="192"/>
        <v>0</v>
      </c>
      <c r="V869" s="31">
        <f t="shared" si="192"/>
        <v>0</v>
      </c>
      <c r="W869" s="31">
        <f t="shared" si="192"/>
        <v>0</v>
      </c>
      <c r="X869" s="31">
        <f t="shared" si="192"/>
        <v>0</v>
      </c>
      <c r="Y869" s="31">
        <f t="shared" si="192"/>
        <v>0</v>
      </c>
      <c r="Z869" s="31">
        <f t="shared" si="192"/>
        <v>0</v>
      </c>
      <c r="AA869" s="31">
        <f t="shared" si="192"/>
        <v>0</v>
      </c>
      <c r="AB869" s="31">
        <f t="shared" si="192"/>
        <v>0</v>
      </c>
      <c r="AC869" s="31">
        <f t="shared" si="192"/>
        <v>31554.98</v>
      </c>
      <c r="AD869" s="31">
        <f t="shared" si="192"/>
        <v>70335.960000000006</v>
      </c>
      <c r="AE869" s="31">
        <f t="shared" si="192"/>
        <v>0</v>
      </c>
      <c r="AF869" s="72" t="s">
        <v>764</v>
      </c>
      <c r="AG869" s="72" t="s">
        <v>764</v>
      </c>
      <c r="AH869" s="87" t="s">
        <v>764</v>
      </c>
      <c r="AT869" s="20" t="e">
        <f t="shared" ref="AT869:AT880" si="193">VLOOKUP(C869,AW:AX,2,FALSE)</f>
        <v>#N/A</v>
      </c>
      <c r="BZ869" s="71">
        <v>2255220</v>
      </c>
      <c r="CD869" s="20" t="e">
        <f t="shared" si="190"/>
        <v>#N/A</v>
      </c>
    </row>
    <row r="870" spans="1:82" ht="61.5" x14ac:dyDescent="0.85">
      <c r="A870" s="20">
        <v>1</v>
      </c>
      <c r="B870" s="66">
        <f>SUBTOTAL(103,$A$560:A870)</f>
        <v>295</v>
      </c>
      <c r="C870" s="24" t="s">
        <v>244</v>
      </c>
      <c r="D870" s="31">
        <f>E870+F870+G870+H870+I870+J870+L870+N870+P870+R870+T870+U870+V870+W870+X870+Y870+Z870+AA870+AB870+AC870+AD870+AE870</f>
        <v>2205555.96</v>
      </c>
      <c r="E870" s="31">
        <v>0</v>
      </c>
      <c r="F870" s="31">
        <v>0</v>
      </c>
      <c r="G870" s="31">
        <v>0</v>
      </c>
      <c r="H870" s="31">
        <v>0</v>
      </c>
      <c r="I870" s="31">
        <v>0</v>
      </c>
      <c r="J870" s="31">
        <v>0</v>
      </c>
      <c r="K870" s="33">
        <v>0</v>
      </c>
      <c r="L870" s="31">
        <v>0</v>
      </c>
      <c r="M870" s="31">
        <v>442.2</v>
      </c>
      <c r="N870" s="31">
        <v>2103665.02</v>
      </c>
      <c r="O870" s="31">
        <v>0</v>
      </c>
      <c r="P870" s="31">
        <v>0</v>
      </c>
      <c r="Q870" s="31">
        <v>0</v>
      </c>
      <c r="R870" s="31">
        <v>0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f>ROUND(N870*1.5%,2)</f>
        <v>31554.98</v>
      </c>
      <c r="AD870" s="210">
        <v>70335.960000000006</v>
      </c>
      <c r="AE870" s="31">
        <v>0</v>
      </c>
      <c r="AF870" s="34">
        <v>2021</v>
      </c>
      <c r="AG870" s="34">
        <v>2021</v>
      </c>
      <c r="AH870" s="35">
        <v>2021</v>
      </c>
      <c r="AT870" s="20" t="e">
        <f t="shared" si="193"/>
        <v>#N/A</v>
      </c>
      <c r="BZ870" s="71"/>
      <c r="CD870" s="20" t="e">
        <f t="shared" si="190"/>
        <v>#N/A</v>
      </c>
    </row>
    <row r="871" spans="1:82" ht="61.5" x14ac:dyDescent="0.85">
      <c r="B871" s="24" t="s">
        <v>881</v>
      </c>
      <c r="C871" s="183"/>
      <c r="D871" s="31">
        <f t="shared" ref="D871:AE871" si="194">D872</f>
        <v>2610900</v>
      </c>
      <c r="E871" s="31">
        <f t="shared" si="194"/>
        <v>0</v>
      </c>
      <c r="F871" s="31">
        <f t="shared" si="194"/>
        <v>0</v>
      </c>
      <c r="G871" s="31">
        <f t="shared" si="194"/>
        <v>0</v>
      </c>
      <c r="H871" s="31">
        <f t="shared" si="194"/>
        <v>0</v>
      </c>
      <c r="I871" s="31">
        <f t="shared" si="194"/>
        <v>0</v>
      </c>
      <c r="J871" s="31">
        <f t="shared" si="194"/>
        <v>0</v>
      </c>
      <c r="K871" s="33">
        <f t="shared" si="194"/>
        <v>0</v>
      </c>
      <c r="L871" s="31">
        <f t="shared" si="194"/>
        <v>0</v>
      </c>
      <c r="M871" s="31">
        <f t="shared" si="194"/>
        <v>500</v>
      </c>
      <c r="N871" s="31">
        <f t="shared" si="194"/>
        <v>2454088.67</v>
      </c>
      <c r="O871" s="31">
        <f t="shared" si="194"/>
        <v>0</v>
      </c>
      <c r="P871" s="31">
        <f t="shared" si="194"/>
        <v>0</v>
      </c>
      <c r="Q871" s="31">
        <f t="shared" si="194"/>
        <v>0</v>
      </c>
      <c r="R871" s="31">
        <f t="shared" si="194"/>
        <v>0</v>
      </c>
      <c r="S871" s="31">
        <f t="shared" si="194"/>
        <v>0</v>
      </c>
      <c r="T871" s="31">
        <f t="shared" si="194"/>
        <v>0</v>
      </c>
      <c r="U871" s="31">
        <f t="shared" si="194"/>
        <v>0</v>
      </c>
      <c r="V871" s="31">
        <f t="shared" si="194"/>
        <v>0</v>
      </c>
      <c r="W871" s="31">
        <f t="shared" si="194"/>
        <v>0</v>
      </c>
      <c r="X871" s="31">
        <f t="shared" si="194"/>
        <v>0</v>
      </c>
      <c r="Y871" s="31">
        <f t="shared" si="194"/>
        <v>0</v>
      </c>
      <c r="Z871" s="31">
        <f t="shared" si="194"/>
        <v>0</v>
      </c>
      <c r="AA871" s="31">
        <f t="shared" si="194"/>
        <v>0</v>
      </c>
      <c r="AB871" s="31">
        <f t="shared" si="194"/>
        <v>0</v>
      </c>
      <c r="AC871" s="31">
        <f t="shared" si="194"/>
        <v>36811.33</v>
      </c>
      <c r="AD871" s="31">
        <f t="shared" si="194"/>
        <v>120000</v>
      </c>
      <c r="AE871" s="31">
        <f t="shared" si="194"/>
        <v>0</v>
      </c>
      <c r="AF871" s="72" t="s">
        <v>764</v>
      </c>
      <c r="AG871" s="72" t="s">
        <v>764</v>
      </c>
      <c r="AH871" s="87" t="s">
        <v>764</v>
      </c>
      <c r="AT871" s="20" t="e">
        <f t="shared" si="193"/>
        <v>#N/A</v>
      </c>
      <c r="BZ871" s="71">
        <v>2610900</v>
      </c>
      <c r="CD871" s="20" t="e">
        <f t="shared" si="190"/>
        <v>#N/A</v>
      </c>
    </row>
    <row r="872" spans="1:82" ht="61.5" x14ac:dyDescent="0.85">
      <c r="A872" s="20">
        <v>1</v>
      </c>
      <c r="B872" s="66">
        <f>SUBTOTAL(103,$A$560:A872)</f>
        <v>296</v>
      </c>
      <c r="C872" s="25" t="s">
        <v>2</v>
      </c>
      <c r="D872" s="31">
        <f>E872+F872+G872+H872+I872+J872+L872+N872+P872+R872+T872+U872+V872+W872+X872+Y872+Z872+AA872+AB872+AC872+AD872+AE872</f>
        <v>2610900</v>
      </c>
      <c r="E872" s="31">
        <v>0</v>
      </c>
      <c r="F872" s="31">
        <v>0</v>
      </c>
      <c r="G872" s="31">
        <v>0</v>
      </c>
      <c r="H872" s="31">
        <v>0</v>
      </c>
      <c r="I872" s="31">
        <v>0</v>
      </c>
      <c r="J872" s="31">
        <v>0</v>
      </c>
      <c r="K872" s="33">
        <v>0</v>
      </c>
      <c r="L872" s="31">
        <v>0</v>
      </c>
      <c r="M872" s="31">
        <v>500</v>
      </c>
      <c r="N872" s="31">
        <v>2454088.67</v>
      </c>
      <c r="O872" s="31">
        <v>0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1">
        <v>0</v>
      </c>
      <c r="Y872" s="31">
        <v>0</v>
      </c>
      <c r="Z872" s="31">
        <v>0</v>
      </c>
      <c r="AA872" s="31">
        <v>0</v>
      </c>
      <c r="AB872" s="31">
        <v>0</v>
      </c>
      <c r="AC872" s="31">
        <f>ROUND(N872*1.5%,2)</f>
        <v>36811.33</v>
      </c>
      <c r="AD872" s="31">
        <v>120000</v>
      </c>
      <c r="AE872" s="31">
        <v>0</v>
      </c>
      <c r="AF872" s="34">
        <v>2021</v>
      </c>
      <c r="AG872" s="34">
        <v>2021</v>
      </c>
      <c r="AH872" s="35">
        <v>2021</v>
      </c>
      <c r="AT872" s="20" t="e">
        <f t="shared" si="193"/>
        <v>#N/A</v>
      </c>
      <c r="BZ872" s="71"/>
      <c r="CD872" s="20" t="e">
        <f t="shared" si="190"/>
        <v>#N/A</v>
      </c>
    </row>
    <row r="873" spans="1:82" ht="61.5" x14ac:dyDescent="0.85">
      <c r="B873" s="24" t="s">
        <v>882</v>
      </c>
      <c r="C873" s="25"/>
      <c r="D873" s="31">
        <f t="shared" ref="D873:AE873" si="195">D874</f>
        <v>3133080</v>
      </c>
      <c r="E873" s="31">
        <f t="shared" si="195"/>
        <v>0</v>
      </c>
      <c r="F873" s="31">
        <f t="shared" si="195"/>
        <v>0</v>
      </c>
      <c r="G873" s="31">
        <f t="shared" si="195"/>
        <v>0</v>
      </c>
      <c r="H873" s="31">
        <f t="shared" si="195"/>
        <v>0</v>
      </c>
      <c r="I873" s="31">
        <f t="shared" si="195"/>
        <v>0</v>
      </c>
      <c r="J873" s="31">
        <f t="shared" si="195"/>
        <v>0</v>
      </c>
      <c r="K873" s="33">
        <f t="shared" si="195"/>
        <v>0</v>
      </c>
      <c r="L873" s="31">
        <f t="shared" si="195"/>
        <v>0</v>
      </c>
      <c r="M873" s="31">
        <f t="shared" si="195"/>
        <v>600</v>
      </c>
      <c r="N873" s="31">
        <f t="shared" si="195"/>
        <v>2938995.07</v>
      </c>
      <c r="O873" s="31">
        <f t="shared" si="195"/>
        <v>0</v>
      </c>
      <c r="P873" s="31">
        <f t="shared" si="195"/>
        <v>0</v>
      </c>
      <c r="Q873" s="31">
        <f t="shared" si="195"/>
        <v>0</v>
      </c>
      <c r="R873" s="31">
        <f t="shared" si="195"/>
        <v>0</v>
      </c>
      <c r="S873" s="31">
        <f t="shared" si="195"/>
        <v>0</v>
      </c>
      <c r="T873" s="31">
        <f t="shared" si="195"/>
        <v>0</v>
      </c>
      <c r="U873" s="31">
        <f t="shared" si="195"/>
        <v>0</v>
      </c>
      <c r="V873" s="31">
        <f t="shared" si="195"/>
        <v>0</v>
      </c>
      <c r="W873" s="31">
        <f t="shared" si="195"/>
        <v>0</v>
      </c>
      <c r="X873" s="31">
        <f t="shared" si="195"/>
        <v>0</v>
      </c>
      <c r="Y873" s="31">
        <f t="shared" si="195"/>
        <v>0</v>
      </c>
      <c r="Z873" s="31">
        <f t="shared" si="195"/>
        <v>0</v>
      </c>
      <c r="AA873" s="31">
        <f t="shared" si="195"/>
        <v>0</v>
      </c>
      <c r="AB873" s="31">
        <f t="shared" si="195"/>
        <v>0</v>
      </c>
      <c r="AC873" s="31">
        <f t="shared" si="195"/>
        <v>44084.93</v>
      </c>
      <c r="AD873" s="31">
        <f t="shared" si="195"/>
        <v>150000</v>
      </c>
      <c r="AE873" s="31">
        <f t="shared" si="195"/>
        <v>0</v>
      </c>
      <c r="AF873" s="72" t="s">
        <v>764</v>
      </c>
      <c r="AG873" s="72" t="s">
        <v>764</v>
      </c>
      <c r="AH873" s="87" t="s">
        <v>764</v>
      </c>
      <c r="AT873" s="20" t="e">
        <f t="shared" si="193"/>
        <v>#N/A</v>
      </c>
      <c r="BZ873" s="71">
        <v>3133080</v>
      </c>
      <c r="CB873" s="71">
        <f>BZ873-D873</f>
        <v>0</v>
      </c>
      <c r="CD873" s="20" t="e">
        <f t="shared" si="190"/>
        <v>#N/A</v>
      </c>
    </row>
    <row r="874" spans="1:82" ht="61.5" x14ac:dyDescent="0.85">
      <c r="A874" s="20">
        <v>1</v>
      </c>
      <c r="B874" s="66">
        <f>SUBTOTAL(103,$A$560:A874)</f>
        <v>297</v>
      </c>
      <c r="C874" s="25" t="s">
        <v>1</v>
      </c>
      <c r="D874" s="31">
        <f>E874+F874+G874+H874+I874+J874+L874+N874+P874+R874+T874+U874+V874+W874+X874+Y874+Z874+AA874+AB874+AC874+AD874+AE874</f>
        <v>3133080</v>
      </c>
      <c r="E874" s="31">
        <v>0</v>
      </c>
      <c r="F874" s="31">
        <v>0</v>
      </c>
      <c r="G874" s="31">
        <v>0</v>
      </c>
      <c r="H874" s="31">
        <v>0</v>
      </c>
      <c r="I874" s="31">
        <v>0</v>
      </c>
      <c r="J874" s="31">
        <v>0</v>
      </c>
      <c r="K874" s="33">
        <v>0</v>
      </c>
      <c r="L874" s="31">
        <v>0</v>
      </c>
      <c r="M874" s="31">
        <v>600</v>
      </c>
      <c r="N874" s="31">
        <v>2938995.07</v>
      </c>
      <c r="O874" s="31">
        <v>0</v>
      </c>
      <c r="P874" s="31">
        <v>0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1">
        <v>0</v>
      </c>
      <c r="X874" s="31">
        <v>0</v>
      </c>
      <c r="Y874" s="31">
        <v>0</v>
      </c>
      <c r="Z874" s="31">
        <v>0</v>
      </c>
      <c r="AA874" s="31">
        <v>0</v>
      </c>
      <c r="AB874" s="31">
        <v>0</v>
      </c>
      <c r="AC874" s="31">
        <f>ROUND(N874*1.5%,2)</f>
        <v>44084.93</v>
      </c>
      <c r="AD874" s="31">
        <v>150000</v>
      </c>
      <c r="AE874" s="31">
        <v>0</v>
      </c>
      <c r="AF874" s="34">
        <v>2021</v>
      </c>
      <c r="AG874" s="34">
        <v>2021</v>
      </c>
      <c r="AH874" s="35">
        <v>2021</v>
      </c>
      <c r="AT874" s="20" t="e">
        <f t="shared" si="193"/>
        <v>#N/A</v>
      </c>
      <c r="BZ874" s="71"/>
      <c r="CD874" s="20" t="e">
        <f t="shared" si="190"/>
        <v>#N/A</v>
      </c>
    </row>
    <row r="875" spans="1:82" ht="61.5" x14ac:dyDescent="0.85">
      <c r="B875" s="24" t="s">
        <v>841</v>
      </c>
      <c r="C875" s="114"/>
      <c r="D875" s="31">
        <f t="shared" ref="D875:AE875" si="196">D876</f>
        <v>8458120</v>
      </c>
      <c r="E875" s="31">
        <f t="shared" si="196"/>
        <v>0</v>
      </c>
      <c r="F875" s="31">
        <f t="shared" si="196"/>
        <v>0</v>
      </c>
      <c r="G875" s="31">
        <f t="shared" si="196"/>
        <v>0</v>
      </c>
      <c r="H875" s="31">
        <f t="shared" si="196"/>
        <v>0</v>
      </c>
      <c r="I875" s="31">
        <f t="shared" si="196"/>
        <v>0</v>
      </c>
      <c r="J875" s="31">
        <f t="shared" si="196"/>
        <v>0</v>
      </c>
      <c r="K875" s="33">
        <f t="shared" si="196"/>
        <v>0</v>
      </c>
      <c r="L875" s="31">
        <f t="shared" si="196"/>
        <v>0</v>
      </c>
      <c r="M875" s="31">
        <f t="shared" si="196"/>
        <v>2000</v>
      </c>
      <c r="N875" s="31">
        <f t="shared" si="196"/>
        <v>8185339.9000000004</v>
      </c>
      <c r="O875" s="31">
        <f t="shared" si="196"/>
        <v>0</v>
      </c>
      <c r="P875" s="31">
        <f t="shared" si="196"/>
        <v>0</v>
      </c>
      <c r="Q875" s="31">
        <f t="shared" si="196"/>
        <v>0</v>
      </c>
      <c r="R875" s="31">
        <f t="shared" si="196"/>
        <v>0</v>
      </c>
      <c r="S875" s="31">
        <f t="shared" si="196"/>
        <v>0</v>
      </c>
      <c r="T875" s="31">
        <f t="shared" si="196"/>
        <v>0</v>
      </c>
      <c r="U875" s="31">
        <f t="shared" si="196"/>
        <v>0</v>
      </c>
      <c r="V875" s="31">
        <f t="shared" si="196"/>
        <v>0</v>
      </c>
      <c r="W875" s="31">
        <f t="shared" si="196"/>
        <v>0</v>
      </c>
      <c r="X875" s="31">
        <f t="shared" si="196"/>
        <v>0</v>
      </c>
      <c r="Y875" s="31">
        <f t="shared" si="196"/>
        <v>0</v>
      </c>
      <c r="Z875" s="31">
        <f t="shared" si="196"/>
        <v>0</v>
      </c>
      <c r="AA875" s="31">
        <f t="shared" si="196"/>
        <v>0</v>
      </c>
      <c r="AB875" s="31">
        <f t="shared" si="196"/>
        <v>0</v>
      </c>
      <c r="AC875" s="31">
        <f t="shared" si="196"/>
        <v>122780.1</v>
      </c>
      <c r="AD875" s="31">
        <f t="shared" si="196"/>
        <v>150000</v>
      </c>
      <c r="AE875" s="31">
        <f t="shared" si="196"/>
        <v>0</v>
      </c>
      <c r="AF875" s="72" t="s">
        <v>764</v>
      </c>
      <c r="AG875" s="72" t="s">
        <v>764</v>
      </c>
      <c r="AH875" s="87" t="s">
        <v>764</v>
      </c>
      <c r="AT875" s="20" t="e">
        <f t="shared" si="193"/>
        <v>#N/A</v>
      </c>
      <c r="BZ875" s="71">
        <v>7250046.1200000001</v>
      </c>
      <c r="CB875" s="71">
        <f>BZ875-D875</f>
        <v>-1208073.8799999999</v>
      </c>
      <c r="CD875" s="20" t="e">
        <f t="shared" si="190"/>
        <v>#N/A</v>
      </c>
    </row>
    <row r="876" spans="1:82" ht="61.5" x14ac:dyDescent="0.85">
      <c r="A876" s="20">
        <v>1</v>
      </c>
      <c r="B876" s="66">
        <f>SUBTOTAL(103,$A$560:A876)</f>
        <v>298</v>
      </c>
      <c r="C876" s="24" t="s">
        <v>706</v>
      </c>
      <c r="D876" s="31">
        <f>E876+F876+G876+H876+I876+J876+L876+N876+P876+R876+T876+U876+V876+W876+X876+Y876+Z876+AA876+AB876+AC876+AD876+AE876</f>
        <v>8458120</v>
      </c>
      <c r="E876" s="31">
        <v>0</v>
      </c>
      <c r="F876" s="31">
        <v>0</v>
      </c>
      <c r="G876" s="31">
        <v>0</v>
      </c>
      <c r="H876" s="31">
        <v>0</v>
      </c>
      <c r="I876" s="31">
        <v>0</v>
      </c>
      <c r="J876" s="31">
        <v>0</v>
      </c>
      <c r="K876" s="33">
        <v>0</v>
      </c>
      <c r="L876" s="31">
        <v>0</v>
      </c>
      <c r="M876" s="31">
        <v>2000</v>
      </c>
      <c r="N876" s="31">
        <v>8185339.9000000004</v>
      </c>
      <c r="O876" s="31">
        <v>0</v>
      </c>
      <c r="P876" s="31">
        <v>0</v>
      </c>
      <c r="Q876" s="31">
        <v>0</v>
      </c>
      <c r="R876" s="31">
        <v>0</v>
      </c>
      <c r="S876" s="31">
        <v>0</v>
      </c>
      <c r="T876" s="31">
        <v>0</v>
      </c>
      <c r="U876" s="31">
        <v>0</v>
      </c>
      <c r="V876" s="31">
        <v>0</v>
      </c>
      <c r="W876" s="31">
        <v>0</v>
      </c>
      <c r="X876" s="31">
        <v>0</v>
      </c>
      <c r="Y876" s="31">
        <v>0</v>
      </c>
      <c r="Z876" s="31">
        <v>0</v>
      </c>
      <c r="AA876" s="31">
        <v>0</v>
      </c>
      <c r="AB876" s="31">
        <v>0</v>
      </c>
      <c r="AC876" s="31">
        <f>ROUND(N876*1.5%,2)</f>
        <v>122780.1</v>
      </c>
      <c r="AD876" s="31">
        <v>150000</v>
      </c>
      <c r="AE876" s="31">
        <v>0</v>
      </c>
      <c r="AF876" s="34">
        <v>2021</v>
      </c>
      <c r="AG876" s="34">
        <v>2021</v>
      </c>
      <c r="AH876" s="35">
        <v>2021</v>
      </c>
      <c r="AT876" s="20" t="e">
        <f t="shared" si="193"/>
        <v>#N/A</v>
      </c>
      <c r="BZ876" s="71"/>
      <c r="CD876" s="20" t="e">
        <f t="shared" si="190"/>
        <v>#N/A</v>
      </c>
    </row>
    <row r="877" spans="1:82" ht="61.5" x14ac:dyDescent="0.85">
      <c r="B877" s="24" t="s">
        <v>883</v>
      </c>
      <c r="C877" s="24"/>
      <c r="D877" s="31">
        <f t="shared" ref="D877:AE877" si="197">D878</f>
        <v>2537436</v>
      </c>
      <c r="E877" s="31">
        <f t="shared" si="197"/>
        <v>0</v>
      </c>
      <c r="F877" s="31">
        <f t="shared" si="197"/>
        <v>0</v>
      </c>
      <c r="G877" s="31">
        <f t="shared" si="197"/>
        <v>0</v>
      </c>
      <c r="H877" s="31">
        <f t="shared" si="197"/>
        <v>0</v>
      </c>
      <c r="I877" s="31">
        <f t="shared" si="197"/>
        <v>0</v>
      </c>
      <c r="J877" s="31">
        <f t="shared" si="197"/>
        <v>0</v>
      </c>
      <c r="K877" s="33">
        <f t="shared" si="197"/>
        <v>0</v>
      </c>
      <c r="L877" s="31">
        <f t="shared" si="197"/>
        <v>0</v>
      </c>
      <c r="M877" s="31">
        <f t="shared" si="197"/>
        <v>600</v>
      </c>
      <c r="N877" s="31">
        <f t="shared" si="197"/>
        <v>2371858.13</v>
      </c>
      <c r="O877" s="31">
        <f t="shared" si="197"/>
        <v>0</v>
      </c>
      <c r="P877" s="31">
        <f t="shared" si="197"/>
        <v>0</v>
      </c>
      <c r="Q877" s="31">
        <f t="shared" si="197"/>
        <v>0</v>
      </c>
      <c r="R877" s="31">
        <f t="shared" si="197"/>
        <v>0</v>
      </c>
      <c r="S877" s="31">
        <f t="shared" si="197"/>
        <v>0</v>
      </c>
      <c r="T877" s="31">
        <f t="shared" si="197"/>
        <v>0</v>
      </c>
      <c r="U877" s="31">
        <f t="shared" si="197"/>
        <v>0</v>
      </c>
      <c r="V877" s="31">
        <f t="shared" si="197"/>
        <v>0</v>
      </c>
      <c r="W877" s="31">
        <f t="shared" si="197"/>
        <v>0</v>
      </c>
      <c r="X877" s="31">
        <f t="shared" si="197"/>
        <v>0</v>
      </c>
      <c r="Y877" s="31">
        <f t="shared" si="197"/>
        <v>0</v>
      </c>
      <c r="Z877" s="31">
        <f t="shared" si="197"/>
        <v>0</v>
      </c>
      <c r="AA877" s="31">
        <f t="shared" si="197"/>
        <v>0</v>
      </c>
      <c r="AB877" s="31">
        <f t="shared" si="197"/>
        <v>0</v>
      </c>
      <c r="AC877" s="31">
        <f t="shared" si="197"/>
        <v>35577.870000000003</v>
      </c>
      <c r="AD877" s="31">
        <f t="shared" si="197"/>
        <v>130000</v>
      </c>
      <c r="AE877" s="31">
        <f t="shared" si="197"/>
        <v>0</v>
      </c>
      <c r="AF877" s="72" t="s">
        <v>764</v>
      </c>
      <c r="AG877" s="72" t="s">
        <v>764</v>
      </c>
      <c r="AH877" s="87" t="s">
        <v>764</v>
      </c>
      <c r="AT877" s="20" t="e">
        <f t="shared" si="193"/>
        <v>#N/A</v>
      </c>
      <c r="BZ877" s="71">
        <v>2473090.71</v>
      </c>
      <c r="CB877" s="71">
        <f>BZ877-D877</f>
        <v>-64345.290000000037</v>
      </c>
      <c r="CD877" s="20" t="e">
        <f t="shared" si="190"/>
        <v>#N/A</v>
      </c>
    </row>
    <row r="878" spans="1:82" ht="61.5" x14ac:dyDescent="0.85">
      <c r="A878" s="20">
        <v>1</v>
      </c>
      <c r="B878" s="66">
        <f>SUBTOTAL(103,$A$560:A878)</f>
        <v>299</v>
      </c>
      <c r="C878" s="24" t="s">
        <v>712</v>
      </c>
      <c r="D878" s="31">
        <f>E878+F878+G878+H878+I878+J878+L878+N878+P878+R878+T878+U878+V878+W878+X878+Y878+Z878+AA878+AB878+AC878+AD878+AE878</f>
        <v>2537436</v>
      </c>
      <c r="E878" s="31">
        <v>0</v>
      </c>
      <c r="F878" s="31">
        <v>0</v>
      </c>
      <c r="G878" s="31">
        <v>0</v>
      </c>
      <c r="H878" s="31">
        <v>0</v>
      </c>
      <c r="I878" s="31">
        <v>0</v>
      </c>
      <c r="J878" s="31">
        <v>0</v>
      </c>
      <c r="K878" s="33">
        <v>0</v>
      </c>
      <c r="L878" s="31">
        <v>0</v>
      </c>
      <c r="M878" s="31">
        <v>600</v>
      </c>
      <c r="N878" s="31">
        <v>2371858.13</v>
      </c>
      <c r="O878" s="31">
        <v>0</v>
      </c>
      <c r="P878" s="31">
        <v>0</v>
      </c>
      <c r="Q878" s="31">
        <v>0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1">
        <v>0</v>
      </c>
      <c r="Z878" s="31">
        <v>0</v>
      </c>
      <c r="AA878" s="31">
        <v>0</v>
      </c>
      <c r="AB878" s="31">
        <v>0</v>
      </c>
      <c r="AC878" s="31">
        <f>ROUND(N878*1.5%,2)</f>
        <v>35577.870000000003</v>
      </c>
      <c r="AD878" s="31">
        <v>130000</v>
      </c>
      <c r="AE878" s="31">
        <v>0</v>
      </c>
      <c r="AF878" s="34">
        <v>2021</v>
      </c>
      <c r="AG878" s="34">
        <v>2021</v>
      </c>
      <c r="AH878" s="35">
        <v>2021</v>
      </c>
      <c r="AT878" s="20" t="e">
        <f t="shared" si="193"/>
        <v>#N/A</v>
      </c>
      <c r="BZ878" s="71"/>
      <c r="CD878" s="20" t="e">
        <f t="shared" si="190"/>
        <v>#N/A</v>
      </c>
    </row>
    <row r="879" spans="1:82" ht="61.5" x14ac:dyDescent="0.85">
      <c r="B879" s="24" t="s">
        <v>842</v>
      </c>
      <c r="C879" s="24"/>
      <c r="D879" s="31">
        <f>SUM(D880:D881)</f>
        <v>6009009.3600000003</v>
      </c>
      <c r="E879" s="31">
        <f t="shared" ref="E879:AE879" si="198">SUM(E880:E881)</f>
        <v>0</v>
      </c>
      <c r="F879" s="31">
        <f t="shared" si="198"/>
        <v>0</v>
      </c>
      <c r="G879" s="31">
        <f t="shared" si="198"/>
        <v>0</v>
      </c>
      <c r="H879" s="31">
        <f t="shared" si="198"/>
        <v>0</v>
      </c>
      <c r="I879" s="31">
        <f t="shared" si="198"/>
        <v>0</v>
      </c>
      <c r="J879" s="31">
        <f t="shared" si="198"/>
        <v>0</v>
      </c>
      <c r="K879" s="33">
        <f t="shared" si="198"/>
        <v>0</v>
      </c>
      <c r="L879" s="31">
        <f t="shared" si="198"/>
        <v>0</v>
      </c>
      <c r="M879" s="31">
        <f t="shared" si="198"/>
        <v>1464.8</v>
      </c>
      <c r="N879" s="31">
        <f t="shared" si="198"/>
        <v>5792142.4199999999</v>
      </c>
      <c r="O879" s="31">
        <f t="shared" si="198"/>
        <v>0</v>
      </c>
      <c r="P879" s="31">
        <f t="shared" si="198"/>
        <v>0</v>
      </c>
      <c r="Q879" s="31">
        <f t="shared" si="198"/>
        <v>0</v>
      </c>
      <c r="R879" s="31">
        <f t="shared" si="198"/>
        <v>0</v>
      </c>
      <c r="S879" s="31">
        <f t="shared" si="198"/>
        <v>0</v>
      </c>
      <c r="T879" s="31">
        <f t="shared" si="198"/>
        <v>0</v>
      </c>
      <c r="U879" s="31">
        <f t="shared" si="198"/>
        <v>0</v>
      </c>
      <c r="V879" s="31">
        <f t="shared" si="198"/>
        <v>0</v>
      </c>
      <c r="W879" s="31">
        <f t="shared" si="198"/>
        <v>0</v>
      </c>
      <c r="X879" s="31">
        <f t="shared" si="198"/>
        <v>0</v>
      </c>
      <c r="Y879" s="31">
        <f t="shared" si="198"/>
        <v>0</v>
      </c>
      <c r="Z879" s="31">
        <f t="shared" si="198"/>
        <v>0</v>
      </c>
      <c r="AA879" s="31">
        <f t="shared" si="198"/>
        <v>0</v>
      </c>
      <c r="AB879" s="31">
        <f t="shared" si="198"/>
        <v>0</v>
      </c>
      <c r="AC879" s="31">
        <f t="shared" si="198"/>
        <v>86882.14</v>
      </c>
      <c r="AD879" s="31">
        <f t="shared" si="198"/>
        <v>129984.8</v>
      </c>
      <c r="AE879" s="31">
        <f t="shared" si="198"/>
        <v>0</v>
      </c>
      <c r="AF879" s="72" t="s">
        <v>764</v>
      </c>
      <c r="AG879" s="72" t="s">
        <v>764</v>
      </c>
      <c r="AH879" s="87" t="s">
        <v>764</v>
      </c>
      <c r="AT879" s="20" t="e">
        <f t="shared" si="193"/>
        <v>#N/A</v>
      </c>
      <c r="BZ879" s="71">
        <v>2622646.19</v>
      </c>
      <c r="CB879" s="71">
        <f>BZ879-D879</f>
        <v>-3386363.1700000004</v>
      </c>
      <c r="CD879" s="20" t="e">
        <f t="shared" si="190"/>
        <v>#N/A</v>
      </c>
    </row>
    <row r="880" spans="1:82" ht="61.5" x14ac:dyDescent="0.85">
      <c r="A880" s="20">
        <v>1</v>
      </c>
      <c r="B880" s="66">
        <f>SUBTOTAL(103,$A$560:A880)</f>
        <v>300</v>
      </c>
      <c r="C880" s="24" t="s">
        <v>709</v>
      </c>
      <c r="D880" s="31">
        <f>E880+F880+G880+H880+I880+J880+L880+N880+P880+R880+T880+U880+V880+W880+X880+Y880+Z880+AA880+AB880+AC880+AD880+AE880</f>
        <v>2968784.92</v>
      </c>
      <c r="E880" s="31">
        <v>0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3">
        <v>0</v>
      </c>
      <c r="L880" s="31">
        <v>0</v>
      </c>
      <c r="M880" s="31">
        <v>702</v>
      </c>
      <c r="N880" s="31">
        <v>2796847.41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1">
        <f>ROUND(N880*1.5%,2)</f>
        <v>41952.71</v>
      </c>
      <c r="AD880" s="31">
        <f>130000.8-16</f>
        <v>129984.8</v>
      </c>
      <c r="AE880" s="31">
        <v>0</v>
      </c>
      <c r="AF880" s="34">
        <v>2021</v>
      </c>
      <c r="AG880" s="34">
        <v>2021</v>
      </c>
      <c r="AH880" s="35">
        <v>2021</v>
      </c>
      <c r="AT880" s="20" t="e">
        <f t="shared" si="193"/>
        <v>#N/A</v>
      </c>
      <c r="BZ880" s="71"/>
      <c r="CD880" s="20" t="e">
        <f t="shared" si="190"/>
        <v>#N/A</v>
      </c>
    </row>
    <row r="881" spans="1:82" ht="61.5" x14ac:dyDescent="0.85">
      <c r="A881" s="20">
        <v>1</v>
      </c>
      <c r="B881" s="66">
        <f>SUBTOTAL(103,$A$560:A881)</f>
        <v>301</v>
      </c>
      <c r="C881" s="211" t="s">
        <v>1575</v>
      </c>
      <c r="D881" s="31">
        <f>E881+F881+G881+H881+I881+J881+L881+N881+P881+R881+T881+U881+V881+W881+X881+Y881+Z881+AA881+AB881+AC881+AD881+AE881</f>
        <v>3040224.4400000004</v>
      </c>
      <c r="E881" s="31">
        <v>0</v>
      </c>
      <c r="F881" s="31">
        <v>0</v>
      </c>
      <c r="G881" s="31">
        <v>0</v>
      </c>
      <c r="H881" s="31">
        <v>0</v>
      </c>
      <c r="I881" s="31">
        <v>0</v>
      </c>
      <c r="J881" s="31">
        <v>0</v>
      </c>
      <c r="K881" s="33">
        <v>0</v>
      </c>
      <c r="L881" s="31">
        <v>0</v>
      </c>
      <c r="M881" s="31">
        <v>762.8</v>
      </c>
      <c r="N881" s="205">
        <f>3130467.24-135172.23</f>
        <v>2995295.0100000002</v>
      </c>
      <c r="O881" s="31">
        <v>0</v>
      </c>
      <c r="P881" s="31">
        <v>0</v>
      </c>
      <c r="Q881" s="31">
        <v>0</v>
      </c>
      <c r="R881" s="31">
        <v>0</v>
      </c>
      <c r="S881" s="31">
        <v>0</v>
      </c>
      <c r="T881" s="31">
        <v>0</v>
      </c>
      <c r="U881" s="31">
        <v>0</v>
      </c>
      <c r="V881" s="31">
        <v>0</v>
      </c>
      <c r="W881" s="31">
        <v>0</v>
      </c>
      <c r="X881" s="31">
        <v>0</v>
      </c>
      <c r="Y881" s="31">
        <v>0</v>
      </c>
      <c r="Z881" s="31">
        <v>0</v>
      </c>
      <c r="AA881" s="31">
        <v>0</v>
      </c>
      <c r="AB881" s="31">
        <v>0</v>
      </c>
      <c r="AC881" s="31">
        <f>ROUND(N881*1.5%,2)</f>
        <v>44929.43</v>
      </c>
      <c r="AD881" s="31">
        <v>0</v>
      </c>
      <c r="AE881" s="31">
        <v>0</v>
      </c>
      <c r="AF881" s="34" t="s">
        <v>271</v>
      </c>
      <c r="AG881" s="34">
        <v>2021</v>
      </c>
      <c r="AH881" s="35">
        <v>2021</v>
      </c>
      <c r="BZ881" s="71"/>
      <c r="CD881" s="20">
        <f t="shared" si="190"/>
        <v>762.8</v>
      </c>
    </row>
    <row r="882" spans="1:82" ht="61.5" x14ac:dyDescent="0.85">
      <c r="B882" s="24" t="s">
        <v>844</v>
      </c>
      <c r="C882" s="114"/>
      <c r="D882" s="31">
        <f t="shared" ref="D882:AE882" si="199">SUM(D883:D891)</f>
        <v>33508915.759999998</v>
      </c>
      <c r="E882" s="31">
        <f t="shared" si="199"/>
        <v>0</v>
      </c>
      <c r="F882" s="31">
        <f t="shared" si="199"/>
        <v>0</v>
      </c>
      <c r="G882" s="31">
        <f t="shared" si="199"/>
        <v>0</v>
      </c>
      <c r="H882" s="31">
        <f t="shared" si="199"/>
        <v>0</v>
      </c>
      <c r="I882" s="31">
        <f t="shared" si="199"/>
        <v>0</v>
      </c>
      <c r="J882" s="31">
        <f t="shared" si="199"/>
        <v>0</v>
      </c>
      <c r="K882" s="33">
        <f t="shared" si="199"/>
        <v>0</v>
      </c>
      <c r="L882" s="31">
        <f t="shared" si="199"/>
        <v>0</v>
      </c>
      <c r="M882" s="31">
        <f t="shared" si="199"/>
        <v>5920.2199999999993</v>
      </c>
      <c r="N882" s="31">
        <f t="shared" si="199"/>
        <v>27228906.41</v>
      </c>
      <c r="O882" s="31">
        <f t="shared" si="199"/>
        <v>0</v>
      </c>
      <c r="P882" s="31">
        <f t="shared" si="199"/>
        <v>0</v>
      </c>
      <c r="Q882" s="31">
        <f t="shared" si="199"/>
        <v>0</v>
      </c>
      <c r="R882" s="31">
        <f t="shared" si="199"/>
        <v>0</v>
      </c>
      <c r="S882" s="31">
        <f t="shared" si="199"/>
        <v>0</v>
      </c>
      <c r="T882" s="31">
        <f t="shared" si="199"/>
        <v>0</v>
      </c>
      <c r="U882" s="31">
        <f t="shared" si="199"/>
        <v>4930927.92</v>
      </c>
      <c r="V882" s="31">
        <f t="shared" si="199"/>
        <v>0</v>
      </c>
      <c r="W882" s="31">
        <f t="shared" si="199"/>
        <v>0</v>
      </c>
      <c r="X882" s="31">
        <f t="shared" si="199"/>
        <v>0</v>
      </c>
      <c r="Y882" s="31">
        <f t="shared" si="199"/>
        <v>0</v>
      </c>
      <c r="Z882" s="31">
        <f t="shared" si="199"/>
        <v>0</v>
      </c>
      <c r="AA882" s="31">
        <f t="shared" si="199"/>
        <v>0</v>
      </c>
      <c r="AB882" s="31">
        <f t="shared" si="199"/>
        <v>0</v>
      </c>
      <c r="AC882" s="31">
        <f t="shared" si="199"/>
        <v>482397.50999999995</v>
      </c>
      <c r="AD882" s="31">
        <f t="shared" si="199"/>
        <v>866683.91999999993</v>
      </c>
      <c r="AE882" s="31">
        <f t="shared" si="199"/>
        <v>0</v>
      </c>
      <c r="AF882" s="72" t="s">
        <v>764</v>
      </c>
      <c r="AG882" s="72" t="s">
        <v>764</v>
      </c>
      <c r="AH882" s="87" t="s">
        <v>764</v>
      </c>
      <c r="AT882" s="20" t="e">
        <f t="shared" ref="AT882:AT905" si="200">VLOOKUP(C882,AW:AX,2,FALSE)</f>
        <v>#N/A</v>
      </c>
      <c r="BZ882" s="71">
        <v>29283340</v>
      </c>
      <c r="CD882" s="20" t="e">
        <f t="shared" si="190"/>
        <v>#N/A</v>
      </c>
    </row>
    <row r="883" spans="1:82" ht="61.5" x14ac:dyDescent="0.85">
      <c r="A883" s="20">
        <v>1</v>
      </c>
      <c r="B883" s="66">
        <f>SUBTOTAL(103,$A$560:A883)</f>
        <v>302</v>
      </c>
      <c r="C883" s="24" t="s">
        <v>123</v>
      </c>
      <c r="D883" s="31">
        <f t="shared" ref="D883:D891" si="201">E883+F883+G883+H883+I883+J883+L883+N883+P883+R883+T883+U883+V883+W883+X883+Y883+Z883+AA883+AB883+AC883+AD883+AE883</f>
        <v>3282441.93</v>
      </c>
      <c r="E883" s="31">
        <v>0</v>
      </c>
      <c r="F883" s="31">
        <v>0</v>
      </c>
      <c r="G883" s="31">
        <v>0</v>
      </c>
      <c r="H883" s="31">
        <v>0</v>
      </c>
      <c r="I883" s="31">
        <v>0</v>
      </c>
      <c r="J883" s="31">
        <v>0</v>
      </c>
      <c r="K883" s="33">
        <v>0</v>
      </c>
      <c r="L883" s="31">
        <v>0</v>
      </c>
      <c r="M883" s="31">
        <v>662.5</v>
      </c>
      <c r="N883" s="31">
        <v>3115763.55</v>
      </c>
      <c r="O883" s="31">
        <v>0</v>
      </c>
      <c r="P883" s="31">
        <v>0</v>
      </c>
      <c r="Q883" s="31">
        <v>0</v>
      </c>
      <c r="R883" s="31">
        <v>0</v>
      </c>
      <c r="S883" s="31">
        <v>0</v>
      </c>
      <c r="T883" s="31">
        <v>0</v>
      </c>
      <c r="U883" s="31">
        <v>0</v>
      </c>
      <c r="V883" s="31">
        <v>0</v>
      </c>
      <c r="W883" s="31">
        <v>0</v>
      </c>
      <c r="X883" s="31">
        <v>0</v>
      </c>
      <c r="Y883" s="31">
        <v>0</v>
      </c>
      <c r="Z883" s="31">
        <v>0</v>
      </c>
      <c r="AA883" s="31">
        <v>0</v>
      </c>
      <c r="AB883" s="31">
        <v>0</v>
      </c>
      <c r="AC883" s="31">
        <f t="shared" ref="AC883:AC891" si="202">ROUND(N883*1.5%,2)</f>
        <v>46736.45</v>
      </c>
      <c r="AD883" s="210">
        <v>119941.93</v>
      </c>
      <c r="AE883" s="31">
        <v>0</v>
      </c>
      <c r="AF883" s="34">
        <v>2021</v>
      </c>
      <c r="AG883" s="34">
        <v>2021</v>
      </c>
      <c r="AH883" s="35">
        <v>2021</v>
      </c>
      <c r="AT883" s="20" t="e">
        <f t="shared" si="200"/>
        <v>#N/A</v>
      </c>
      <c r="BZ883" s="71"/>
      <c r="CD883" s="20" t="e">
        <f t="shared" si="190"/>
        <v>#N/A</v>
      </c>
    </row>
    <row r="884" spans="1:82" ht="61.5" x14ac:dyDescent="0.85">
      <c r="A884" s="20">
        <v>1</v>
      </c>
      <c r="B884" s="66">
        <f>SUBTOTAL(103,$A$560:A884)</f>
        <v>303</v>
      </c>
      <c r="C884" s="24" t="s">
        <v>128</v>
      </c>
      <c r="D884" s="31">
        <f t="shared" si="201"/>
        <v>5113507.6399999997</v>
      </c>
      <c r="E884" s="31">
        <v>0</v>
      </c>
      <c r="F884" s="31">
        <v>0</v>
      </c>
      <c r="G884" s="31">
        <v>0</v>
      </c>
      <c r="H884" s="31">
        <v>0</v>
      </c>
      <c r="I884" s="31">
        <v>0</v>
      </c>
      <c r="J884" s="31">
        <v>0</v>
      </c>
      <c r="K884" s="33">
        <v>0</v>
      </c>
      <c r="L884" s="31">
        <v>0</v>
      </c>
      <c r="M884" s="31">
        <v>0</v>
      </c>
      <c r="N884" s="31">
        <v>0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0</v>
      </c>
      <c r="U884" s="31">
        <v>4930927.92</v>
      </c>
      <c r="V884" s="31">
        <v>0</v>
      </c>
      <c r="W884" s="31">
        <v>0</v>
      </c>
      <c r="X884" s="31">
        <v>0</v>
      </c>
      <c r="Y884" s="31">
        <v>0</v>
      </c>
      <c r="Z884" s="31">
        <v>0</v>
      </c>
      <c r="AA884" s="31">
        <v>0</v>
      </c>
      <c r="AB884" s="31">
        <v>0</v>
      </c>
      <c r="AC884" s="31">
        <f>ROUND(U884*1.5%,2)</f>
        <v>73963.92</v>
      </c>
      <c r="AD884" s="210">
        <v>108615.8</v>
      </c>
      <c r="AE884" s="31">
        <v>0</v>
      </c>
      <c r="AF884" s="34">
        <v>2021</v>
      </c>
      <c r="AG884" s="34">
        <v>2021</v>
      </c>
      <c r="AH884" s="35">
        <v>2021</v>
      </c>
      <c r="AT884" s="20" t="e">
        <f t="shared" si="200"/>
        <v>#N/A</v>
      </c>
      <c r="BZ884" s="71"/>
      <c r="CD884" s="20" t="e">
        <f t="shared" si="190"/>
        <v>#N/A</v>
      </c>
    </row>
    <row r="885" spans="1:82" ht="61.5" x14ac:dyDescent="0.85">
      <c r="A885" s="20">
        <v>1</v>
      </c>
      <c r="B885" s="66">
        <f>SUBTOTAL(103,$A$560:A885)</f>
        <v>304</v>
      </c>
      <c r="C885" s="24" t="s">
        <v>126</v>
      </c>
      <c r="D885" s="31">
        <f t="shared" si="201"/>
        <v>4388130.57</v>
      </c>
      <c r="E885" s="31">
        <v>0</v>
      </c>
      <c r="F885" s="31">
        <v>0</v>
      </c>
      <c r="G885" s="31">
        <v>0</v>
      </c>
      <c r="H885" s="31">
        <v>0</v>
      </c>
      <c r="I885" s="31">
        <v>0</v>
      </c>
      <c r="J885" s="31">
        <v>0</v>
      </c>
      <c r="K885" s="33">
        <v>0</v>
      </c>
      <c r="L885" s="31">
        <v>0</v>
      </c>
      <c r="M885" s="31">
        <v>886</v>
      </c>
      <c r="N885" s="31">
        <v>4216748.7699999996</v>
      </c>
      <c r="O885" s="31">
        <v>0</v>
      </c>
      <c r="P885" s="31">
        <v>0</v>
      </c>
      <c r="Q885" s="31">
        <v>0</v>
      </c>
      <c r="R885" s="31">
        <v>0</v>
      </c>
      <c r="S885" s="31">
        <v>0</v>
      </c>
      <c r="T885" s="31">
        <v>0</v>
      </c>
      <c r="U885" s="31">
        <v>0</v>
      </c>
      <c r="V885" s="31">
        <v>0</v>
      </c>
      <c r="W885" s="31">
        <v>0</v>
      </c>
      <c r="X885" s="31">
        <v>0</v>
      </c>
      <c r="Y885" s="31">
        <v>0</v>
      </c>
      <c r="Z885" s="31">
        <v>0</v>
      </c>
      <c r="AA885" s="31">
        <v>0</v>
      </c>
      <c r="AB885" s="31">
        <v>0</v>
      </c>
      <c r="AC885" s="31">
        <f t="shared" si="202"/>
        <v>63251.23</v>
      </c>
      <c r="AD885" s="210">
        <v>108130.57</v>
      </c>
      <c r="AE885" s="31">
        <v>0</v>
      </c>
      <c r="AF885" s="34">
        <v>2021</v>
      </c>
      <c r="AG885" s="34">
        <v>2021</v>
      </c>
      <c r="AH885" s="35">
        <v>2021</v>
      </c>
      <c r="AT885" s="20" t="e">
        <f t="shared" si="200"/>
        <v>#N/A</v>
      </c>
      <c r="BZ885" s="71"/>
      <c r="CD885" s="20" t="e">
        <f t="shared" si="190"/>
        <v>#N/A</v>
      </c>
    </row>
    <row r="886" spans="1:82" ht="61.5" x14ac:dyDescent="0.85">
      <c r="A886" s="20">
        <v>1</v>
      </c>
      <c r="B886" s="66">
        <f>SUBTOTAL(103,$A$560:A886)</f>
        <v>305</v>
      </c>
      <c r="C886" s="24" t="s">
        <v>129</v>
      </c>
      <c r="D886" s="31">
        <f t="shared" si="201"/>
        <v>3289167.88</v>
      </c>
      <c r="E886" s="31">
        <v>0</v>
      </c>
      <c r="F886" s="31">
        <v>0</v>
      </c>
      <c r="G886" s="31">
        <v>0</v>
      </c>
      <c r="H886" s="31">
        <v>0</v>
      </c>
      <c r="I886" s="31">
        <v>0</v>
      </c>
      <c r="J886" s="31">
        <v>0</v>
      </c>
      <c r="K886" s="33">
        <v>0</v>
      </c>
      <c r="L886" s="31">
        <v>0</v>
      </c>
      <c r="M886" s="31">
        <v>670</v>
      </c>
      <c r="N886" s="31">
        <v>3152709.36</v>
      </c>
      <c r="O886" s="31">
        <v>0</v>
      </c>
      <c r="P886" s="31">
        <v>0</v>
      </c>
      <c r="Q886" s="31">
        <v>0</v>
      </c>
      <c r="R886" s="31">
        <v>0</v>
      </c>
      <c r="S886" s="31">
        <v>0</v>
      </c>
      <c r="T886" s="31">
        <v>0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0</v>
      </c>
      <c r="AA886" s="31">
        <v>0</v>
      </c>
      <c r="AB886" s="31">
        <v>0</v>
      </c>
      <c r="AC886" s="31">
        <f t="shared" si="202"/>
        <v>47290.64</v>
      </c>
      <c r="AD886" s="210">
        <v>89167.88</v>
      </c>
      <c r="AE886" s="31">
        <v>0</v>
      </c>
      <c r="AF886" s="34">
        <v>2021</v>
      </c>
      <c r="AG886" s="34">
        <v>2021</v>
      </c>
      <c r="AH886" s="35">
        <v>2021</v>
      </c>
      <c r="AT886" s="20">
        <f t="shared" si="200"/>
        <v>1</v>
      </c>
      <c r="BZ886" s="71"/>
      <c r="CD886" s="20" t="e">
        <f t="shared" si="190"/>
        <v>#N/A</v>
      </c>
    </row>
    <row r="887" spans="1:82" ht="61.5" x14ac:dyDescent="0.85">
      <c r="A887" s="20">
        <v>1</v>
      </c>
      <c r="B887" s="66">
        <f>SUBTOTAL(103,$A$560:A887)</f>
        <v>306</v>
      </c>
      <c r="C887" s="24" t="s">
        <v>127</v>
      </c>
      <c r="D887" s="31">
        <f t="shared" si="201"/>
        <v>3011574.49</v>
      </c>
      <c r="E887" s="31">
        <v>0</v>
      </c>
      <c r="F887" s="31">
        <v>0</v>
      </c>
      <c r="G887" s="31">
        <v>0</v>
      </c>
      <c r="H887" s="31">
        <v>0</v>
      </c>
      <c r="I887" s="31">
        <v>0</v>
      </c>
      <c r="J887" s="31">
        <v>0</v>
      </c>
      <c r="K887" s="33">
        <v>0</v>
      </c>
      <c r="L887" s="31">
        <v>0</v>
      </c>
      <c r="M887" s="31">
        <v>616.12</v>
      </c>
      <c r="N887" s="31">
        <v>2887290.64</v>
      </c>
      <c r="O887" s="31">
        <v>0</v>
      </c>
      <c r="P887" s="31">
        <v>0</v>
      </c>
      <c r="Q887" s="31">
        <v>0</v>
      </c>
      <c r="R887" s="31">
        <v>0</v>
      </c>
      <c r="S887" s="31">
        <v>0</v>
      </c>
      <c r="T887" s="31">
        <v>0</v>
      </c>
      <c r="U887" s="31">
        <v>0</v>
      </c>
      <c r="V887" s="31">
        <v>0</v>
      </c>
      <c r="W887" s="31">
        <v>0</v>
      </c>
      <c r="X887" s="31">
        <v>0</v>
      </c>
      <c r="Y887" s="31">
        <v>0</v>
      </c>
      <c r="Z887" s="31">
        <v>0</v>
      </c>
      <c r="AA887" s="31">
        <v>0</v>
      </c>
      <c r="AB887" s="31">
        <v>0</v>
      </c>
      <c r="AC887" s="31">
        <f t="shared" si="202"/>
        <v>43309.36</v>
      </c>
      <c r="AD887" s="210">
        <v>80974.490000000005</v>
      </c>
      <c r="AE887" s="31">
        <v>0</v>
      </c>
      <c r="AF887" s="34">
        <v>2021</v>
      </c>
      <c r="AG887" s="34">
        <v>2021</v>
      </c>
      <c r="AH887" s="35">
        <v>2021</v>
      </c>
      <c r="AT887" s="20" t="e">
        <f t="shared" si="200"/>
        <v>#N/A</v>
      </c>
      <c r="BZ887" s="71"/>
      <c r="CD887" s="20" t="e">
        <f t="shared" si="190"/>
        <v>#N/A</v>
      </c>
    </row>
    <row r="888" spans="1:82" ht="61.5" x14ac:dyDescent="0.85">
      <c r="A888" s="20">
        <v>1</v>
      </c>
      <c r="B888" s="66">
        <f>SUBTOTAL(103,$A$560:A888)</f>
        <v>307</v>
      </c>
      <c r="C888" s="24" t="s">
        <v>124</v>
      </c>
      <c r="D888" s="31">
        <f t="shared" si="201"/>
        <v>3374348.08</v>
      </c>
      <c r="E888" s="31">
        <v>0</v>
      </c>
      <c r="F888" s="31">
        <v>0</v>
      </c>
      <c r="G888" s="31">
        <v>0</v>
      </c>
      <c r="H888" s="31">
        <v>0</v>
      </c>
      <c r="I888" s="31">
        <v>0</v>
      </c>
      <c r="J888" s="31">
        <v>0</v>
      </c>
      <c r="K888" s="33">
        <v>0</v>
      </c>
      <c r="L888" s="31">
        <v>0</v>
      </c>
      <c r="M888" s="31">
        <v>773.7</v>
      </c>
      <c r="N888" s="31">
        <v>3206187.19</v>
      </c>
      <c r="O888" s="31">
        <v>0</v>
      </c>
      <c r="P888" s="31">
        <v>0</v>
      </c>
      <c r="Q888" s="31">
        <v>0</v>
      </c>
      <c r="R888" s="31">
        <v>0</v>
      </c>
      <c r="S888" s="31">
        <v>0</v>
      </c>
      <c r="T888" s="31">
        <v>0</v>
      </c>
      <c r="U888" s="31">
        <v>0</v>
      </c>
      <c r="V888" s="31">
        <v>0</v>
      </c>
      <c r="W888" s="31">
        <v>0</v>
      </c>
      <c r="X888" s="31">
        <v>0</v>
      </c>
      <c r="Y888" s="31">
        <v>0</v>
      </c>
      <c r="Z888" s="31">
        <v>0</v>
      </c>
      <c r="AA888" s="31">
        <v>0</v>
      </c>
      <c r="AB888" s="31">
        <v>0</v>
      </c>
      <c r="AC888" s="31">
        <f t="shared" si="202"/>
        <v>48092.81</v>
      </c>
      <c r="AD888" s="210">
        <v>120068.08</v>
      </c>
      <c r="AE888" s="31">
        <v>0</v>
      </c>
      <c r="AF888" s="34">
        <v>2021</v>
      </c>
      <c r="AG888" s="34">
        <v>2021</v>
      </c>
      <c r="AH888" s="35">
        <v>2021</v>
      </c>
      <c r="AT888" s="20" t="e">
        <f t="shared" si="200"/>
        <v>#N/A</v>
      </c>
      <c r="BZ888" s="71"/>
      <c r="CD888" s="20" t="e">
        <f t="shared" si="190"/>
        <v>#N/A</v>
      </c>
    </row>
    <row r="889" spans="1:82" ht="61.5" x14ac:dyDescent="0.85">
      <c r="A889" s="20">
        <v>1</v>
      </c>
      <c r="B889" s="66">
        <f>SUBTOTAL(103,$A$560:A889)</f>
        <v>308</v>
      </c>
      <c r="C889" s="24" t="s">
        <v>125</v>
      </c>
      <c r="D889" s="31">
        <f t="shared" si="201"/>
        <v>4644926.0999999996</v>
      </c>
      <c r="E889" s="31">
        <v>0</v>
      </c>
      <c r="F889" s="31">
        <v>0</v>
      </c>
      <c r="G889" s="31">
        <v>0</v>
      </c>
      <c r="H889" s="31">
        <v>0</v>
      </c>
      <c r="I889" s="31">
        <v>0</v>
      </c>
      <c r="J889" s="31">
        <v>0</v>
      </c>
      <c r="K889" s="33">
        <v>0</v>
      </c>
      <c r="L889" s="31">
        <v>0</v>
      </c>
      <c r="M889" s="31">
        <v>935</v>
      </c>
      <c r="N889" s="31">
        <v>4458128.08</v>
      </c>
      <c r="O889" s="31">
        <v>0</v>
      </c>
      <c r="P889" s="31">
        <v>0</v>
      </c>
      <c r="Q889" s="31">
        <v>0</v>
      </c>
      <c r="R889" s="31">
        <v>0</v>
      </c>
      <c r="S889" s="31">
        <v>0</v>
      </c>
      <c r="T889" s="31">
        <v>0</v>
      </c>
      <c r="U889" s="31">
        <v>0</v>
      </c>
      <c r="V889" s="31">
        <v>0</v>
      </c>
      <c r="W889" s="31">
        <v>0</v>
      </c>
      <c r="X889" s="31">
        <v>0</v>
      </c>
      <c r="Y889" s="31">
        <v>0</v>
      </c>
      <c r="Z889" s="31">
        <v>0</v>
      </c>
      <c r="AA889" s="31">
        <v>0</v>
      </c>
      <c r="AB889" s="31">
        <v>0</v>
      </c>
      <c r="AC889" s="31">
        <f t="shared" si="202"/>
        <v>66871.92</v>
      </c>
      <c r="AD889" s="210">
        <v>119926.1</v>
      </c>
      <c r="AE889" s="31">
        <v>0</v>
      </c>
      <c r="AF889" s="34">
        <v>2021</v>
      </c>
      <c r="AG889" s="34">
        <v>2021</v>
      </c>
      <c r="AH889" s="35">
        <v>2021</v>
      </c>
      <c r="AT889" s="20" t="e">
        <f t="shared" si="200"/>
        <v>#N/A</v>
      </c>
      <c r="BZ889" s="71"/>
      <c r="CD889" s="20" t="e">
        <f t="shared" si="190"/>
        <v>#N/A</v>
      </c>
    </row>
    <row r="890" spans="1:82" ht="61.5" x14ac:dyDescent="0.85">
      <c r="A890" s="20">
        <v>1</v>
      </c>
      <c r="B890" s="66">
        <f>SUBTOTAL(103,$A$560:A890)</f>
        <v>309</v>
      </c>
      <c r="C890" s="24" t="s">
        <v>130</v>
      </c>
      <c r="D890" s="31">
        <f t="shared" ref="D890" si="203">E890+F890+G890+H890+I890+J890+L890+N890+P890+R890+T890+U890+V890+W890+X890+Y890+Z890+AA890+AB890+AC890+AD890+AE890</f>
        <v>3229819.07</v>
      </c>
      <c r="E890" s="31">
        <v>0</v>
      </c>
      <c r="F890" s="31">
        <v>0</v>
      </c>
      <c r="G890" s="31">
        <v>0</v>
      </c>
      <c r="H890" s="31">
        <v>0</v>
      </c>
      <c r="I890" s="31">
        <v>0</v>
      </c>
      <c r="J890" s="31">
        <v>0</v>
      </c>
      <c r="K890" s="33">
        <v>0</v>
      </c>
      <c r="L890" s="31">
        <v>0</v>
      </c>
      <c r="M890" s="31">
        <v>740.9</v>
      </c>
      <c r="N890" s="31">
        <v>3064000</v>
      </c>
      <c r="O890" s="31">
        <v>0</v>
      </c>
      <c r="P890" s="31">
        <v>0</v>
      </c>
      <c r="Q890" s="31">
        <v>0</v>
      </c>
      <c r="R890" s="31">
        <v>0</v>
      </c>
      <c r="S890" s="31">
        <v>0</v>
      </c>
      <c r="T890" s="31">
        <v>0</v>
      </c>
      <c r="U890" s="31">
        <v>0</v>
      </c>
      <c r="V890" s="31">
        <v>0</v>
      </c>
      <c r="W890" s="31">
        <v>0</v>
      </c>
      <c r="X890" s="31">
        <v>0</v>
      </c>
      <c r="Y890" s="31">
        <v>0</v>
      </c>
      <c r="Z890" s="31">
        <v>0</v>
      </c>
      <c r="AA890" s="31">
        <v>0</v>
      </c>
      <c r="AB890" s="31">
        <v>0</v>
      </c>
      <c r="AC890" s="31">
        <f t="shared" ref="AC890" si="204">ROUND(N890*1.5%,2)</f>
        <v>45960</v>
      </c>
      <c r="AD890" s="210">
        <v>119859.07</v>
      </c>
      <c r="AE890" s="31">
        <v>0</v>
      </c>
      <c r="AF890" s="34">
        <v>2021</v>
      </c>
      <c r="AG890" s="34">
        <v>2021</v>
      </c>
      <c r="AH890" s="35">
        <v>2021</v>
      </c>
      <c r="AT890" s="20" t="e">
        <f t="shared" si="200"/>
        <v>#N/A</v>
      </c>
      <c r="BZ890" s="71"/>
      <c r="CD890" s="20" t="e">
        <f t="shared" si="190"/>
        <v>#N/A</v>
      </c>
    </row>
    <row r="891" spans="1:82" ht="61.5" x14ac:dyDescent="0.85">
      <c r="A891" s="20">
        <v>1</v>
      </c>
      <c r="B891" s="66">
        <f>SUBTOTAL(103,$A$560:A891)</f>
        <v>310</v>
      </c>
      <c r="C891" s="211" t="s">
        <v>114</v>
      </c>
      <c r="D891" s="31">
        <f t="shared" si="201"/>
        <v>3175000</v>
      </c>
      <c r="E891" s="31">
        <v>0</v>
      </c>
      <c r="F891" s="31">
        <v>0</v>
      </c>
      <c r="G891" s="31">
        <v>0</v>
      </c>
      <c r="H891" s="31">
        <v>0</v>
      </c>
      <c r="I891" s="31">
        <v>0</v>
      </c>
      <c r="J891" s="31">
        <v>0</v>
      </c>
      <c r="K891" s="33">
        <v>0</v>
      </c>
      <c r="L891" s="31">
        <v>0</v>
      </c>
      <c r="M891" s="207">
        <v>636</v>
      </c>
      <c r="N891" s="31">
        <v>3128078.82</v>
      </c>
      <c r="O891" s="31">
        <v>0</v>
      </c>
      <c r="P891" s="31">
        <v>0</v>
      </c>
      <c r="Q891" s="31">
        <v>0</v>
      </c>
      <c r="R891" s="31">
        <v>0</v>
      </c>
      <c r="S891" s="31">
        <v>0</v>
      </c>
      <c r="T891" s="31">
        <v>0</v>
      </c>
      <c r="U891" s="31">
        <v>0</v>
      </c>
      <c r="V891" s="31">
        <v>0</v>
      </c>
      <c r="W891" s="31">
        <v>0</v>
      </c>
      <c r="X891" s="31">
        <v>0</v>
      </c>
      <c r="Y891" s="31">
        <v>0</v>
      </c>
      <c r="Z891" s="31">
        <v>0</v>
      </c>
      <c r="AA891" s="31">
        <v>0</v>
      </c>
      <c r="AB891" s="31">
        <v>0</v>
      </c>
      <c r="AC891" s="31">
        <f t="shared" si="202"/>
        <v>46921.18</v>
      </c>
      <c r="AD891" s="31">
        <v>0</v>
      </c>
      <c r="AE891" s="31">
        <v>0</v>
      </c>
      <c r="AF891" s="34" t="s">
        <v>271</v>
      </c>
      <c r="AG891" s="34">
        <v>2021</v>
      </c>
      <c r="AH891" s="35">
        <v>2021</v>
      </c>
      <c r="AT891" s="20" t="e">
        <f t="shared" si="200"/>
        <v>#N/A</v>
      </c>
      <c r="BZ891" s="71"/>
      <c r="CD891" s="20" t="e">
        <f t="shared" si="190"/>
        <v>#N/A</v>
      </c>
    </row>
    <row r="892" spans="1:82" ht="61.5" x14ac:dyDescent="0.85">
      <c r="B892" s="24" t="s">
        <v>849</v>
      </c>
      <c r="C892" s="114"/>
      <c r="D892" s="31">
        <f t="shared" ref="D892:AE892" si="205">D893</f>
        <v>3328825.5</v>
      </c>
      <c r="E892" s="31">
        <f t="shared" si="205"/>
        <v>0</v>
      </c>
      <c r="F892" s="31">
        <f t="shared" si="205"/>
        <v>0</v>
      </c>
      <c r="G892" s="31">
        <f t="shared" si="205"/>
        <v>0</v>
      </c>
      <c r="H892" s="31">
        <f t="shared" si="205"/>
        <v>0</v>
      </c>
      <c r="I892" s="31">
        <f t="shared" si="205"/>
        <v>0</v>
      </c>
      <c r="J892" s="31">
        <f t="shared" si="205"/>
        <v>0</v>
      </c>
      <c r="K892" s="33">
        <f t="shared" si="205"/>
        <v>0</v>
      </c>
      <c r="L892" s="31">
        <f t="shared" si="205"/>
        <v>0</v>
      </c>
      <c r="M892" s="31">
        <f t="shared" si="205"/>
        <v>650</v>
      </c>
      <c r="N892" s="31">
        <f t="shared" si="205"/>
        <v>3131847.78</v>
      </c>
      <c r="O892" s="31">
        <f t="shared" si="205"/>
        <v>0</v>
      </c>
      <c r="P892" s="31">
        <f t="shared" si="205"/>
        <v>0</v>
      </c>
      <c r="Q892" s="31">
        <f t="shared" si="205"/>
        <v>0</v>
      </c>
      <c r="R892" s="31">
        <f t="shared" si="205"/>
        <v>0</v>
      </c>
      <c r="S892" s="31">
        <f t="shared" si="205"/>
        <v>0</v>
      </c>
      <c r="T892" s="31">
        <f t="shared" si="205"/>
        <v>0</v>
      </c>
      <c r="U892" s="31">
        <f t="shared" si="205"/>
        <v>0</v>
      </c>
      <c r="V892" s="31">
        <f t="shared" si="205"/>
        <v>0</v>
      </c>
      <c r="W892" s="31">
        <f t="shared" si="205"/>
        <v>0</v>
      </c>
      <c r="X892" s="31">
        <f t="shared" si="205"/>
        <v>0</v>
      </c>
      <c r="Y892" s="31">
        <f t="shared" si="205"/>
        <v>0</v>
      </c>
      <c r="Z892" s="31">
        <f t="shared" si="205"/>
        <v>0</v>
      </c>
      <c r="AA892" s="31">
        <f t="shared" si="205"/>
        <v>0</v>
      </c>
      <c r="AB892" s="31">
        <f t="shared" si="205"/>
        <v>0</v>
      </c>
      <c r="AC892" s="31">
        <f t="shared" si="205"/>
        <v>46977.72</v>
      </c>
      <c r="AD892" s="31">
        <f t="shared" si="205"/>
        <v>150000</v>
      </c>
      <c r="AE892" s="31">
        <f t="shared" si="205"/>
        <v>0</v>
      </c>
      <c r="AF892" s="72" t="s">
        <v>764</v>
      </c>
      <c r="AG892" s="72" t="s">
        <v>764</v>
      </c>
      <c r="AH892" s="87" t="s">
        <v>764</v>
      </c>
      <c r="AT892" s="20" t="e">
        <f t="shared" si="200"/>
        <v>#N/A</v>
      </c>
      <c r="BZ892" s="71">
        <v>3328825.5</v>
      </c>
      <c r="CD892" s="20" t="e">
        <f t="shared" si="190"/>
        <v>#N/A</v>
      </c>
    </row>
    <row r="893" spans="1:82" ht="61.5" x14ac:dyDescent="0.85">
      <c r="A893" s="20">
        <v>1</v>
      </c>
      <c r="B893" s="66">
        <f>SUBTOTAL(103,$A$560:A893)</f>
        <v>311</v>
      </c>
      <c r="C893" s="24" t="s">
        <v>178</v>
      </c>
      <c r="D893" s="31">
        <f>E893+F893+G893+H893+I893+J893+L893+N893+P893+R893+T893+U893+V893+W893+X893+Y893+Z893+AA893+AB893+AC893+AD893+AE893</f>
        <v>3328825.5</v>
      </c>
      <c r="E893" s="31">
        <v>0</v>
      </c>
      <c r="F893" s="31">
        <v>0</v>
      </c>
      <c r="G893" s="31">
        <v>0</v>
      </c>
      <c r="H893" s="31">
        <v>0</v>
      </c>
      <c r="I893" s="31">
        <v>0</v>
      </c>
      <c r="J893" s="31">
        <v>0</v>
      </c>
      <c r="K893" s="33">
        <v>0</v>
      </c>
      <c r="L893" s="31">
        <v>0</v>
      </c>
      <c r="M893" s="31">
        <v>650</v>
      </c>
      <c r="N893" s="31">
        <v>3131847.78</v>
      </c>
      <c r="O893" s="31">
        <v>0</v>
      </c>
      <c r="P893" s="31">
        <v>0</v>
      </c>
      <c r="Q893" s="31">
        <v>0</v>
      </c>
      <c r="R893" s="31">
        <v>0</v>
      </c>
      <c r="S893" s="31">
        <v>0</v>
      </c>
      <c r="T893" s="31">
        <v>0</v>
      </c>
      <c r="U893" s="31">
        <v>0</v>
      </c>
      <c r="V893" s="31">
        <v>0</v>
      </c>
      <c r="W893" s="31">
        <v>0</v>
      </c>
      <c r="X893" s="31">
        <v>0</v>
      </c>
      <c r="Y893" s="31">
        <v>0</v>
      </c>
      <c r="Z893" s="31">
        <v>0</v>
      </c>
      <c r="AA893" s="31">
        <v>0</v>
      </c>
      <c r="AB893" s="31">
        <v>0</v>
      </c>
      <c r="AC893" s="31">
        <f>ROUND(N893*1.5%,2)</f>
        <v>46977.72</v>
      </c>
      <c r="AD893" s="31">
        <v>150000</v>
      </c>
      <c r="AE893" s="31">
        <v>0</v>
      </c>
      <c r="AF893" s="34">
        <v>2021</v>
      </c>
      <c r="AG893" s="34">
        <v>2021</v>
      </c>
      <c r="AH893" s="35">
        <v>2021</v>
      </c>
      <c r="AT893" s="20" t="e">
        <f t="shared" si="200"/>
        <v>#N/A</v>
      </c>
      <c r="BZ893" s="71"/>
      <c r="CD893" s="20" t="e">
        <f t="shared" si="190"/>
        <v>#N/A</v>
      </c>
    </row>
    <row r="894" spans="1:82" ht="61.5" x14ac:dyDescent="0.85">
      <c r="B894" s="24" t="s">
        <v>848</v>
      </c>
      <c r="C894" s="24"/>
      <c r="D894" s="31">
        <f t="shared" ref="D894:AE894" si="206">D895+D896</f>
        <v>5279138.41</v>
      </c>
      <c r="E894" s="31">
        <f t="shared" si="206"/>
        <v>0</v>
      </c>
      <c r="F894" s="31">
        <f t="shared" si="206"/>
        <v>0</v>
      </c>
      <c r="G894" s="31">
        <f t="shared" si="206"/>
        <v>0</v>
      </c>
      <c r="H894" s="31">
        <f t="shared" si="206"/>
        <v>0</v>
      </c>
      <c r="I894" s="31">
        <f t="shared" si="206"/>
        <v>0</v>
      </c>
      <c r="J894" s="31">
        <f t="shared" si="206"/>
        <v>0</v>
      </c>
      <c r="K894" s="33">
        <f t="shared" si="206"/>
        <v>0</v>
      </c>
      <c r="L894" s="31">
        <f t="shared" si="206"/>
        <v>0</v>
      </c>
      <c r="M894" s="31">
        <f t="shared" si="206"/>
        <v>0</v>
      </c>
      <c r="N894" s="31">
        <f t="shared" si="206"/>
        <v>0</v>
      </c>
      <c r="O894" s="31">
        <f t="shared" si="206"/>
        <v>0</v>
      </c>
      <c r="P894" s="31">
        <f t="shared" si="206"/>
        <v>0</v>
      </c>
      <c r="Q894" s="31">
        <f t="shared" si="206"/>
        <v>884.5</v>
      </c>
      <c r="R894" s="31">
        <f t="shared" si="206"/>
        <v>4944963.95</v>
      </c>
      <c r="S894" s="31">
        <f t="shared" si="206"/>
        <v>0</v>
      </c>
      <c r="T894" s="31">
        <f t="shared" si="206"/>
        <v>0</v>
      </c>
      <c r="U894" s="31">
        <f t="shared" si="206"/>
        <v>0</v>
      </c>
      <c r="V894" s="31">
        <f t="shared" si="206"/>
        <v>0</v>
      </c>
      <c r="W894" s="31">
        <f t="shared" si="206"/>
        <v>0</v>
      </c>
      <c r="X894" s="31">
        <f t="shared" si="206"/>
        <v>0</v>
      </c>
      <c r="Y894" s="31">
        <f t="shared" si="206"/>
        <v>0</v>
      </c>
      <c r="Z894" s="31">
        <f t="shared" si="206"/>
        <v>0</v>
      </c>
      <c r="AA894" s="31">
        <f t="shared" si="206"/>
        <v>0</v>
      </c>
      <c r="AB894" s="31">
        <f t="shared" si="206"/>
        <v>0</v>
      </c>
      <c r="AC894" s="31">
        <f t="shared" si="206"/>
        <v>74174.459999999992</v>
      </c>
      <c r="AD894" s="31">
        <f t="shared" si="206"/>
        <v>260000</v>
      </c>
      <c r="AE894" s="31">
        <f t="shared" si="206"/>
        <v>0</v>
      </c>
      <c r="AF894" s="72" t="s">
        <v>764</v>
      </c>
      <c r="AG894" s="72" t="s">
        <v>764</v>
      </c>
      <c r="AH894" s="87" t="s">
        <v>764</v>
      </c>
      <c r="AT894" s="20" t="e">
        <f t="shared" si="200"/>
        <v>#N/A</v>
      </c>
      <c r="BZ894" s="71">
        <v>5279138.41</v>
      </c>
      <c r="CD894" s="20" t="e">
        <f t="shared" si="190"/>
        <v>#N/A</v>
      </c>
    </row>
    <row r="895" spans="1:82" ht="61.5" x14ac:dyDescent="0.85">
      <c r="A895" s="20">
        <v>1</v>
      </c>
      <c r="B895" s="66">
        <f>SUBTOTAL(103,$A$560:A895)</f>
        <v>312</v>
      </c>
      <c r="C895" s="24" t="s">
        <v>176</v>
      </c>
      <c r="D895" s="31">
        <f>E895+F895+G895+H895+I895+J895+L895+N895+P895+R895+T895+U895+V895+W895+X895+Y895+Z895+AA895+AB895+AC895+AD895+AE895</f>
        <v>2721526.66</v>
      </c>
      <c r="E895" s="31">
        <v>0</v>
      </c>
      <c r="F895" s="31">
        <v>0</v>
      </c>
      <c r="G895" s="31">
        <v>0</v>
      </c>
      <c r="H895" s="31">
        <v>0</v>
      </c>
      <c r="I895" s="31">
        <v>0</v>
      </c>
      <c r="J895" s="31">
        <v>0</v>
      </c>
      <c r="K895" s="33">
        <v>0</v>
      </c>
      <c r="L895" s="31">
        <v>0</v>
      </c>
      <c r="M895" s="31">
        <v>0</v>
      </c>
      <c r="N895" s="31">
        <v>0</v>
      </c>
      <c r="O895" s="31">
        <v>0</v>
      </c>
      <c r="P895" s="31">
        <v>0</v>
      </c>
      <c r="Q895" s="31">
        <v>459</v>
      </c>
      <c r="R895" s="31">
        <v>2553228.2400000002</v>
      </c>
      <c r="S895" s="31">
        <v>0</v>
      </c>
      <c r="T895" s="31">
        <v>0</v>
      </c>
      <c r="U895" s="31">
        <v>0</v>
      </c>
      <c r="V895" s="31">
        <v>0</v>
      </c>
      <c r="W895" s="31">
        <v>0</v>
      </c>
      <c r="X895" s="31">
        <v>0</v>
      </c>
      <c r="Y895" s="31">
        <v>0</v>
      </c>
      <c r="Z895" s="31">
        <v>0</v>
      </c>
      <c r="AA895" s="31">
        <v>0</v>
      </c>
      <c r="AB895" s="31">
        <v>0</v>
      </c>
      <c r="AC895" s="31">
        <f>ROUND(R895*1.5%,2)</f>
        <v>38298.42</v>
      </c>
      <c r="AD895" s="31">
        <v>130000</v>
      </c>
      <c r="AE895" s="31">
        <v>0</v>
      </c>
      <c r="AF895" s="34">
        <v>2021</v>
      </c>
      <c r="AG895" s="34">
        <v>2021</v>
      </c>
      <c r="AH895" s="35">
        <v>2021</v>
      </c>
      <c r="AT895" s="20" t="e">
        <f t="shared" si="200"/>
        <v>#N/A</v>
      </c>
      <c r="BZ895" s="71"/>
      <c r="CD895" s="20" t="e">
        <f t="shared" si="190"/>
        <v>#N/A</v>
      </c>
    </row>
    <row r="896" spans="1:82" ht="61.5" x14ac:dyDescent="0.85">
      <c r="A896" s="20">
        <v>1</v>
      </c>
      <c r="B896" s="66">
        <f>SUBTOTAL(103,$A$560:A896)</f>
        <v>313</v>
      </c>
      <c r="C896" s="24" t="s">
        <v>177</v>
      </c>
      <c r="D896" s="31">
        <f>E896+F896+G896+H896+I896+J896+L896+N896+P896+R896+T896+U896+V896+W896+X896+Y896+Z896+AA896+AB896+AC896+AD896+AE896</f>
        <v>2557611.75</v>
      </c>
      <c r="E896" s="31">
        <v>0</v>
      </c>
      <c r="F896" s="31">
        <v>0</v>
      </c>
      <c r="G896" s="31">
        <v>0</v>
      </c>
      <c r="H896" s="31">
        <v>0</v>
      </c>
      <c r="I896" s="31">
        <v>0</v>
      </c>
      <c r="J896" s="31">
        <v>0</v>
      </c>
      <c r="K896" s="33">
        <v>0</v>
      </c>
      <c r="L896" s="31">
        <v>0</v>
      </c>
      <c r="M896" s="31">
        <v>0</v>
      </c>
      <c r="N896" s="31">
        <v>0</v>
      </c>
      <c r="O896" s="31">
        <v>0</v>
      </c>
      <c r="P896" s="31">
        <v>0</v>
      </c>
      <c r="Q896" s="31">
        <v>425.5</v>
      </c>
      <c r="R896" s="31">
        <v>2391735.71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1">
        <v>0</v>
      </c>
      <c r="Z896" s="31">
        <v>0</v>
      </c>
      <c r="AA896" s="31">
        <v>0</v>
      </c>
      <c r="AB896" s="31">
        <v>0</v>
      </c>
      <c r="AC896" s="31">
        <f>ROUND(R896*1.5%,2)</f>
        <v>35876.04</v>
      </c>
      <c r="AD896" s="31">
        <v>130000</v>
      </c>
      <c r="AE896" s="31">
        <v>0</v>
      </c>
      <c r="AF896" s="34">
        <v>2021</v>
      </c>
      <c r="AG896" s="34">
        <v>2021</v>
      </c>
      <c r="AH896" s="35">
        <v>2021</v>
      </c>
      <c r="AT896" s="20" t="e">
        <f t="shared" si="200"/>
        <v>#N/A</v>
      </c>
      <c r="BZ896" s="71"/>
      <c r="CD896" s="20" t="e">
        <f t="shared" ref="CD896:CD927" si="207">VLOOKUP(C896,CE:CF,2,FALSE)</f>
        <v>#N/A</v>
      </c>
    </row>
    <row r="897" spans="1:82" ht="61.5" x14ac:dyDescent="0.85">
      <c r="B897" s="24" t="s">
        <v>884</v>
      </c>
      <c r="C897" s="24"/>
      <c r="D897" s="31">
        <f t="shared" ref="D897:AE897" si="208">D898</f>
        <v>4178956.32</v>
      </c>
      <c r="E897" s="31">
        <f t="shared" si="208"/>
        <v>0</v>
      </c>
      <c r="F897" s="31">
        <f t="shared" si="208"/>
        <v>0</v>
      </c>
      <c r="G897" s="31">
        <f t="shared" si="208"/>
        <v>0</v>
      </c>
      <c r="H897" s="31">
        <f t="shared" si="208"/>
        <v>0</v>
      </c>
      <c r="I897" s="31">
        <f t="shared" si="208"/>
        <v>0</v>
      </c>
      <c r="J897" s="31">
        <f t="shared" si="208"/>
        <v>0</v>
      </c>
      <c r="K897" s="33">
        <f t="shared" si="208"/>
        <v>0</v>
      </c>
      <c r="L897" s="31">
        <f t="shared" si="208"/>
        <v>0</v>
      </c>
      <c r="M897" s="31">
        <f t="shared" si="208"/>
        <v>816</v>
      </c>
      <c r="N897" s="31">
        <f t="shared" si="208"/>
        <v>3969415.09</v>
      </c>
      <c r="O897" s="31">
        <f t="shared" si="208"/>
        <v>0</v>
      </c>
      <c r="P897" s="31">
        <f t="shared" si="208"/>
        <v>0</v>
      </c>
      <c r="Q897" s="31">
        <f t="shared" si="208"/>
        <v>0</v>
      </c>
      <c r="R897" s="31">
        <f t="shared" si="208"/>
        <v>0</v>
      </c>
      <c r="S897" s="31">
        <f t="shared" si="208"/>
        <v>0</v>
      </c>
      <c r="T897" s="31">
        <f t="shared" si="208"/>
        <v>0</v>
      </c>
      <c r="U897" s="31">
        <f t="shared" si="208"/>
        <v>0</v>
      </c>
      <c r="V897" s="31">
        <f t="shared" si="208"/>
        <v>0</v>
      </c>
      <c r="W897" s="31">
        <f t="shared" si="208"/>
        <v>0</v>
      </c>
      <c r="X897" s="31">
        <f t="shared" si="208"/>
        <v>0</v>
      </c>
      <c r="Y897" s="31">
        <f t="shared" si="208"/>
        <v>0</v>
      </c>
      <c r="Z897" s="31">
        <f t="shared" si="208"/>
        <v>0</v>
      </c>
      <c r="AA897" s="31">
        <f t="shared" si="208"/>
        <v>0</v>
      </c>
      <c r="AB897" s="31">
        <f t="shared" si="208"/>
        <v>0</v>
      </c>
      <c r="AC897" s="31">
        <f t="shared" si="208"/>
        <v>59541.23</v>
      </c>
      <c r="AD897" s="31">
        <f t="shared" si="208"/>
        <v>150000</v>
      </c>
      <c r="AE897" s="31">
        <f t="shared" si="208"/>
        <v>0</v>
      </c>
      <c r="AF897" s="72" t="s">
        <v>764</v>
      </c>
      <c r="AG897" s="72" t="s">
        <v>764</v>
      </c>
      <c r="AH897" s="87" t="s">
        <v>764</v>
      </c>
      <c r="AT897" s="20" t="e">
        <f t="shared" si="200"/>
        <v>#N/A</v>
      </c>
      <c r="BZ897" s="71">
        <v>4178956.32</v>
      </c>
      <c r="CD897" s="20" t="e">
        <f t="shared" si="207"/>
        <v>#N/A</v>
      </c>
    </row>
    <row r="898" spans="1:82" ht="61.5" x14ac:dyDescent="0.85">
      <c r="A898" s="20">
        <v>1</v>
      </c>
      <c r="B898" s="66">
        <f>SUBTOTAL(103,$A$560:A898)</f>
        <v>314</v>
      </c>
      <c r="C898" s="24" t="s">
        <v>175</v>
      </c>
      <c r="D898" s="31">
        <f>E898+F898+G898+H898+I898+J898+L898+N898+P898+R898+T898+U898+V898+W898+X898+Y898+Z898+AA898+AB898+AC898+AD898+AE898</f>
        <v>4178956.32</v>
      </c>
      <c r="E898" s="31">
        <v>0</v>
      </c>
      <c r="F898" s="31">
        <v>0</v>
      </c>
      <c r="G898" s="31">
        <v>0</v>
      </c>
      <c r="H898" s="31">
        <v>0</v>
      </c>
      <c r="I898" s="31">
        <v>0</v>
      </c>
      <c r="J898" s="31">
        <v>0</v>
      </c>
      <c r="K898" s="33">
        <v>0</v>
      </c>
      <c r="L898" s="31">
        <v>0</v>
      </c>
      <c r="M898" s="31">
        <v>816</v>
      </c>
      <c r="N898" s="31">
        <v>3969415.09</v>
      </c>
      <c r="O898" s="31">
        <v>0</v>
      </c>
      <c r="P898" s="31">
        <v>0</v>
      </c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1">
        <v>0</v>
      </c>
      <c r="Y898" s="31">
        <v>0</v>
      </c>
      <c r="Z898" s="31">
        <v>0</v>
      </c>
      <c r="AA898" s="31">
        <v>0</v>
      </c>
      <c r="AB898" s="31">
        <v>0</v>
      </c>
      <c r="AC898" s="31">
        <f>ROUND(N898*1.5%,2)</f>
        <v>59541.23</v>
      </c>
      <c r="AD898" s="31">
        <v>150000</v>
      </c>
      <c r="AE898" s="31">
        <v>0</v>
      </c>
      <c r="AF898" s="34">
        <v>2021</v>
      </c>
      <c r="AG898" s="34">
        <v>2021</v>
      </c>
      <c r="AH898" s="35">
        <v>2021</v>
      </c>
      <c r="AT898" s="20" t="e">
        <f t="shared" si="200"/>
        <v>#N/A</v>
      </c>
      <c r="BZ898" s="71"/>
      <c r="CD898" s="20" t="e">
        <f t="shared" si="207"/>
        <v>#N/A</v>
      </c>
    </row>
    <row r="899" spans="1:82" ht="61.5" x14ac:dyDescent="0.85">
      <c r="B899" s="24" t="s">
        <v>850</v>
      </c>
      <c r="C899" s="24"/>
      <c r="D899" s="31">
        <f t="shared" ref="D899:AE899" si="209">D900</f>
        <v>1889236.5</v>
      </c>
      <c r="E899" s="31">
        <f t="shared" si="209"/>
        <v>0</v>
      </c>
      <c r="F899" s="31">
        <f t="shared" si="209"/>
        <v>0</v>
      </c>
      <c r="G899" s="31">
        <f t="shared" si="209"/>
        <v>0</v>
      </c>
      <c r="H899" s="31">
        <f t="shared" si="209"/>
        <v>0</v>
      </c>
      <c r="I899" s="31">
        <f t="shared" si="209"/>
        <v>0</v>
      </c>
      <c r="J899" s="31">
        <f t="shared" si="209"/>
        <v>0</v>
      </c>
      <c r="K899" s="33">
        <f t="shared" si="209"/>
        <v>0</v>
      </c>
      <c r="L899" s="31">
        <f t="shared" si="209"/>
        <v>0</v>
      </c>
      <c r="M899" s="31">
        <f t="shared" si="209"/>
        <v>368.9</v>
      </c>
      <c r="N899" s="31">
        <f t="shared" si="209"/>
        <v>1743090.15</v>
      </c>
      <c r="O899" s="31">
        <f t="shared" si="209"/>
        <v>0</v>
      </c>
      <c r="P899" s="31">
        <f t="shared" si="209"/>
        <v>0</v>
      </c>
      <c r="Q899" s="31">
        <f t="shared" si="209"/>
        <v>0</v>
      </c>
      <c r="R899" s="31">
        <f t="shared" si="209"/>
        <v>0</v>
      </c>
      <c r="S899" s="31">
        <f t="shared" si="209"/>
        <v>0</v>
      </c>
      <c r="T899" s="31">
        <f t="shared" si="209"/>
        <v>0</v>
      </c>
      <c r="U899" s="31">
        <f t="shared" si="209"/>
        <v>0</v>
      </c>
      <c r="V899" s="31">
        <f t="shared" si="209"/>
        <v>0</v>
      </c>
      <c r="W899" s="31">
        <f t="shared" si="209"/>
        <v>0</v>
      </c>
      <c r="X899" s="31">
        <f t="shared" si="209"/>
        <v>0</v>
      </c>
      <c r="Y899" s="31">
        <f t="shared" si="209"/>
        <v>0</v>
      </c>
      <c r="Z899" s="31">
        <f t="shared" si="209"/>
        <v>0</v>
      </c>
      <c r="AA899" s="31">
        <f t="shared" si="209"/>
        <v>0</v>
      </c>
      <c r="AB899" s="31">
        <f t="shared" si="209"/>
        <v>0</v>
      </c>
      <c r="AC899" s="31">
        <f t="shared" si="209"/>
        <v>26146.35</v>
      </c>
      <c r="AD899" s="31">
        <f t="shared" si="209"/>
        <v>120000</v>
      </c>
      <c r="AE899" s="31">
        <f t="shared" si="209"/>
        <v>0</v>
      </c>
      <c r="AF899" s="72" t="s">
        <v>764</v>
      </c>
      <c r="AG899" s="72" t="s">
        <v>764</v>
      </c>
      <c r="AH899" s="87" t="s">
        <v>764</v>
      </c>
      <c r="AT899" s="20" t="e">
        <f t="shared" si="200"/>
        <v>#N/A</v>
      </c>
      <c r="BZ899" s="71">
        <v>1889236.5</v>
      </c>
      <c r="CD899" s="20" t="e">
        <f t="shared" si="207"/>
        <v>#N/A</v>
      </c>
    </row>
    <row r="900" spans="1:82" ht="61.5" x14ac:dyDescent="0.85">
      <c r="A900" s="20">
        <v>1</v>
      </c>
      <c r="B900" s="66">
        <f>SUBTOTAL(103,$A$560:A900)</f>
        <v>315</v>
      </c>
      <c r="C900" s="24" t="s">
        <v>174</v>
      </c>
      <c r="D900" s="31">
        <f>E900+F900+G900+H900+I900+J900+L900+N900+P900+R900+T900+U900+V900+W900+X900+Y900+Z900+AA900+AB900+AC900+AD900+AE900</f>
        <v>1889236.5</v>
      </c>
      <c r="E900" s="31">
        <v>0</v>
      </c>
      <c r="F900" s="31">
        <v>0</v>
      </c>
      <c r="G900" s="31">
        <v>0</v>
      </c>
      <c r="H900" s="31">
        <v>0</v>
      </c>
      <c r="I900" s="31">
        <v>0</v>
      </c>
      <c r="J900" s="31">
        <v>0</v>
      </c>
      <c r="K900" s="33">
        <v>0</v>
      </c>
      <c r="L900" s="31">
        <v>0</v>
      </c>
      <c r="M900" s="31">
        <v>368.9</v>
      </c>
      <c r="N900" s="31">
        <v>1743090.15</v>
      </c>
      <c r="O900" s="31">
        <v>0</v>
      </c>
      <c r="P900" s="31">
        <v>0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  <c r="V900" s="31">
        <v>0</v>
      </c>
      <c r="W900" s="31">
        <v>0</v>
      </c>
      <c r="X900" s="31">
        <v>0</v>
      </c>
      <c r="Y900" s="31">
        <v>0</v>
      </c>
      <c r="Z900" s="31">
        <v>0</v>
      </c>
      <c r="AA900" s="31">
        <v>0</v>
      </c>
      <c r="AB900" s="31">
        <v>0</v>
      </c>
      <c r="AC900" s="31">
        <f>ROUND(N900*1.5%,2)</f>
        <v>26146.35</v>
      </c>
      <c r="AD900" s="31">
        <v>120000</v>
      </c>
      <c r="AE900" s="31">
        <v>0</v>
      </c>
      <c r="AF900" s="34">
        <v>2021</v>
      </c>
      <c r="AG900" s="34">
        <v>2021</v>
      </c>
      <c r="AH900" s="35">
        <v>2021</v>
      </c>
      <c r="AT900" s="20" t="e">
        <f t="shared" si="200"/>
        <v>#N/A</v>
      </c>
      <c r="BZ900" s="71"/>
      <c r="CD900" s="20" t="e">
        <f t="shared" si="207"/>
        <v>#N/A</v>
      </c>
    </row>
    <row r="901" spans="1:82" ht="61.5" x14ac:dyDescent="0.85">
      <c r="B901" s="24" t="s">
        <v>851</v>
      </c>
      <c r="C901" s="114"/>
      <c r="D901" s="31">
        <f t="shared" ref="D901:AE901" si="210">SUM(D902:D906)</f>
        <v>14950249.880000001</v>
      </c>
      <c r="E901" s="31">
        <f t="shared" si="210"/>
        <v>0</v>
      </c>
      <c r="F901" s="31">
        <f t="shared" si="210"/>
        <v>0</v>
      </c>
      <c r="G901" s="31">
        <f t="shared" si="210"/>
        <v>0</v>
      </c>
      <c r="H901" s="31">
        <f t="shared" si="210"/>
        <v>0</v>
      </c>
      <c r="I901" s="31">
        <f t="shared" si="210"/>
        <v>0</v>
      </c>
      <c r="J901" s="31">
        <f t="shared" si="210"/>
        <v>0</v>
      </c>
      <c r="K901" s="33">
        <f t="shared" si="210"/>
        <v>0</v>
      </c>
      <c r="L901" s="31">
        <f t="shared" si="210"/>
        <v>0</v>
      </c>
      <c r="M901" s="31">
        <f t="shared" si="210"/>
        <v>2563.29</v>
      </c>
      <c r="N901" s="31">
        <f t="shared" si="210"/>
        <v>14079063.92</v>
      </c>
      <c r="O901" s="31">
        <f t="shared" si="210"/>
        <v>0</v>
      </c>
      <c r="P901" s="31">
        <f t="shared" si="210"/>
        <v>0</v>
      </c>
      <c r="Q901" s="31">
        <f t="shared" si="210"/>
        <v>0</v>
      </c>
      <c r="R901" s="31">
        <f t="shared" si="210"/>
        <v>0</v>
      </c>
      <c r="S901" s="31">
        <f t="shared" si="210"/>
        <v>0</v>
      </c>
      <c r="T901" s="31">
        <f t="shared" si="210"/>
        <v>0</v>
      </c>
      <c r="U901" s="31">
        <f t="shared" si="210"/>
        <v>0</v>
      </c>
      <c r="V901" s="31">
        <f t="shared" si="210"/>
        <v>0</v>
      </c>
      <c r="W901" s="31">
        <f t="shared" si="210"/>
        <v>0</v>
      </c>
      <c r="X901" s="31">
        <f t="shared" si="210"/>
        <v>0</v>
      </c>
      <c r="Y901" s="31">
        <f t="shared" si="210"/>
        <v>0</v>
      </c>
      <c r="Z901" s="31">
        <f t="shared" si="210"/>
        <v>0</v>
      </c>
      <c r="AA901" s="31">
        <f t="shared" si="210"/>
        <v>0</v>
      </c>
      <c r="AB901" s="31">
        <f t="shared" si="210"/>
        <v>0</v>
      </c>
      <c r="AC901" s="31">
        <f t="shared" si="210"/>
        <v>211185.96</v>
      </c>
      <c r="AD901" s="31">
        <f t="shared" si="210"/>
        <v>660000</v>
      </c>
      <c r="AE901" s="31">
        <f t="shared" si="210"/>
        <v>0</v>
      </c>
      <c r="AF901" s="72" t="s">
        <v>764</v>
      </c>
      <c r="AG901" s="72" t="s">
        <v>764</v>
      </c>
      <c r="AH901" s="87" t="s">
        <v>764</v>
      </c>
      <c r="AT901" s="20" t="e">
        <f t="shared" si="200"/>
        <v>#N/A</v>
      </c>
      <c r="BZ901" s="71">
        <v>10103503.050000001</v>
      </c>
      <c r="CD901" s="20" t="e">
        <f t="shared" si="207"/>
        <v>#N/A</v>
      </c>
    </row>
    <row r="902" spans="1:82" ht="61.5" x14ac:dyDescent="0.85">
      <c r="A902" s="20">
        <v>1</v>
      </c>
      <c r="B902" s="66">
        <f>SUBTOTAL(103,$A$560:A902)</f>
        <v>316</v>
      </c>
      <c r="C902" s="24" t="s">
        <v>1702</v>
      </c>
      <c r="D902" s="31">
        <f>E902+F902+G902+H902+I902+J902+L902+N902+P902+R902+T902+U902+V902+W902+X902+Y902+Z902+AA902+AB902+AC902+AD902+AE902</f>
        <v>2958681.4299999997</v>
      </c>
      <c r="E902" s="31">
        <v>0</v>
      </c>
      <c r="F902" s="31">
        <v>0</v>
      </c>
      <c r="G902" s="31">
        <v>0</v>
      </c>
      <c r="H902" s="31">
        <v>0</v>
      </c>
      <c r="I902" s="31">
        <v>0</v>
      </c>
      <c r="J902" s="31">
        <v>0</v>
      </c>
      <c r="K902" s="33">
        <v>0</v>
      </c>
      <c r="L902" s="31">
        <v>0</v>
      </c>
      <c r="M902" s="31">
        <v>368.29</v>
      </c>
      <c r="N902" s="31">
        <f>2889837.04-122663.22</f>
        <v>2767173.82</v>
      </c>
      <c r="O902" s="31">
        <v>0</v>
      </c>
      <c r="P902" s="31">
        <v>0</v>
      </c>
      <c r="Q902" s="31">
        <v>0</v>
      </c>
      <c r="R902" s="31">
        <v>0</v>
      </c>
      <c r="S902" s="31">
        <v>0</v>
      </c>
      <c r="T902" s="31">
        <v>0</v>
      </c>
      <c r="U902" s="31">
        <v>0</v>
      </c>
      <c r="V902" s="31">
        <v>0</v>
      </c>
      <c r="W902" s="31">
        <v>0</v>
      </c>
      <c r="X902" s="31">
        <v>0</v>
      </c>
      <c r="Y902" s="31">
        <v>0</v>
      </c>
      <c r="Z902" s="31">
        <v>0</v>
      </c>
      <c r="AA902" s="31">
        <v>0</v>
      </c>
      <c r="AB902" s="31">
        <v>0</v>
      </c>
      <c r="AC902" s="31">
        <f>ROUND(N902*1.5%,2)</f>
        <v>41507.61</v>
      </c>
      <c r="AD902" s="31">
        <v>150000</v>
      </c>
      <c r="AE902" s="31">
        <v>0</v>
      </c>
      <c r="AF902" s="34">
        <v>2021</v>
      </c>
      <c r="AG902" s="34">
        <v>2021</v>
      </c>
      <c r="AH902" s="35">
        <v>2021</v>
      </c>
      <c r="AT902" s="20" t="e">
        <f t="shared" si="200"/>
        <v>#N/A</v>
      </c>
      <c r="BZ902" s="71"/>
      <c r="CD902" s="20" t="e">
        <f t="shared" si="207"/>
        <v>#N/A</v>
      </c>
    </row>
    <row r="903" spans="1:82" ht="61.5" x14ac:dyDescent="0.85">
      <c r="A903" s="20">
        <v>1</v>
      </c>
      <c r="B903" s="66">
        <f>SUBTOTAL(103,$A$560:A903)</f>
        <v>317</v>
      </c>
      <c r="C903" s="24" t="s">
        <v>79</v>
      </c>
      <c r="D903" s="31">
        <f>E903+F903+G903+H903+I903+J903+L903+N903+P903+R903+T903+U903+V903+W903+X903+Y903+Z903+AA903+AB903+AC903+AD903+AE903</f>
        <v>2424688.3000000003</v>
      </c>
      <c r="E903" s="31">
        <v>0</v>
      </c>
      <c r="F903" s="31">
        <v>0</v>
      </c>
      <c r="G903" s="31">
        <v>0</v>
      </c>
      <c r="H903" s="31">
        <v>0</v>
      </c>
      <c r="I903" s="31">
        <v>0</v>
      </c>
      <c r="J903" s="31">
        <v>0</v>
      </c>
      <c r="K903" s="33">
        <v>0</v>
      </c>
      <c r="L903" s="31">
        <v>0</v>
      </c>
      <c r="M903" s="31">
        <v>430</v>
      </c>
      <c r="N903" s="31">
        <v>2270628.87</v>
      </c>
      <c r="O903" s="31">
        <v>0</v>
      </c>
      <c r="P903" s="31">
        <v>0</v>
      </c>
      <c r="Q903" s="31">
        <v>0</v>
      </c>
      <c r="R903" s="31">
        <v>0</v>
      </c>
      <c r="S903" s="31">
        <v>0</v>
      </c>
      <c r="T903" s="31">
        <v>0</v>
      </c>
      <c r="U903" s="31">
        <v>0</v>
      </c>
      <c r="V903" s="31">
        <v>0</v>
      </c>
      <c r="W903" s="31">
        <v>0</v>
      </c>
      <c r="X903" s="31">
        <v>0</v>
      </c>
      <c r="Y903" s="31">
        <v>0</v>
      </c>
      <c r="Z903" s="31">
        <v>0</v>
      </c>
      <c r="AA903" s="31">
        <v>0</v>
      </c>
      <c r="AB903" s="31">
        <v>0</v>
      </c>
      <c r="AC903" s="31">
        <f>ROUND(N903*1.5%,2)</f>
        <v>34059.43</v>
      </c>
      <c r="AD903" s="31">
        <v>120000</v>
      </c>
      <c r="AE903" s="31">
        <v>0</v>
      </c>
      <c r="AF903" s="34">
        <v>2021</v>
      </c>
      <c r="AG903" s="34">
        <v>2021</v>
      </c>
      <c r="AH903" s="35">
        <v>2021</v>
      </c>
      <c r="AT903" s="20" t="e">
        <f t="shared" si="200"/>
        <v>#N/A</v>
      </c>
      <c r="BZ903" s="71"/>
      <c r="CD903" s="20" t="e">
        <f t="shared" si="207"/>
        <v>#N/A</v>
      </c>
    </row>
    <row r="904" spans="1:82" ht="61.5" x14ac:dyDescent="0.85">
      <c r="A904" s="20">
        <v>1</v>
      </c>
      <c r="B904" s="66">
        <f>SUBTOTAL(103,$A$560:A904)</f>
        <v>318</v>
      </c>
      <c r="C904" s="24" t="s">
        <v>80</v>
      </c>
      <c r="D904" s="31">
        <f>E904+F904+G904+H904+I904+J904+L904+N904+P904+R904+T904+U904+V904+W904+X904+Y904+Z904+AA904+AB904+AC904+AD904+AE904</f>
        <v>2424688.3000000003</v>
      </c>
      <c r="E904" s="31">
        <v>0</v>
      </c>
      <c r="F904" s="31">
        <v>0</v>
      </c>
      <c r="G904" s="31">
        <v>0</v>
      </c>
      <c r="H904" s="31">
        <v>0</v>
      </c>
      <c r="I904" s="31">
        <v>0</v>
      </c>
      <c r="J904" s="31">
        <v>0</v>
      </c>
      <c r="K904" s="33">
        <v>0</v>
      </c>
      <c r="L904" s="31">
        <v>0</v>
      </c>
      <c r="M904" s="31">
        <v>430</v>
      </c>
      <c r="N904" s="31">
        <v>2270628.87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  <c r="V904" s="31">
        <v>0</v>
      </c>
      <c r="W904" s="31">
        <v>0</v>
      </c>
      <c r="X904" s="31">
        <v>0</v>
      </c>
      <c r="Y904" s="31">
        <v>0</v>
      </c>
      <c r="Z904" s="31">
        <v>0</v>
      </c>
      <c r="AA904" s="31">
        <v>0</v>
      </c>
      <c r="AB904" s="31">
        <v>0</v>
      </c>
      <c r="AC904" s="31">
        <f>ROUND(N904*1.5%,2)</f>
        <v>34059.43</v>
      </c>
      <c r="AD904" s="31">
        <v>120000</v>
      </c>
      <c r="AE904" s="31">
        <v>0</v>
      </c>
      <c r="AF904" s="34">
        <v>2021</v>
      </c>
      <c r="AG904" s="34">
        <v>2021</v>
      </c>
      <c r="AH904" s="35">
        <v>2021</v>
      </c>
      <c r="AT904" s="20" t="e">
        <f t="shared" si="200"/>
        <v>#N/A</v>
      </c>
      <c r="BZ904" s="71"/>
      <c r="CD904" s="20" t="e">
        <f t="shared" si="207"/>
        <v>#N/A</v>
      </c>
    </row>
    <row r="905" spans="1:82" ht="61.5" x14ac:dyDescent="0.85">
      <c r="A905" s="20">
        <v>1</v>
      </c>
      <c r="B905" s="66">
        <f>SUBTOTAL(103,$A$560:A905)</f>
        <v>319</v>
      </c>
      <c r="C905" s="24" t="s">
        <v>78</v>
      </c>
      <c r="D905" s="31">
        <f>E905+F905+G905+H905+I905+J905+L905+N905+P905+R905+T905+U905+V905+W905+X905+Y905+Z905+AA905+AB905+AC905+AD905+AE905</f>
        <v>2170941.85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3">
        <v>0</v>
      </c>
      <c r="L905" s="31">
        <v>0</v>
      </c>
      <c r="M905" s="31">
        <v>385</v>
      </c>
      <c r="N905" s="31">
        <v>2020632.36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31">
        <v>0</v>
      </c>
      <c r="W905" s="31">
        <v>0</v>
      </c>
      <c r="X905" s="31">
        <v>0</v>
      </c>
      <c r="Y905" s="31">
        <v>0</v>
      </c>
      <c r="Z905" s="31">
        <v>0</v>
      </c>
      <c r="AA905" s="31">
        <v>0</v>
      </c>
      <c r="AB905" s="31">
        <v>0</v>
      </c>
      <c r="AC905" s="31">
        <f>ROUND(N905*1.5%,2)</f>
        <v>30309.49</v>
      </c>
      <c r="AD905" s="31">
        <v>120000</v>
      </c>
      <c r="AE905" s="31">
        <v>0</v>
      </c>
      <c r="AF905" s="34">
        <v>2021</v>
      </c>
      <c r="AG905" s="34">
        <v>2021</v>
      </c>
      <c r="AH905" s="35">
        <v>2021</v>
      </c>
      <c r="AT905" s="20" t="e">
        <f t="shared" si="200"/>
        <v>#N/A</v>
      </c>
      <c r="BZ905" s="71"/>
      <c r="CD905" s="20" t="e">
        <f t="shared" si="207"/>
        <v>#N/A</v>
      </c>
    </row>
    <row r="906" spans="1:82" ht="61.5" x14ac:dyDescent="0.85">
      <c r="A906" s="20">
        <v>1</v>
      </c>
      <c r="B906" s="66">
        <f>SUBTOTAL(103,$A$560:A906)</f>
        <v>320</v>
      </c>
      <c r="C906" s="24" t="s">
        <v>1701</v>
      </c>
      <c r="D906" s="31">
        <f>E906+F906+G906+H906+I906+J906+L906+N906+P906+R906+T906+U906+V906+W906+X906+Y906+Z906+AA906+AB906+AC906+AD906+AE906</f>
        <v>4971250</v>
      </c>
      <c r="E906" s="31">
        <v>0</v>
      </c>
      <c r="F906" s="31">
        <v>0</v>
      </c>
      <c r="G906" s="31">
        <v>0</v>
      </c>
      <c r="H906" s="31">
        <v>0</v>
      </c>
      <c r="I906" s="31">
        <v>0</v>
      </c>
      <c r="J906" s="31">
        <v>0</v>
      </c>
      <c r="K906" s="33">
        <v>0</v>
      </c>
      <c r="L906" s="31">
        <v>0</v>
      </c>
      <c r="M906" s="31">
        <v>950</v>
      </c>
      <c r="N906" s="31">
        <v>4750000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31">
        <v>0</v>
      </c>
      <c r="U906" s="31">
        <v>0</v>
      </c>
      <c r="V906" s="31">
        <v>0</v>
      </c>
      <c r="W906" s="31">
        <v>0</v>
      </c>
      <c r="X906" s="31">
        <v>0</v>
      </c>
      <c r="Y906" s="31">
        <v>0</v>
      </c>
      <c r="Z906" s="31">
        <v>0</v>
      </c>
      <c r="AA906" s="31">
        <v>0</v>
      </c>
      <c r="AB906" s="31">
        <v>0</v>
      </c>
      <c r="AC906" s="31">
        <f>ROUND(N906*1.5%,2)</f>
        <v>71250</v>
      </c>
      <c r="AD906" s="31">
        <v>150000</v>
      </c>
      <c r="AE906" s="31">
        <v>0</v>
      </c>
      <c r="AF906" s="34">
        <v>2021</v>
      </c>
      <c r="AG906" s="34">
        <v>2021</v>
      </c>
      <c r="AH906" s="35">
        <v>2021</v>
      </c>
      <c r="BZ906" s="71"/>
      <c r="CD906" s="20" t="e">
        <f t="shared" si="207"/>
        <v>#N/A</v>
      </c>
    </row>
    <row r="907" spans="1:82" ht="61.5" x14ac:dyDescent="0.85">
      <c r="B907" s="24" t="s">
        <v>885</v>
      </c>
      <c r="C907" s="24"/>
      <c r="D907" s="31">
        <f t="shared" ref="D907:AE907" si="211">D908+D909</f>
        <v>2766932.97</v>
      </c>
      <c r="E907" s="31">
        <f t="shared" si="211"/>
        <v>0</v>
      </c>
      <c r="F907" s="31">
        <f t="shared" si="211"/>
        <v>0</v>
      </c>
      <c r="G907" s="31">
        <f t="shared" si="211"/>
        <v>0</v>
      </c>
      <c r="H907" s="31">
        <f t="shared" si="211"/>
        <v>0</v>
      </c>
      <c r="I907" s="31">
        <f t="shared" si="211"/>
        <v>0</v>
      </c>
      <c r="J907" s="31">
        <f t="shared" si="211"/>
        <v>0</v>
      </c>
      <c r="K907" s="33">
        <f t="shared" si="211"/>
        <v>0</v>
      </c>
      <c r="L907" s="31">
        <f t="shared" si="211"/>
        <v>0</v>
      </c>
      <c r="M907" s="31">
        <f t="shared" si="211"/>
        <v>467</v>
      </c>
      <c r="N907" s="31">
        <f t="shared" si="211"/>
        <v>2489589.13</v>
      </c>
      <c r="O907" s="31">
        <f t="shared" si="211"/>
        <v>0</v>
      </c>
      <c r="P907" s="31">
        <f t="shared" si="211"/>
        <v>0</v>
      </c>
      <c r="Q907" s="31">
        <f t="shared" si="211"/>
        <v>0</v>
      </c>
      <c r="R907" s="31">
        <f t="shared" si="211"/>
        <v>0</v>
      </c>
      <c r="S907" s="31">
        <f t="shared" si="211"/>
        <v>0</v>
      </c>
      <c r="T907" s="31">
        <f t="shared" si="211"/>
        <v>0</v>
      </c>
      <c r="U907" s="31">
        <f t="shared" si="211"/>
        <v>0</v>
      </c>
      <c r="V907" s="31">
        <f t="shared" si="211"/>
        <v>0</v>
      </c>
      <c r="W907" s="31">
        <f t="shared" si="211"/>
        <v>0</v>
      </c>
      <c r="X907" s="31">
        <f t="shared" si="211"/>
        <v>0</v>
      </c>
      <c r="Y907" s="31">
        <f t="shared" si="211"/>
        <v>0</v>
      </c>
      <c r="Z907" s="31">
        <f t="shared" si="211"/>
        <v>0</v>
      </c>
      <c r="AA907" s="31">
        <f t="shared" si="211"/>
        <v>0</v>
      </c>
      <c r="AB907" s="31">
        <f t="shared" si="211"/>
        <v>0</v>
      </c>
      <c r="AC907" s="31">
        <f t="shared" si="211"/>
        <v>37343.839999999997</v>
      </c>
      <c r="AD907" s="31">
        <f t="shared" si="211"/>
        <v>240000</v>
      </c>
      <c r="AE907" s="31">
        <f t="shared" si="211"/>
        <v>0</v>
      </c>
      <c r="AF907" s="72" t="s">
        <v>764</v>
      </c>
      <c r="AG907" s="72" t="s">
        <v>764</v>
      </c>
      <c r="AH907" s="87" t="s">
        <v>764</v>
      </c>
      <c r="AT907" s="20" t="e">
        <f t="shared" ref="AT907:AT913" si="212">VLOOKUP(C907,AW:AX,2,FALSE)</f>
        <v>#N/A</v>
      </c>
      <c r="BZ907" s="71">
        <v>2766932.97</v>
      </c>
      <c r="CD907" s="20" t="e">
        <f t="shared" si="207"/>
        <v>#N/A</v>
      </c>
    </row>
    <row r="908" spans="1:82" ht="61.5" x14ac:dyDescent="0.85">
      <c r="A908" s="20">
        <v>1</v>
      </c>
      <c r="B908" s="66">
        <f>SUBTOTAL(103,$A$560:A908)</f>
        <v>321</v>
      </c>
      <c r="C908" s="24" t="s">
        <v>81</v>
      </c>
      <c r="D908" s="31">
        <f>E908+F908+G908+H908+I908+J908+L908+N908+P908+R908+T908+U908+V908+W908+X908+Y908+Z908+AA908+AB908+AC908+AD908+AE908</f>
        <v>1818947.37</v>
      </c>
      <c r="E908" s="31">
        <v>0</v>
      </c>
      <c r="F908" s="31">
        <v>0</v>
      </c>
      <c r="G908" s="31">
        <v>0</v>
      </c>
      <c r="H908" s="31">
        <v>0</v>
      </c>
      <c r="I908" s="31">
        <v>0</v>
      </c>
      <c r="J908" s="31">
        <v>0</v>
      </c>
      <c r="K908" s="33">
        <v>0</v>
      </c>
      <c r="L908" s="31">
        <v>0</v>
      </c>
      <c r="M908" s="31">
        <v>307</v>
      </c>
      <c r="N908" s="31">
        <v>1673839.77</v>
      </c>
      <c r="O908" s="31">
        <v>0</v>
      </c>
      <c r="P908" s="31">
        <v>0</v>
      </c>
      <c r="Q908" s="31">
        <v>0</v>
      </c>
      <c r="R908" s="31">
        <v>0</v>
      </c>
      <c r="S908" s="31">
        <v>0</v>
      </c>
      <c r="T908" s="31">
        <v>0</v>
      </c>
      <c r="U908" s="31">
        <v>0</v>
      </c>
      <c r="V908" s="31">
        <v>0</v>
      </c>
      <c r="W908" s="31">
        <v>0</v>
      </c>
      <c r="X908" s="31">
        <v>0</v>
      </c>
      <c r="Y908" s="31">
        <v>0</v>
      </c>
      <c r="Z908" s="31">
        <v>0</v>
      </c>
      <c r="AA908" s="31">
        <v>0</v>
      </c>
      <c r="AB908" s="31">
        <v>0</v>
      </c>
      <c r="AC908" s="31">
        <f>ROUND(N908*1.5%,2)</f>
        <v>25107.599999999999</v>
      </c>
      <c r="AD908" s="31">
        <v>120000</v>
      </c>
      <c r="AE908" s="31">
        <v>0</v>
      </c>
      <c r="AF908" s="34">
        <v>2021</v>
      </c>
      <c r="AG908" s="34">
        <v>2021</v>
      </c>
      <c r="AH908" s="35">
        <v>2021</v>
      </c>
      <c r="AT908" s="20" t="e">
        <f t="shared" si="212"/>
        <v>#N/A</v>
      </c>
      <c r="BZ908" s="71"/>
      <c r="CD908" s="20" t="e">
        <f t="shared" si="207"/>
        <v>#N/A</v>
      </c>
    </row>
    <row r="909" spans="1:82" ht="61.5" x14ac:dyDescent="0.85">
      <c r="A909" s="20">
        <v>1</v>
      </c>
      <c r="B909" s="66">
        <f>SUBTOTAL(103,$A$560:A909)</f>
        <v>322</v>
      </c>
      <c r="C909" s="24" t="s">
        <v>82</v>
      </c>
      <c r="D909" s="31">
        <f>E909+F909+G909+H909+I909+J909+L909+N909+P909+R909+T909+U909+V909+W909+X909+Y909+Z909+AA909+AB909+AC909+AD909+AE909</f>
        <v>947985.6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3">
        <v>0</v>
      </c>
      <c r="L909" s="31">
        <v>0</v>
      </c>
      <c r="M909" s="31">
        <v>160</v>
      </c>
      <c r="N909" s="31">
        <v>815749.36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0</v>
      </c>
      <c r="Z909" s="31">
        <v>0</v>
      </c>
      <c r="AA909" s="31">
        <v>0</v>
      </c>
      <c r="AB909" s="31">
        <v>0</v>
      </c>
      <c r="AC909" s="31">
        <f>ROUND(N909*1.5%,2)</f>
        <v>12236.24</v>
      </c>
      <c r="AD909" s="31">
        <v>120000</v>
      </c>
      <c r="AE909" s="31">
        <v>0</v>
      </c>
      <c r="AF909" s="34">
        <v>2021</v>
      </c>
      <c r="AG909" s="34">
        <v>2021</v>
      </c>
      <c r="AH909" s="35">
        <v>2021</v>
      </c>
      <c r="AT909" s="20" t="e">
        <f t="shared" si="212"/>
        <v>#N/A</v>
      </c>
      <c r="BZ909" s="71"/>
      <c r="CD909" s="20" t="e">
        <f t="shared" si="207"/>
        <v>#N/A</v>
      </c>
    </row>
    <row r="910" spans="1:82" ht="61.5" x14ac:dyDescent="0.85">
      <c r="B910" s="24" t="s">
        <v>886</v>
      </c>
      <c r="C910" s="24"/>
      <c r="D910" s="31">
        <f t="shared" ref="D910:AE910" si="213">D911</f>
        <v>2568179.12</v>
      </c>
      <c r="E910" s="31">
        <f t="shared" si="213"/>
        <v>0</v>
      </c>
      <c r="F910" s="31">
        <f t="shared" si="213"/>
        <v>0</v>
      </c>
      <c r="G910" s="31">
        <f t="shared" si="213"/>
        <v>0</v>
      </c>
      <c r="H910" s="31">
        <f t="shared" si="213"/>
        <v>0</v>
      </c>
      <c r="I910" s="31">
        <f t="shared" si="213"/>
        <v>0</v>
      </c>
      <c r="J910" s="31">
        <f t="shared" si="213"/>
        <v>0</v>
      </c>
      <c r="K910" s="33">
        <f t="shared" si="213"/>
        <v>0</v>
      </c>
      <c r="L910" s="31">
        <f t="shared" si="213"/>
        <v>0</v>
      </c>
      <c r="M910" s="31">
        <f t="shared" si="213"/>
        <v>399.43</v>
      </c>
      <c r="N910" s="31">
        <f t="shared" si="213"/>
        <v>2411999.13</v>
      </c>
      <c r="O910" s="31">
        <f t="shared" si="213"/>
        <v>0</v>
      </c>
      <c r="P910" s="31">
        <f t="shared" si="213"/>
        <v>0</v>
      </c>
      <c r="Q910" s="31">
        <f t="shared" si="213"/>
        <v>0</v>
      </c>
      <c r="R910" s="31">
        <f t="shared" si="213"/>
        <v>0</v>
      </c>
      <c r="S910" s="31">
        <f t="shared" si="213"/>
        <v>0</v>
      </c>
      <c r="T910" s="31">
        <f t="shared" si="213"/>
        <v>0</v>
      </c>
      <c r="U910" s="31">
        <f t="shared" si="213"/>
        <v>0</v>
      </c>
      <c r="V910" s="31">
        <f t="shared" si="213"/>
        <v>0</v>
      </c>
      <c r="W910" s="31">
        <f t="shared" si="213"/>
        <v>0</v>
      </c>
      <c r="X910" s="31">
        <f t="shared" si="213"/>
        <v>0</v>
      </c>
      <c r="Y910" s="31">
        <f t="shared" si="213"/>
        <v>0</v>
      </c>
      <c r="Z910" s="31">
        <f t="shared" si="213"/>
        <v>0</v>
      </c>
      <c r="AA910" s="31">
        <f t="shared" si="213"/>
        <v>0</v>
      </c>
      <c r="AB910" s="31">
        <f t="shared" si="213"/>
        <v>0</v>
      </c>
      <c r="AC910" s="31">
        <f t="shared" si="213"/>
        <v>36179.99</v>
      </c>
      <c r="AD910" s="31">
        <f t="shared" si="213"/>
        <v>120000</v>
      </c>
      <c r="AE910" s="31">
        <f t="shared" si="213"/>
        <v>0</v>
      </c>
      <c r="AF910" s="72" t="s">
        <v>764</v>
      </c>
      <c r="AG910" s="72" t="s">
        <v>764</v>
      </c>
      <c r="AH910" s="87" t="s">
        <v>764</v>
      </c>
      <c r="AT910" s="20" t="e">
        <f t="shared" si="212"/>
        <v>#N/A</v>
      </c>
      <c r="BZ910" s="71">
        <v>2568179.12</v>
      </c>
      <c r="CD910" s="20" t="e">
        <f t="shared" si="207"/>
        <v>#N/A</v>
      </c>
    </row>
    <row r="911" spans="1:82" ht="61.5" x14ac:dyDescent="0.85">
      <c r="A911" s="20">
        <v>1</v>
      </c>
      <c r="B911" s="66">
        <f>SUBTOTAL(103,$A$560:A911)</f>
        <v>323</v>
      </c>
      <c r="C911" s="24" t="s">
        <v>83</v>
      </c>
      <c r="D911" s="31">
        <f>E911+F911+G911+H911+I911+J911+L911+N911+P911+R911+T911+U911+V911+W911+X911+Y911+Z911+AA911+AB911+AC911+AD911+AE911</f>
        <v>2568179.12</v>
      </c>
      <c r="E911" s="31">
        <v>0</v>
      </c>
      <c r="F911" s="31">
        <v>0</v>
      </c>
      <c r="G911" s="31">
        <v>0</v>
      </c>
      <c r="H911" s="31">
        <v>0</v>
      </c>
      <c r="I911" s="31">
        <v>0</v>
      </c>
      <c r="J911" s="31">
        <v>0</v>
      </c>
      <c r="K911" s="33">
        <v>0</v>
      </c>
      <c r="L911" s="31">
        <v>0</v>
      </c>
      <c r="M911" s="31">
        <v>399.43</v>
      </c>
      <c r="N911" s="31">
        <v>2411999.13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1">
        <v>0</v>
      </c>
      <c r="Y911" s="31">
        <v>0</v>
      </c>
      <c r="Z911" s="31">
        <v>0</v>
      </c>
      <c r="AA911" s="31">
        <v>0</v>
      </c>
      <c r="AB911" s="31">
        <v>0</v>
      </c>
      <c r="AC911" s="31">
        <f>ROUND(N911*1.5%,2)</f>
        <v>36179.99</v>
      </c>
      <c r="AD911" s="31">
        <v>120000</v>
      </c>
      <c r="AE911" s="31">
        <v>0</v>
      </c>
      <c r="AF911" s="34">
        <v>2021</v>
      </c>
      <c r="AG911" s="34">
        <v>2021</v>
      </c>
      <c r="AH911" s="35">
        <v>2021</v>
      </c>
      <c r="AT911" s="20" t="e">
        <f t="shared" si="212"/>
        <v>#N/A</v>
      </c>
      <c r="BZ911" s="71"/>
      <c r="CD911" s="20" t="e">
        <f t="shared" si="207"/>
        <v>#N/A</v>
      </c>
    </row>
    <row r="912" spans="1:82" ht="61.5" x14ac:dyDescent="0.85">
      <c r="B912" s="24" t="s">
        <v>853</v>
      </c>
      <c r="C912" s="114"/>
      <c r="D912" s="31">
        <f>SUM(D913:D914)</f>
        <v>4165100.4399999995</v>
      </c>
      <c r="E912" s="31">
        <f t="shared" ref="E912:AE912" si="214">SUM(E913:E914)</f>
        <v>0</v>
      </c>
      <c r="F912" s="31">
        <f t="shared" si="214"/>
        <v>0</v>
      </c>
      <c r="G912" s="31">
        <f t="shared" si="214"/>
        <v>0</v>
      </c>
      <c r="H912" s="31">
        <f t="shared" si="214"/>
        <v>0</v>
      </c>
      <c r="I912" s="31">
        <f t="shared" si="214"/>
        <v>0</v>
      </c>
      <c r="J912" s="31">
        <f t="shared" si="214"/>
        <v>0</v>
      </c>
      <c r="K912" s="33">
        <f t="shared" si="214"/>
        <v>0</v>
      </c>
      <c r="L912" s="31">
        <f t="shared" si="214"/>
        <v>0</v>
      </c>
      <c r="M912" s="31">
        <f t="shared" si="214"/>
        <v>906</v>
      </c>
      <c r="N912" s="31">
        <f t="shared" si="214"/>
        <v>3837537.38</v>
      </c>
      <c r="O912" s="31">
        <f t="shared" si="214"/>
        <v>0</v>
      </c>
      <c r="P912" s="31">
        <f t="shared" si="214"/>
        <v>0</v>
      </c>
      <c r="Q912" s="31">
        <f t="shared" si="214"/>
        <v>0</v>
      </c>
      <c r="R912" s="31">
        <f t="shared" si="214"/>
        <v>0</v>
      </c>
      <c r="S912" s="31">
        <f t="shared" si="214"/>
        <v>0</v>
      </c>
      <c r="T912" s="31">
        <f t="shared" si="214"/>
        <v>0</v>
      </c>
      <c r="U912" s="31">
        <f t="shared" si="214"/>
        <v>0</v>
      </c>
      <c r="V912" s="31">
        <f t="shared" si="214"/>
        <v>0</v>
      </c>
      <c r="W912" s="31">
        <f t="shared" si="214"/>
        <v>0</v>
      </c>
      <c r="X912" s="31">
        <f t="shared" si="214"/>
        <v>0</v>
      </c>
      <c r="Y912" s="31">
        <f t="shared" si="214"/>
        <v>0</v>
      </c>
      <c r="Z912" s="31">
        <f t="shared" si="214"/>
        <v>0</v>
      </c>
      <c r="AA912" s="31">
        <f t="shared" si="214"/>
        <v>0</v>
      </c>
      <c r="AB912" s="31">
        <f t="shared" si="214"/>
        <v>0</v>
      </c>
      <c r="AC912" s="31">
        <f t="shared" si="214"/>
        <v>57563.06</v>
      </c>
      <c r="AD912" s="31">
        <f t="shared" si="214"/>
        <v>150000</v>
      </c>
      <c r="AE912" s="31">
        <f t="shared" si="214"/>
        <v>120000</v>
      </c>
      <c r="AF912" s="72" t="s">
        <v>764</v>
      </c>
      <c r="AG912" s="72" t="s">
        <v>764</v>
      </c>
      <c r="AH912" s="87" t="s">
        <v>764</v>
      </c>
      <c r="AT912" s="20" t="e">
        <f t="shared" si="212"/>
        <v>#N/A</v>
      </c>
      <c r="BZ912" s="71">
        <v>2981647.8</v>
      </c>
      <c r="CD912" s="20" t="e">
        <f t="shared" si="207"/>
        <v>#N/A</v>
      </c>
    </row>
    <row r="913" spans="1:86" ht="61.5" x14ac:dyDescent="0.85">
      <c r="A913" s="20">
        <v>1</v>
      </c>
      <c r="B913" s="66">
        <f>SUBTOTAL(103,$A$560:A913)</f>
        <v>324</v>
      </c>
      <c r="C913" s="24" t="s">
        <v>106</v>
      </c>
      <c r="D913" s="31">
        <f>E913+F913+G913+H913+I913+J913+L913+N913+P913+R913+T913+U913+V913+W913+X913+Y913+Z913+AA913+AB913+AC913+AD913+AE913</f>
        <v>2981647.8</v>
      </c>
      <c r="E913" s="31">
        <v>0</v>
      </c>
      <c r="F913" s="31">
        <v>0</v>
      </c>
      <c r="G913" s="31">
        <v>0</v>
      </c>
      <c r="H913" s="31">
        <v>0</v>
      </c>
      <c r="I913" s="31">
        <v>0</v>
      </c>
      <c r="J913" s="31">
        <v>0</v>
      </c>
      <c r="K913" s="33">
        <v>0</v>
      </c>
      <c r="L913" s="31">
        <v>0</v>
      </c>
      <c r="M913" s="31">
        <v>571</v>
      </c>
      <c r="N913" s="31">
        <v>2789800.79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31">
        <v>0</v>
      </c>
      <c r="U913" s="31">
        <v>0</v>
      </c>
      <c r="V913" s="31">
        <v>0</v>
      </c>
      <c r="W913" s="31">
        <v>0</v>
      </c>
      <c r="X913" s="31">
        <v>0</v>
      </c>
      <c r="Y913" s="31">
        <v>0</v>
      </c>
      <c r="Z913" s="31">
        <v>0</v>
      </c>
      <c r="AA913" s="31">
        <v>0</v>
      </c>
      <c r="AB913" s="31">
        <v>0</v>
      </c>
      <c r="AC913" s="31">
        <f>ROUND(N913*1.5%,2)</f>
        <v>41847.01</v>
      </c>
      <c r="AD913" s="31">
        <v>150000</v>
      </c>
      <c r="AE913" s="31">
        <v>0</v>
      </c>
      <c r="AF913" s="34">
        <v>2021</v>
      </c>
      <c r="AG913" s="34">
        <v>2021</v>
      </c>
      <c r="AH913" s="35">
        <v>2021</v>
      </c>
      <c r="AT913" s="20" t="e">
        <f t="shared" si="212"/>
        <v>#N/A</v>
      </c>
      <c r="BZ913" s="71"/>
      <c r="CD913" s="20" t="e">
        <f t="shared" si="207"/>
        <v>#N/A</v>
      </c>
    </row>
    <row r="914" spans="1:86" ht="61.5" x14ac:dyDescent="0.85">
      <c r="A914" s="20">
        <v>1</v>
      </c>
      <c r="B914" s="66">
        <f>SUBTOTAL(103,$A$560:A914)</f>
        <v>325</v>
      </c>
      <c r="C914" s="211" t="s">
        <v>1254</v>
      </c>
      <c r="D914" s="31">
        <f>E914+F914+G914+H914+I914+J914+L914+N914+P914+R914+T914+U914+V914+W914+X914+Y914+Z914+AA914+AB914+AC914+AD914+AE914</f>
        <v>1183452.6399999999</v>
      </c>
      <c r="E914" s="31">
        <v>0</v>
      </c>
      <c r="F914" s="31">
        <v>0</v>
      </c>
      <c r="G914" s="31">
        <v>0</v>
      </c>
      <c r="H914" s="31">
        <v>0</v>
      </c>
      <c r="I914" s="31">
        <v>0</v>
      </c>
      <c r="J914" s="31">
        <v>0</v>
      </c>
      <c r="K914" s="33">
        <v>0</v>
      </c>
      <c r="L914" s="31">
        <v>0</v>
      </c>
      <c r="M914" s="31">
        <v>335</v>
      </c>
      <c r="N914" s="31">
        <f>994964.85+52771.74</f>
        <v>1047736.59</v>
      </c>
      <c r="O914" s="31">
        <v>0</v>
      </c>
      <c r="P914" s="31">
        <v>0</v>
      </c>
      <c r="Q914" s="31">
        <v>0</v>
      </c>
      <c r="R914" s="31">
        <v>0</v>
      </c>
      <c r="S914" s="31">
        <v>0</v>
      </c>
      <c r="T914" s="31">
        <v>0</v>
      </c>
      <c r="U914" s="31">
        <v>0</v>
      </c>
      <c r="V914" s="31">
        <v>0</v>
      </c>
      <c r="W914" s="31">
        <v>0</v>
      </c>
      <c r="X914" s="31">
        <v>0</v>
      </c>
      <c r="Y914" s="31">
        <v>0</v>
      </c>
      <c r="Z914" s="31">
        <v>0</v>
      </c>
      <c r="AA914" s="31">
        <v>0</v>
      </c>
      <c r="AB914" s="31">
        <v>0</v>
      </c>
      <c r="AC914" s="31">
        <f>ROUND(N914*1.5%,2)</f>
        <v>15716.05</v>
      </c>
      <c r="AD914" s="31">
        <v>0</v>
      </c>
      <c r="AE914" s="31">
        <v>120000</v>
      </c>
      <c r="AF914" s="34" t="s">
        <v>271</v>
      </c>
      <c r="AG914" s="34">
        <v>2021</v>
      </c>
      <c r="AH914" s="34">
        <v>2021</v>
      </c>
      <c r="BZ914" s="71"/>
      <c r="CD914" s="20">
        <f t="shared" si="207"/>
        <v>335</v>
      </c>
    </row>
    <row r="915" spans="1:86" ht="61.5" x14ac:dyDescent="0.85">
      <c r="B915" s="24" t="s">
        <v>887</v>
      </c>
      <c r="C915" s="24"/>
      <c r="D915" s="31">
        <f t="shared" ref="D915:AE915" si="215">D916</f>
        <v>4290230.8800000008</v>
      </c>
      <c r="E915" s="31">
        <f t="shared" si="215"/>
        <v>0</v>
      </c>
      <c r="F915" s="31">
        <f t="shared" si="215"/>
        <v>0</v>
      </c>
      <c r="G915" s="31">
        <f t="shared" si="215"/>
        <v>0</v>
      </c>
      <c r="H915" s="31">
        <f t="shared" si="215"/>
        <v>0</v>
      </c>
      <c r="I915" s="31">
        <f t="shared" si="215"/>
        <v>0</v>
      </c>
      <c r="J915" s="31">
        <f t="shared" si="215"/>
        <v>0</v>
      </c>
      <c r="K915" s="33">
        <f t="shared" si="215"/>
        <v>0</v>
      </c>
      <c r="L915" s="31">
        <f t="shared" si="215"/>
        <v>0</v>
      </c>
      <c r="M915" s="31">
        <f t="shared" si="215"/>
        <v>821.6</v>
      </c>
      <c r="N915" s="31">
        <f t="shared" si="215"/>
        <v>4079045.2</v>
      </c>
      <c r="O915" s="31">
        <f t="shared" si="215"/>
        <v>0</v>
      </c>
      <c r="P915" s="31">
        <f t="shared" si="215"/>
        <v>0</v>
      </c>
      <c r="Q915" s="31">
        <f t="shared" si="215"/>
        <v>0</v>
      </c>
      <c r="R915" s="31">
        <f t="shared" si="215"/>
        <v>0</v>
      </c>
      <c r="S915" s="31">
        <f t="shared" si="215"/>
        <v>0</v>
      </c>
      <c r="T915" s="31">
        <f t="shared" si="215"/>
        <v>0</v>
      </c>
      <c r="U915" s="31">
        <f t="shared" si="215"/>
        <v>0</v>
      </c>
      <c r="V915" s="31">
        <f t="shared" si="215"/>
        <v>0</v>
      </c>
      <c r="W915" s="31">
        <f t="shared" si="215"/>
        <v>0</v>
      </c>
      <c r="X915" s="31">
        <f t="shared" si="215"/>
        <v>0</v>
      </c>
      <c r="Y915" s="31">
        <f t="shared" si="215"/>
        <v>0</v>
      </c>
      <c r="Z915" s="31">
        <f t="shared" si="215"/>
        <v>0</v>
      </c>
      <c r="AA915" s="31">
        <f t="shared" si="215"/>
        <v>0</v>
      </c>
      <c r="AB915" s="31">
        <f t="shared" si="215"/>
        <v>0</v>
      </c>
      <c r="AC915" s="31">
        <f t="shared" si="215"/>
        <v>61185.68</v>
      </c>
      <c r="AD915" s="31">
        <f t="shared" si="215"/>
        <v>150000</v>
      </c>
      <c r="AE915" s="31">
        <f t="shared" si="215"/>
        <v>0</v>
      </c>
      <c r="AF915" s="72" t="s">
        <v>764</v>
      </c>
      <c r="AG915" s="72" t="s">
        <v>764</v>
      </c>
      <c r="AH915" s="87" t="s">
        <v>764</v>
      </c>
      <c r="AT915" s="20" t="e">
        <f t="shared" ref="AT915:AT922" si="216">VLOOKUP(C915,AW:AX,2,FALSE)</f>
        <v>#N/A</v>
      </c>
      <c r="BZ915" s="71">
        <v>4290230.8800000008</v>
      </c>
      <c r="CD915" s="20" t="e">
        <f t="shared" si="207"/>
        <v>#N/A</v>
      </c>
    </row>
    <row r="916" spans="1:86" ht="61.5" x14ac:dyDescent="0.85">
      <c r="A916" s="20">
        <v>1</v>
      </c>
      <c r="B916" s="66">
        <f>SUBTOTAL(103,$A$560:A916)</f>
        <v>326</v>
      </c>
      <c r="C916" s="24" t="s">
        <v>112</v>
      </c>
      <c r="D916" s="31">
        <f>E916+F916+G916+H916+I916+J916+L916+N916+P916+R916+T916+U916+V916+W916+X916+Y916+Z916+AA916+AB916+AC916+AD916+AE916</f>
        <v>4290230.8800000008</v>
      </c>
      <c r="E916" s="31">
        <v>0</v>
      </c>
      <c r="F916" s="31">
        <v>0</v>
      </c>
      <c r="G916" s="31">
        <v>0</v>
      </c>
      <c r="H916" s="31">
        <v>0</v>
      </c>
      <c r="I916" s="31">
        <v>0</v>
      </c>
      <c r="J916" s="31">
        <v>0</v>
      </c>
      <c r="K916" s="33">
        <v>0</v>
      </c>
      <c r="L916" s="31">
        <v>0</v>
      </c>
      <c r="M916" s="31">
        <v>821.6</v>
      </c>
      <c r="N916" s="31">
        <v>4079045.2</v>
      </c>
      <c r="O916" s="31">
        <v>0</v>
      </c>
      <c r="P916" s="31">
        <v>0</v>
      </c>
      <c r="Q916" s="31">
        <v>0</v>
      </c>
      <c r="R916" s="31">
        <v>0</v>
      </c>
      <c r="S916" s="31">
        <v>0</v>
      </c>
      <c r="T916" s="31">
        <v>0</v>
      </c>
      <c r="U916" s="31">
        <v>0</v>
      </c>
      <c r="V916" s="31">
        <v>0</v>
      </c>
      <c r="W916" s="31">
        <v>0</v>
      </c>
      <c r="X916" s="31">
        <v>0</v>
      </c>
      <c r="Y916" s="31">
        <v>0</v>
      </c>
      <c r="Z916" s="31">
        <v>0</v>
      </c>
      <c r="AA916" s="31">
        <v>0</v>
      </c>
      <c r="AB916" s="31">
        <v>0</v>
      </c>
      <c r="AC916" s="31">
        <f>ROUND(N916*1.5%,2)</f>
        <v>61185.68</v>
      </c>
      <c r="AD916" s="31">
        <v>150000</v>
      </c>
      <c r="AE916" s="31">
        <v>0</v>
      </c>
      <c r="AF916" s="34">
        <v>2021</v>
      </c>
      <c r="AG916" s="34">
        <v>2021</v>
      </c>
      <c r="AH916" s="35">
        <v>2021</v>
      </c>
      <c r="AT916" s="20" t="e">
        <f t="shared" si="216"/>
        <v>#N/A</v>
      </c>
      <c r="BZ916" s="71"/>
      <c r="CD916" s="20" t="e">
        <f t="shared" si="207"/>
        <v>#N/A</v>
      </c>
    </row>
    <row r="917" spans="1:86" ht="61.5" x14ac:dyDescent="0.85">
      <c r="B917" s="24" t="s">
        <v>888</v>
      </c>
      <c r="C917" s="24"/>
      <c r="D917" s="31">
        <f t="shared" ref="D917:AE917" si="217">D918</f>
        <v>2903320.8000000003</v>
      </c>
      <c r="E917" s="31">
        <f t="shared" si="217"/>
        <v>0</v>
      </c>
      <c r="F917" s="31">
        <f t="shared" si="217"/>
        <v>0</v>
      </c>
      <c r="G917" s="31">
        <f t="shared" si="217"/>
        <v>0</v>
      </c>
      <c r="H917" s="31">
        <f t="shared" si="217"/>
        <v>0</v>
      </c>
      <c r="I917" s="31">
        <f t="shared" si="217"/>
        <v>0</v>
      </c>
      <c r="J917" s="31">
        <f t="shared" si="217"/>
        <v>0</v>
      </c>
      <c r="K917" s="33">
        <f t="shared" si="217"/>
        <v>0</v>
      </c>
      <c r="L917" s="31">
        <f t="shared" si="217"/>
        <v>0</v>
      </c>
      <c r="M917" s="31">
        <f t="shared" si="217"/>
        <v>556</v>
      </c>
      <c r="N917" s="31">
        <f t="shared" si="217"/>
        <v>2712631.33</v>
      </c>
      <c r="O917" s="31">
        <f t="shared" si="217"/>
        <v>0</v>
      </c>
      <c r="P917" s="31">
        <f t="shared" si="217"/>
        <v>0</v>
      </c>
      <c r="Q917" s="31">
        <f t="shared" si="217"/>
        <v>0</v>
      </c>
      <c r="R917" s="31">
        <f t="shared" si="217"/>
        <v>0</v>
      </c>
      <c r="S917" s="31">
        <f t="shared" si="217"/>
        <v>0</v>
      </c>
      <c r="T917" s="31">
        <f t="shared" si="217"/>
        <v>0</v>
      </c>
      <c r="U917" s="31">
        <f t="shared" si="217"/>
        <v>0</v>
      </c>
      <c r="V917" s="31">
        <f t="shared" si="217"/>
        <v>0</v>
      </c>
      <c r="W917" s="31">
        <f t="shared" si="217"/>
        <v>0</v>
      </c>
      <c r="X917" s="31">
        <f t="shared" si="217"/>
        <v>0</v>
      </c>
      <c r="Y917" s="31">
        <f t="shared" si="217"/>
        <v>0</v>
      </c>
      <c r="Z917" s="31">
        <f t="shared" si="217"/>
        <v>0</v>
      </c>
      <c r="AA917" s="31">
        <f t="shared" si="217"/>
        <v>0</v>
      </c>
      <c r="AB917" s="31">
        <f t="shared" si="217"/>
        <v>0</v>
      </c>
      <c r="AC917" s="31">
        <f t="shared" si="217"/>
        <v>40689.47</v>
      </c>
      <c r="AD917" s="31">
        <f t="shared" si="217"/>
        <v>150000</v>
      </c>
      <c r="AE917" s="31">
        <f t="shared" si="217"/>
        <v>0</v>
      </c>
      <c r="AF917" s="72" t="s">
        <v>764</v>
      </c>
      <c r="AG917" s="72" t="s">
        <v>764</v>
      </c>
      <c r="AH917" s="87" t="s">
        <v>764</v>
      </c>
      <c r="AT917" s="20" t="e">
        <f t="shared" si="216"/>
        <v>#N/A</v>
      </c>
      <c r="BZ917" s="71">
        <v>2903320.8000000003</v>
      </c>
      <c r="CD917" s="20" t="e">
        <f t="shared" si="207"/>
        <v>#N/A</v>
      </c>
    </row>
    <row r="918" spans="1:86" ht="61.5" x14ac:dyDescent="0.85">
      <c r="A918" s="20">
        <v>1</v>
      </c>
      <c r="B918" s="66">
        <f>SUBTOTAL(103,$A$560:A918)</f>
        <v>327</v>
      </c>
      <c r="C918" s="24" t="s">
        <v>111</v>
      </c>
      <c r="D918" s="31">
        <f>E918+F918+G918+H918+I918+J918+L918+N918+P918+R918+T918+U918+V918+W918+X918+Y918+Z918+AA918+AB918+AC918+AD918+AE918</f>
        <v>2903320.8000000003</v>
      </c>
      <c r="E918" s="31">
        <v>0</v>
      </c>
      <c r="F918" s="31">
        <v>0</v>
      </c>
      <c r="G918" s="31">
        <v>0</v>
      </c>
      <c r="H918" s="31">
        <v>0</v>
      </c>
      <c r="I918" s="31">
        <v>0</v>
      </c>
      <c r="J918" s="31">
        <v>0</v>
      </c>
      <c r="K918" s="33">
        <v>0</v>
      </c>
      <c r="L918" s="31">
        <v>0</v>
      </c>
      <c r="M918" s="31">
        <v>556</v>
      </c>
      <c r="N918" s="31">
        <v>2712631.33</v>
      </c>
      <c r="O918" s="31">
        <v>0</v>
      </c>
      <c r="P918" s="31">
        <v>0</v>
      </c>
      <c r="Q918" s="31">
        <v>0</v>
      </c>
      <c r="R918" s="31">
        <v>0</v>
      </c>
      <c r="S918" s="31">
        <v>0</v>
      </c>
      <c r="T918" s="31">
        <v>0</v>
      </c>
      <c r="U918" s="31">
        <v>0</v>
      </c>
      <c r="V918" s="31">
        <v>0</v>
      </c>
      <c r="W918" s="31">
        <v>0</v>
      </c>
      <c r="X918" s="31">
        <v>0</v>
      </c>
      <c r="Y918" s="31">
        <v>0</v>
      </c>
      <c r="Z918" s="31">
        <v>0</v>
      </c>
      <c r="AA918" s="31">
        <v>0</v>
      </c>
      <c r="AB918" s="31">
        <v>0</v>
      </c>
      <c r="AC918" s="31">
        <f>ROUND(N918*1.5%,2)</f>
        <v>40689.47</v>
      </c>
      <c r="AD918" s="31">
        <v>150000</v>
      </c>
      <c r="AE918" s="31">
        <v>0</v>
      </c>
      <c r="AF918" s="34">
        <v>2021</v>
      </c>
      <c r="AG918" s="34">
        <v>2021</v>
      </c>
      <c r="AH918" s="35">
        <v>2021</v>
      </c>
      <c r="AT918" s="20" t="e">
        <f t="shared" si="216"/>
        <v>#N/A</v>
      </c>
      <c r="BZ918" s="71"/>
      <c r="CD918" s="20" t="e">
        <f t="shared" si="207"/>
        <v>#N/A</v>
      </c>
    </row>
    <row r="919" spans="1:86" ht="61.5" x14ac:dyDescent="0.85">
      <c r="B919" s="24" t="s">
        <v>854</v>
      </c>
      <c r="C919" s="114"/>
      <c r="D919" s="31">
        <f t="shared" ref="D919:AE919" si="218">D920</f>
        <v>3826397.3000000003</v>
      </c>
      <c r="E919" s="31">
        <f t="shared" si="218"/>
        <v>0</v>
      </c>
      <c r="F919" s="31">
        <f t="shared" si="218"/>
        <v>0</v>
      </c>
      <c r="G919" s="31">
        <f t="shared" si="218"/>
        <v>0</v>
      </c>
      <c r="H919" s="31">
        <f t="shared" si="218"/>
        <v>0</v>
      </c>
      <c r="I919" s="31">
        <f t="shared" si="218"/>
        <v>0</v>
      </c>
      <c r="J919" s="31">
        <f t="shared" si="218"/>
        <v>0</v>
      </c>
      <c r="K919" s="33">
        <f t="shared" si="218"/>
        <v>0</v>
      </c>
      <c r="L919" s="31">
        <f t="shared" si="218"/>
        <v>0</v>
      </c>
      <c r="M919" s="31">
        <f t="shared" si="218"/>
        <v>794.3</v>
      </c>
      <c r="N919" s="31">
        <f t="shared" si="218"/>
        <v>3622066.31</v>
      </c>
      <c r="O919" s="31">
        <f t="shared" si="218"/>
        <v>0</v>
      </c>
      <c r="P919" s="31">
        <f t="shared" si="218"/>
        <v>0</v>
      </c>
      <c r="Q919" s="31">
        <f t="shared" si="218"/>
        <v>0</v>
      </c>
      <c r="R919" s="31">
        <f t="shared" si="218"/>
        <v>0</v>
      </c>
      <c r="S919" s="31">
        <f t="shared" si="218"/>
        <v>0</v>
      </c>
      <c r="T919" s="31">
        <f t="shared" si="218"/>
        <v>0</v>
      </c>
      <c r="U919" s="31">
        <f t="shared" si="218"/>
        <v>0</v>
      </c>
      <c r="V919" s="31">
        <f t="shared" si="218"/>
        <v>0</v>
      </c>
      <c r="W919" s="31">
        <f t="shared" si="218"/>
        <v>0</v>
      </c>
      <c r="X919" s="31">
        <f t="shared" si="218"/>
        <v>0</v>
      </c>
      <c r="Y919" s="31">
        <f t="shared" si="218"/>
        <v>0</v>
      </c>
      <c r="Z919" s="31">
        <f t="shared" si="218"/>
        <v>0</v>
      </c>
      <c r="AA919" s="31">
        <f t="shared" si="218"/>
        <v>0</v>
      </c>
      <c r="AB919" s="31">
        <f t="shared" si="218"/>
        <v>0</v>
      </c>
      <c r="AC919" s="31">
        <f t="shared" si="218"/>
        <v>54330.99</v>
      </c>
      <c r="AD919" s="31">
        <f t="shared" si="218"/>
        <v>150000</v>
      </c>
      <c r="AE919" s="31">
        <f t="shared" si="218"/>
        <v>0</v>
      </c>
      <c r="AF919" s="72" t="s">
        <v>764</v>
      </c>
      <c r="AG919" s="72" t="s">
        <v>764</v>
      </c>
      <c r="AH919" s="87" t="s">
        <v>764</v>
      </c>
      <c r="AT919" s="20" t="e">
        <f t="shared" si="216"/>
        <v>#N/A</v>
      </c>
      <c r="BZ919" s="71">
        <v>3826397.3000000003</v>
      </c>
      <c r="CD919" s="20" t="e">
        <f t="shared" si="207"/>
        <v>#N/A</v>
      </c>
    </row>
    <row r="920" spans="1:86" ht="61.5" x14ac:dyDescent="0.85">
      <c r="A920" s="20">
        <v>1</v>
      </c>
      <c r="B920" s="66">
        <f>SUBTOTAL(103,$A$560:A920)</f>
        <v>328</v>
      </c>
      <c r="C920" s="24" t="s">
        <v>57</v>
      </c>
      <c r="D920" s="31">
        <f>E920+F920+G920+H920+I920+J920+L920+N920+P920+R920+T920+U920+V920+W920+X920+Y920+Z920+AA920+AB920+AC920+AD920+AE920</f>
        <v>3826397.3000000003</v>
      </c>
      <c r="E920" s="31">
        <v>0</v>
      </c>
      <c r="F920" s="31">
        <v>0</v>
      </c>
      <c r="G920" s="31">
        <v>0</v>
      </c>
      <c r="H920" s="31">
        <v>0</v>
      </c>
      <c r="I920" s="31">
        <v>0</v>
      </c>
      <c r="J920" s="31">
        <v>0</v>
      </c>
      <c r="K920" s="33">
        <v>0</v>
      </c>
      <c r="L920" s="31">
        <v>0</v>
      </c>
      <c r="M920" s="31">
        <v>794.3</v>
      </c>
      <c r="N920" s="31">
        <v>3622066.31</v>
      </c>
      <c r="O920" s="31">
        <v>0</v>
      </c>
      <c r="P920" s="31">
        <v>0</v>
      </c>
      <c r="Q920" s="31">
        <v>0</v>
      </c>
      <c r="R920" s="31">
        <v>0</v>
      </c>
      <c r="S920" s="31">
        <v>0</v>
      </c>
      <c r="T920" s="31">
        <v>0</v>
      </c>
      <c r="U920" s="31">
        <v>0</v>
      </c>
      <c r="V920" s="31">
        <v>0</v>
      </c>
      <c r="W920" s="31">
        <v>0</v>
      </c>
      <c r="X920" s="31">
        <v>0</v>
      </c>
      <c r="Y920" s="31">
        <v>0</v>
      </c>
      <c r="Z920" s="31">
        <v>0</v>
      </c>
      <c r="AA920" s="31">
        <v>0</v>
      </c>
      <c r="AB920" s="31">
        <v>0</v>
      </c>
      <c r="AC920" s="31">
        <f>ROUND(N920*1.5%,2)</f>
        <v>54330.99</v>
      </c>
      <c r="AD920" s="31">
        <v>150000</v>
      </c>
      <c r="AE920" s="31">
        <v>0</v>
      </c>
      <c r="AF920" s="34">
        <v>2021</v>
      </c>
      <c r="AG920" s="34">
        <v>2021</v>
      </c>
      <c r="AH920" s="35">
        <v>2021</v>
      </c>
      <c r="AT920" s="20" t="e">
        <f t="shared" si="216"/>
        <v>#N/A</v>
      </c>
      <c r="BZ920" s="71"/>
      <c r="CD920" s="20" t="e">
        <f t="shared" si="207"/>
        <v>#N/A</v>
      </c>
    </row>
    <row r="921" spans="1:86" ht="61.5" x14ac:dyDescent="0.85">
      <c r="B921" s="24" t="s">
        <v>855</v>
      </c>
      <c r="C921" s="24"/>
      <c r="D921" s="31">
        <f>SUM(D922:D923)</f>
        <v>11567413.620000001</v>
      </c>
      <c r="E921" s="31">
        <f t="shared" ref="E921:AE921" si="219">SUM(E922:E923)</f>
        <v>0</v>
      </c>
      <c r="F921" s="31">
        <f t="shared" si="219"/>
        <v>0</v>
      </c>
      <c r="G921" s="31">
        <f t="shared" si="219"/>
        <v>0</v>
      </c>
      <c r="H921" s="31">
        <f t="shared" si="219"/>
        <v>0</v>
      </c>
      <c r="I921" s="31">
        <f t="shared" si="219"/>
        <v>0</v>
      </c>
      <c r="J921" s="31">
        <f t="shared" si="219"/>
        <v>0</v>
      </c>
      <c r="K921" s="33">
        <f t="shared" si="219"/>
        <v>0</v>
      </c>
      <c r="L921" s="31">
        <f t="shared" si="219"/>
        <v>0</v>
      </c>
      <c r="M921" s="31">
        <f t="shared" si="219"/>
        <v>2907</v>
      </c>
      <c r="N921" s="31">
        <f t="shared" si="219"/>
        <v>11277978.42</v>
      </c>
      <c r="O921" s="31">
        <f t="shared" si="219"/>
        <v>0</v>
      </c>
      <c r="P921" s="31">
        <f t="shared" si="219"/>
        <v>0</v>
      </c>
      <c r="Q921" s="31">
        <f t="shared" si="219"/>
        <v>0</v>
      </c>
      <c r="R921" s="31">
        <f t="shared" si="219"/>
        <v>0</v>
      </c>
      <c r="S921" s="31">
        <f t="shared" si="219"/>
        <v>0</v>
      </c>
      <c r="T921" s="31">
        <f t="shared" si="219"/>
        <v>0</v>
      </c>
      <c r="U921" s="31">
        <f t="shared" si="219"/>
        <v>0</v>
      </c>
      <c r="V921" s="31">
        <f t="shared" si="219"/>
        <v>0</v>
      </c>
      <c r="W921" s="31">
        <f t="shared" si="219"/>
        <v>0</v>
      </c>
      <c r="X921" s="31">
        <f t="shared" si="219"/>
        <v>0</v>
      </c>
      <c r="Y921" s="31">
        <f t="shared" si="219"/>
        <v>0</v>
      </c>
      <c r="Z921" s="31">
        <f t="shared" si="219"/>
        <v>0</v>
      </c>
      <c r="AA921" s="31">
        <f t="shared" si="219"/>
        <v>0</v>
      </c>
      <c r="AB921" s="31">
        <f t="shared" si="219"/>
        <v>0</v>
      </c>
      <c r="AC921" s="31">
        <f t="shared" si="219"/>
        <v>109435.2</v>
      </c>
      <c r="AD921" s="31">
        <f t="shared" si="219"/>
        <v>180000</v>
      </c>
      <c r="AE921" s="31">
        <f t="shared" si="219"/>
        <v>0</v>
      </c>
      <c r="AF921" s="72" t="s">
        <v>764</v>
      </c>
      <c r="AG921" s="72" t="s">
        <v>764</v>
      </c>
      <c r="AH921" s="87" t="s">
        <v>764</v>
      </c>
      <c r="AT921" s="20" t="e">
        <f t="shared" si="216"/>
        <v>#N/A</v>
      </c>
      <c r="BZ921" s="71">
        <v>5858309.4800000004</v>
      </c>
      <c r="CD921" s="20" t="e">
        <f t="shared" si="207"/>
        <v>#N/A</v>
      </c>
    </row>
    <row r="922" spans="1:86" ht="61.5" x14ac:dyDescent="0.85">
      <c r="A922" s="20">
        <v>1</v>
      </c>
      <c r="B922" s="66">
        <f>SUBTOTAL(103,$A$560:A922)</f>
        <v>329</v>
      </c>
      <c r="C922" s="24" t="s">
        <v>41</v>
      </c>
      <c r="D922" s="31">
        <f>E922+F922+G922+H922+I922+J922+L922+N922+P922+R922+T922+U922+V922+W922+X922+Y922+Z922+AA922+AB922+AC922+AD922+AE922</f>
        <v>5858309.4800000004</v>
      </c>
      <c r="E922" s="31">
        <v>0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3">
        <v>0</v>
      </c>
      <c r="L922" s="31">
        <v>0</v>
      </c>
      <c r="M922" s="31">
        <v>1576</v>
      </c>
      <c r="N922" s="31">
        <v>5594393.5800000001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1">
        <v>0</v>
      </c>
      <c r="Y922" s="31">
        <v>0</v>
      </c>
      <c r="Z922" s="31">
        <v>0</v>
      </c>
      <c r="AA922" s="31">
        <v>0</v>
      </c>
      <c r="AB922" s="31">
        <v>0</v>
      </c>
      <c r="AC922" s="31">
        <f>ROUND(N922*1.5%,2)</f>
        <v>83915.9</v>
      </c>
      <c r="AD922" s="31">
        <v>180000</v>
      </c>
      <c r="AE922" s="31">
        <v>0</v>
      </c>
      <c r="AF922" s="34">
        <v>2021</v>
      </c>
      <c r="AG922" s="34">
        <v>2021</v>
      </c>
      <c r="AH922" s="35">
        <v>2021</v>
      </c>
      <c r="AT922" s="20" t="e">
        <f t="shared" si="216"/>
        <v>#N/A</v>
      </c>
      <c r="BZ922" s="71"/>
      <c r="CD922" s="20" t="e">
        <f t="shared" si="207"/>
        <v>#N/A</v>
      </c>
    </row>
    <row r="923" spans="1:86" ht="61.5" x14ac:dyDescent="0.85">
      <c r="A923" s="20">
        <v>1</v>
      </c>
      <c r="B923" s="66">
        <f>SUBTOTAL(103,$A$560:A923)</f>
        <v>330</v>
      </c>
      <c r="C923" s="211" t="s">
        <v>1572</v>
      </c>
      <c r="D923" s="31">
        <f>E923+F923+G923+H923+I923+J923+L923+N923+P923+R923+T923+U923+V923+W923+X923+Y923+Z923+AA923+AB923+AC923+AD923+AE923</f>
        <v>5709104.1399999997</v>
      </c>
      <c r="E923" s="31">
        <v>0</v>
      </c>
      <c r="F923" s="31">
        <v>0</v>
      </c>
      <c r="G923" s="31">
        <v>0</v>
      </c>
      <c r="H923" s="31">
        <v>0</v>
      </c>
      <c r="I923" s="31">
        <v>0</v>
      </c>
      <c r="J923" s="31">
        <v>0</v>
      </c>
      <c r="K923" s="33">
        <v>0</v>
      </c>
      <c r="L923" s="31">
        <v>0</v>
      </c>
      <c r="M923" s="31">
        <v>1331</v>
      </c>
      <c r="N923" s="31">
        <v>5683584.8399999999</v>
      </c>
      <c r="O923" s="31">
        <v>0</v>
      </c>
      <c r="P923" s="31">
        <v>0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1">
        <v>0</v>
      </c>
      <c r="X923" s="31">
        <v>0</v>
      </c>
      <c r="Y923" s="31">
        <v>0</v>
      </c>
      <c r="Z923" s="31">
        <v>0</v>
      </c>
      <c r="AA923" s="31">
        <v>0</v>
      </c>
      <c r="AB923" s="31">
        <v>0</v>
      </c>
      <c r="AC923" s="31">
        <f>ROUND(N923*0.449%,2)</f>
        <v>25519.3</v>
      </c>
      <c r="AD923" s="31">
        <v>0</v>
      </c>
      <c r="AE923" s="31">
        <v>0</v>
      </c>
      <c r="AF923" s="34" t="s">
        <v>271</v>
      </c>
      <c r="AG923" s="34">
        <v>2021</v>
      </c>
      <c r="AH923" s="34">
        <v>2021</v>
      </c>
      <c r="BZ923" s="71"/>
      <c r="CD923" s="20" t="e">
        <f t="shared" si="207"/>
        <v>#N/A</v>
      </c>
    </row>
    <row r="924" spans="1:86" ht="61.5" x14ac:dyDescent="0.85">
      <c r="B924" s="24" t="s">
        <v>889</v>
      </c>
      <c r="C924" s="24"/>
      <c r="D924" s="31">
        <f>SUM(D925:D926)</f>
        <v>5796065.7599999998</v>
      </c>
      <c r="E924" s="31">
        <f t="shared" ref="E924:AE924" si="220">SUM(E925:E926)</f>
        <v>0</v>
      </c>
      <c r="F924" s="31">
        <f t="shared" si="220"/>
        <v>0</v>
      </c>
      <c r="G924" s="31">
        <f t="shared" si="220"/>
        <v>0</v>
      </c>
      <c r="H924" s="31">
        <f t="shared" si="220"/>
        <v>0</v>
      </c>
      <c r="I924" s="31">
        <f t="shared" si="220"/>
        <v>0</v>
      </c>
      <c r="J924" s="31">
        <f t="shared" si="220"/>
        <v>0</v>
      </c>
      <c r="K924" s="33">
        <f t="shared" si="220"/>
        <v>0</v>
      </c>
      <c r="L924" s="31">
        <f t="shared" si="220"/>
        <v>0</v>
      </c>
      <c r="M924" s="31">
        <f t="shared" si="220"/>
        <v>1121.5999999999999</v>
      </c>
      <c r="N924" s="31">
        <f t="shared" si="220"/>
        <v>5444399.7699999996</v>
      </c>
      <c r="O924" s="31">
        <f t="shared" si="220"/>
        <v>0</v>
      </c>
      <c r="P924" s="31">
        <f t="shared" si="220"/>
        <v>0</v>
      </c>
      <c r="Q924" s="31">
        <f t="shared" si="220"/>
        <v>0</v>
      </c>
      <c r="R924" s="31">
        <f t="shared" si="220"/>
        <v>0</v>
      </c>
      <c r="S924" s="31">
        <f t="shared" si="220"/>
        <v>0</v>
      </c>
      <c r="T924" s="31">
        <f t="shared" si="220"/>
        <v>0</v>
      </c>
      <c r="U924" s="31">
        <f t="shared" si="220"/>
        <v>0</v>
      </c>
      <c r="V924" s="31">
        <f t="shared" si="220"/>
        <v>0</v>
      </c>
      <c r="W924" s="31">
        <f t="shared" si="220"/>
        <v>0</v>
      </c>
      <c r="X924" s="31">
        <f t="shared" si="220"/>
        <v>0</v>
      </c>
      <c r="Y924" s="31">
        <f t="shared" si="220"/>
        <v>0</v>
      </c>
      <c r="Z924" s="31">
        <f t="shared" si="220"/>
        <v>0</v>
      </c>
      <c r="AA924" s="31">
        <f t="shared" si="220"/>
        <v>0</v>
      </c>
      <c r="AB924" s="31">
        <f t="shared" si="220"/>
        <v>0</v>
      </c>
      <c r="AC924" s="31">
        <f t="shared" si="220"/>
        <v>81665.989999999991</v>
      </c>
      <c r="AD924" s="31">
        <f t="shared" si="220"/>
        <v>150000</v>
      </c>
      <c r="AE924" s="31">
        <f t="shared" si="220"/>
        <v>120000</v>
      </c>
      <c r="AF924" s="72" t="s">
        <v>764</v>
      </c>
      <c r="AG924" s="72" t="s">
        <v>764</v>
      </c>
      <c r="AH924" s="87" t="s">
        <v>764</v>
      </c>
      <c r="AT924" s="20" t="e">
        <f>VLOOKUP(C924,AW:AX,2,FALSE)</f>
        <v>#N/A</v>
      </c>
      <c r="BZ924" s="71">
        <v>3274450.4</v>
      </c>
      <c r="CD924" s="20" t="e">
        <f t="shared" si="207"/>
        <v>#N/A</v>
      </c>
    </row>
    <row r="925" spans="1:86" ht="61.5" x14ac:dyDescent="0.85">
      <c r="A925" s="20">
        <v>1</v>
      </c>
      <c r="B925" s="66">
        <f>SUBTOTAL(103,$A$560:A925)</f>
        <v>331</v>
      </c>
      <c r="C925" s="24" t="s">
        <v>55</v>
      </c>
      <c r="D925" s="31">
        <f>E925+F925+G925+H925+I925+J925+L925+N925+P925+R925+T925+U925+V925+W925+X925+Y925+Z925+AA925+AB925+AC925+AD925+AE925</f>
        <v>3274450.4</v>
      </c>
      <c r="E925" s="31">
        <v>0</v>
      </c>
      <c r="F925" s="31">
        <v>0</v>
      </c>
      <c r="G925" s="31">
        <v>0</v>
      </c>
      <c r="H925" s="31">
        <v>0</v>
      </c>
      <c r="I925" s="31">
        <v>0</v>
      </c>
      <c r="J925" s="31">
        <v>0</v>
      </c>
      <c r="K925" s="33">
        <v>0</v>
      </c>
      <c r="L925" s="31">
        <v>0</v>
      </c>
      <c r="M925" s="31">
        <v>609.79999999999995</v>
      </c>
      <c r="N925" s="31">
        <v>3078276.26</v>
      </c>
      <c r="O925" s="31">
        <v>0</v>
      </c>
      <c r="P925" s="31">
        <v>0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1">
        <v>0</v>
      </c>
      <c r="X925" s="31">
        <v>0</v>
      </c>
      <c r="Y925" s="31">
        <v>0</v>
      </c>
      <c r="Z925" s="31">
        <v>0</v>
      </c>
      <c r="AA925" s="31">
        <v>0</v>
      </c>
      <c r="AB925" s="31">
        <v>0</v>
      </c>
      <c r="AC925" s="31">
        <f>ROUND(N925*1.5%,2)</f>
        <v>46174.14</v>
      </c>
      <c r="AD925" s="31">
        <v>150000</v>
      </c>
      <c r="AE925" s="31">
        <v>0</v>
      </c>
      <c r="AF925" s="34">
        <v>2021</v>
      </c>
      <c r="AG925" s="34">
        <v>2021</v>
      </c>
      <c r="AH925" s="35">
        <v>2021</v>
      </c>
      <c r="AT925" s="20" t="e">
        <f>VLOOKUP(C925,AW:AX,2,FALSE)</f>
        <v>#N/A</v>
      </c>
      <c r="BZ925" s="71"/>
      <c r="CD925" s="20" t="e">
        <f t="shared" si="207"/>
        <v>#N/A</v>
      </c>
    </row>
    <row r="926" spans="1:86" ht="61.5" x14ac:dyDescent="0.85">
      <c r="A926" s="20">
        <v>1</v>
      </c>
      <c r="B926" s="66">
        <f>SUBTOTAL(103,$A$560:A926)</f>
        <v>332</v>
      </c>
      <c r="C926" s="211" t="s">
        <v>1268</v>
      </c>
      <c r="D926" s="31">
        <f>E926+F926+G926+H926+I926+J926+L926+N926+P926+R926+T926+U926+V926+W926+X926+Y926+Z926+AA926+AB926+AC926+AD926+AE926</f>
        <v>2521615.3599999999</v>
      </c>
      <c r="E926" s="31">
        <v>0</v>
      </c>
      <c r="F926" s="31">
        <v>0</v>
      </c>
      <c r="G926" s="31">
        <v>0</v>
      </c>
      <c r="H926" s="31">
        <v>0</v>
      </c>
      <c r="I926" s="31">
        <v>0</v>
      </c>
      <c r="J926" s="31">
        <v>0</v>
      </c>
      <c r="K926" s="33">
        <v>0</v>
      </c>
      <c r="L926" s="31">
        <v>0</v>
      </c>
      <c r="M926" s="31">
        <v>511.8</v>
      </c>
      <c r="N926" s="31">
        <f>2095100.24+271023.27</f>
        <v>2366123.5099999998</v>
      </c>
      <c r="O926" s="31">
        <v>0</v>
      </c>
      <c r="P926" s="31">
        <v>0</v>
      </c>
      <c r="Q926" s="31">
        <v>0</v>
      </c>
      <c r="R926" s="31">
        <v>0</v>
      </c>
      <c r="S926" s="31">
        <v>0</v>
      </c>
      <c r="T926" s="31">
        <v>0</v>
      </c>
      <c r="U926" s="31">
        <v>0</v>
      </c>
      <c r="V926" s="31">
        <v>0</v>
      </c>
      <c r="W926" s="31">
        <v>0</v>
      </c>
      <c r="X926" s="31">
        <v>0</v>
      </c>
      <c r="Y926" s="31">
        <v>0</v>
      </c>
      <c r="Z926" s="31">
        <v>0</v>
      </c>
      <c r="AA926" s="31">
        <v>0</v>
      </c>
      <c r="AB926" s="31">
        <v>0</v>
      </c>
      <c r="AC926" s="31">
        <f>ROUND(N926*1.5%,2)</f>
        <v>35491.85</v>
      </c>
      <c r="AD926" s="31">
        <v>0</v>
      </c>
      <c r="AE926" s="31">
        <v>120000</v>
      </c>
      <c r="AF926" s="34" t="s">
        <v>271</v>
      </c>
      <c r="AG926" s="34">
        <v>2021</v>
      </c>
      <c r="AH926" s="34">
        <v>2021</v>
      </c>
      <c r="BZ926" s="71"/>
      <c r="CD926" s="20">
        <f t="shared" si="207"/>
        <v>511.8</v>
      </c>
    </row>
    <row r="927" spans="1:86" s="134" customFormat="1" ht="61.5" x14ac:dyDescent="0.85">
      <c r="A927" s="20"/>
      <c r="B927" s="24" t="s">
        <v>896</v>
      </c>
      <c r="C927" s="24"/>
      <c r="D927" s="31">
        <f t="shared" ref="D927:AE927" si="221">D928</f>
        <v>3707032</v>
      </c>
      <c r="E927" s="31">
        <f t="shared" si="221"/>
        <v>0</v>
      </c>
      <c r="F927" s="31">
        <f t="shared" si="221"/>
        <v>0</v>
      </c>
      <c r="G927" s="31">
        <f t="shared" si="221"/>
        <v>0</v>
      </c>
      <c r="H927" s="31">
        <f t="shared" si="221"/>
        <v>0</v>
      </c>
      <c r="I927" s="31">
        <f t="shared" si="221"/>
        <v>0</v>
      </c>
      <c r="J927" s="31">
        <f t="shared" si="221"/>
        <v>0</v>
      </c>
      <c r="K927" s="33">
        <f t="shared" si="221"/>
        <v>0</v>
      </c>
      <c r="L927" s="31">
        <f t="shared" si="221"/>
        <v>0</v>
      </c>
      <c r="M927" s="31">
        <f t="shared" si="221"/>
        <v>0</v>
      </c>
      <c r="N927" s="31">
        <f t="shared" si="221"/>
        <v>0</v>
      </c>
      <c r="O927" s="31">
        <f t="shared" si="221"/>
        <v>0</v>
      </c>
      <c r="P927" s="31">
        <f t="shared" si="221"/>
        <v>0</v>
      </c>
      <c r="Q927" s="31">
        <f t="shared" si="221"/>
        <v>350</v>
      </c>
      <c r="R927" s="31">
        <f t="shared" si="221"/>
        <v>3504465.02</v>
      </c>
      <c r="S927" s="31">
        <f t="shared" si="221"/>
        <v>0</v>
      </c>
      <c r="T927" s="31">
        <f t="shared" si="221"/>
        <v>0</v>
      </c>
      <c r="U927" s="31">
        <f t="shared" si="221"/>
        <v>0</v>
      </c>
      <c r="V927" s="31">
        <f t="shared" si="221"/>
        <v>0</v>
      </c>
      <c r="W927" s="31">
        <f t="shared" si="221"/>
        <v>0</v>
      </c>
      <c r="X927" s="31">
        <f t="shared" si="221"/>
        <v>0</v>
      </c>
      <c r="Y927" s="31">
        <f t="shared" si="221"/>
        <v>0</v>
      </c>
      <c r="Z927" s="31">
        <f t="shared" si="221"/>
        <v>0</v>
      </c>
      <c r="AA927" s="31">
        <f t="shared" si="221"/>
        <v>0</v>
      </c>
      <c r="AB927" s="31">
        <f t="shared" si="221"/>
        <v>0</v>
      </c>
      <c r="AC927" s="31">
        <f t="shared" si="221"/>
        <v>52566.98</v>
      </c>
      <c r="AD927" s="31">
        <f t="shared" si="221"/>
        <v>150000</v>
      </c>
      <c r="AE927" s="31">
        <f t="shared" si="221"/>
        <v>0</v>
      </c>
      <c r="AF927" s="72" t="s">
        <v>764</v>
      </c>
      <c r="AG927" s="72" t="s">
        <v>764</v>
      </c>
      <c r="AH927" s="87" t="s">
        <v>764</v>
      </c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 t="e">
        <f>VLOOKUP(C927,AW:AX,2,FALSE)</f>
        <v>#N/A</v>
      </c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Z927" s="71">
        <v>3274450.4</v>
      </c>
      <c r="CA927" s="20"/>
      <c r="CB927" s="20"/>
      <c r="CC927" s="20"/>
      <c r="CD927" s="20" t="e">
        <f t="shared" si="207"/>
        <v>#N/A</v>
      </c>
      <c r="CE927" s="20"/>
      <c r="CF927" s="20"/>
      <c r="CG927" s="20"/>
      <c r="CH927" s="20"/>
    </row>
    <row r="928" spans="1:86" s="134" customFormat="1" ht="61.5" x14ac:dyDescent="0.85">
      <c r="A928" s="134">
        <v>1</v>
      </c>
      <c r="B928" s="66">
        <f>SUBTOTAL(103,$A$560:A928)</f>
        <v>333</v>
      </c>
      <c r="C928" s="24" t="s">
        <v>1721</v>
      </c>
      <c r="D928" s="31">
        <f>E928+F928+G928+H928+I928+J928+L928+N928+P928+R928+T928+U928+V928+W928+X928+Y928+Z928+AA928+AB928+AC928+AD928+AE928</f>
        <v>3707032</v>
      </c>
      <c r="E928" s="31">
        <v>0</v>
      </c>
      <c r="F928" s="31">
        <v>0</v>
      </c>
      <c r="G928" s="31">
        <v>0</v>
      </c>
      <c r="H928" s="31">
        <v>0</v>
      </c>
      <c r="I928" s="31">
        <v>0</v>
      </c>
      <c r="J928" s="31">
        <v>0</v>
      </c>
      <c r="K928" s="33">
        <v>0</v>
      </c>
      <c r="L928" s="31">
        <v>0</v>
      </c>
      <c r="M928" s="31">
        <v>0</v>
      </c>
      <c r="N928" s="31">
        <v>0</v>
      </c>
      <c r="O928" s="31">
        <v>0</v>
      </c>
      <c r="P928" s="31">
        <v>0</v>
      </c>
      <c r="Q928" s="31">
        <v>350</v>
      </c>
      <c r="R928" s="31">
        <v>3504465.02</v>
      </c>
      <c r="S928" s="31">
        <v>0</v>
      </c>
      <c r="T928" s="31">
        <v>0</v>
      </c>
      <c r="U928" s="31">
        <v>0</v>
      </c>
      <c r="V928" s="31">
        <v>0</v>
      </c>
      <c r="W928" s="31">
        <v>0</v>
      </c>
      <c r="X928" s="31">
        <v>0</v>
      </c>
      <c r="Y928" s="31">
        <v>0</v>
      </c>
      <c r="Z928" s="31">
        <v>0</v>
      </c>
      <c r="AA928" s="31">
        <v>0</v>
      </c>
      <c r="AB928" s="31">
        <v>0</v>
      </c>
      <c r="AC928" s="31">
        <f>ROUND(R928*1.5%,2)</f>
        <v>52566.98</v>
      </c>
      <c r="AD928" s="31">
        <v>150000</v>
      </c>
      <c r="AE928" s="31">
        <v>0</v>
      </c>
      <c r="AF928" s="34">
        <v>2021</v>
      </c>
      <c r="AG928" s="34">
        <v>2021</v>
      </c>
      <c r="AH928" s="35">
        <v>2021</v>
      </c>
      <c r="AI928" s="20"/>
      <c r="AJ928" s="20"/>
      <c r="AK928" s="20"/>
      <c r="AL928" s="20"/>
      <c r="AT928" s="134" t="e">
        <f>VLOOKUP(C928,AW:AX,2,FALSE)</f>
        <v>#N/A</v>
      </c>
      <c r="BZ928" s="135"/>
      <c r="CD928" s="134" t="e">
        <f t="shared" ref="CD928:CD959" si="222">VLOOKUP(C928,CE:CF,2,FALSE)</f>
        <v>#N/A</v>
      </c>
    </row>
    <row r="929" spans="1:82" ht="61.5" x14ac:dyDescent="0.85">
      <c r="B929" s="24" t="s">
        <v>856</v>
      </c>
      <c r="C929" s="24"/>
      <c r="D929" s="31">
        <f t="shared" ref="D929:AE929" si="223">SUM(D930:D932)</f>
        <v>12199052.439999999</v>
      </c>
      <c r="E929" s="31">
        <f t="shared" si="223"/>
        <v>0</v>
      </c>
      <c r="F929" s="31">
        <f t="shared" si="223"/>
        <v>0</v>
      </c>
      <c r="G929" s="31">
        <f t="shared" si="223"/>
        <v>3177624.7</v>
      </c>
      <c r="H929" s="31">
        <f t="shared" si="223"/>
        <v>1177032.5</v>
      </c>
      <c r="I929" s="31">
        <f t="shared" si="223"/>
        <v>0</v>
      </c>
      <c r="J929" s="31">
        <f t="shared" si="223"/>
        <v>0</v>
      </c>
      <c r="K929" s="33">
        <f t="shared" si="223"/>
        <v>0</v>
      </c>
      <c r="L929" s="31">
        <f t="shared" si="223"/>
        <v>0</v>
      </c>
      <c r="M929" s="31">
        <f t="shared" si="223"/>
        <v>1328.6</v>
      </c>
      <c r="N929" s="31">
        <f t="shared" si="223"/>
        <v>7102537.3200000003</v>
      </c>
      <c r="O929" s="31">
        <f t="shared" si="223"/>
        <v>0</v>
      </c>
      <c r="P929" s="31">
        <f t="shared" si="223"/>
        <v>0</v>
      </c>
      <c r="Q929" s="31">
        <f t="shared" si="223"/>
        <v>0</v>
      </c>
      <c r="R929" s="31">
        <f t="shared" si="223"/>
        <v>0</v>
      </c>
      <c r="S929" s="31">
        <f t="shared" si="223"/>
        <v>0</v>
      </c>
      <c r="T929" s="31">
        <f t="shared" si="223"/>
        <v>0</v>
      </c>
      <c r="U929" s="31">
        <f t="shared" si="223"/>
        <v>0</v>
      </c>
      <c r="V929" s="31">
        <f t="shared" si="223"/>
        <v>0</v>
      </c>
      <c r="W929" s="31">
        <f t="shared" si="223"/>
        <v>0</v>
      </c>
      <c r="X929" s="31">
        <f t="shared" si="223"/>
        <v>0</v>
      </c>
      <c r="Y929" s="31">
        <f t="shared" si="223"/>
        <v>0</v>
      </c>
      <c r="Z929" s="31">
        <f t="shared" si="223"/>
        <v>0</v>
      </c>
      <c r="AA929" s="31">
        <f t="shared" si="223"/>
        <v>0</v>
      </c>
      <c r="AB929" s="31">
        <f t="shared" si="223"/>
        <v>0</v>
      </c>
      <c r="AC929" s="31">
        <f t="shared" si="223"/>
        <v>171857.92000000001</v>
      </c>
      <c r="AD929" s="31">
        <f t="shared" si="223"/>
        <v>570000</v>
      </c>
      <c r="AE929" s="31">
        <f t="shared" si="223"/>
        <v>0</v>
      </c>
      <c r="AF929" s="72" t="s">
        <v>764</v>
      </c>
      <c r="AG929" s="72" t="s">
        <v>764</v>
      </c>
      <c r="AH929" s="87" t="s">
        <v>764</v>
      </c>
      <c r="AT929" s="20" t="e">
        <f>VLOOKUP(C929,AW:AX,2,FALSE)</f>
        <v>#N/A</v>
      </c>
      <c r="BZ929" s="71">
        <v>12199052.439999999</v>
      </c>
      <c r="CD929" s="20" t="e">
        <f t="shared" si="222"/>
        <v>#N/A</v>
      </c>
    </row>
    <row r="930" spans="1:82" ht="61.5" x14ac:dyDescent="0.85">
      <c r="A930" s="20">
        <v>1</v>
      </c>
      <c r="B930" s="66">
        <f>SUBTOTAL(103,$A$560:A930)</f>
        <v>334</v>
      </c>
      <c r="C930" s="24" t="s">
        <v>56</v>
      </c>
      <c r="D930" s="31">
        <f>E930+F930+G930+H930+I930+J930+L930+N930+P930+R930+T930+U930+V930+W930+X930+Y930+Z930+AA930+AB930+AC930+AD930+AE930</f>
        <v>4719977.0600000005</v>
      </c>
      <c r="E930" s="31">
        <v>0</v>
      </c>
      <c r="F930" s="31">
        <v>0</v>
      </c>
      <c r="G930" s="31">
        <v>3177624.7</v>
      </c>
      <c r="H930" s="31">
        <v>1177032.5</v>
      </c>
      <c r="I930" s="31">
        <v>0</v>
      </c>
      <c r="J930" s="31">
        <v>0</v>
      </c>
      <c r="K930" s="33">
        <v>0</v>
      </c>
      <c r="L930" s="31">
        <v>0</v>
      </c>
      <c r="M930" s="31">
        <v>0</v>
      </c>
      <c r="N930" s="31">
        <v>0</v>
      </c>
      <c r="O930" s="31">
        <v>0</v>
      </c>
      <c r="P930" s="31">
        <v>0</v>
      </c>
      <c r="Q930" s="31">
        <v>0</v>
      </c>
      <c r="R930" s="31">
        <v>0</v>
      </c>
      <c r="S930" s="31">
        <v>0</v>
      </c>
      <c r="T930" s="31">
        <v>0</v>
      </c>
      <c r="U930" s="31">
        <v>0</v>
      </c>
      <c r="V930" s="31">
        <v>0</v>
      </c>
      <c r="W930" s="31">
        <v>0</v>
      </c>
      <c r="X930" s="31">
        <v>0</v>
      </c>
      <c r="Y930" s="31">
        <v>0</v>
      </c>
      <c r="Z930" s="31">
        <v>0</v>
      </c>
      <c r="AA930" s="31">
        <v>0</v>
      </c>
      <c r="AB930" s="31">
        <v>0</v>
      </c>
      <c r="AC930" s="31">
        <f>ROUND((E930+F930+G930+H930+I930+J930)*1.5%,2)</f>
        <v>65319.86</v>
      </c>
      <c r="AD930" s="31">
        <v>300000</v>
      </c>
      <c r="AE930" s="31">
        <v>0</v>
      </c>
      <c r="AF930" s="34">
        <v>2021</v>
      </c>
      <c r="AG930" s="34">
        <v>2021</v>
      </c>
      <c r="AH930" s="35">
        <v>2021</v>
      </c>
      <c r="AT930" s="20" t="e">
        <f>VLOOKUP(C930,AW:AX,2,FALSE)</f>
        <v>#N/A</v>
      </c>
      <c r="BZ930" s="71"/>
      <c r="CD930" s="20" t="e">
        <f t="shared" si="222"/>
        <v>#N/A</v>
      </c>
    </row>
    <row r="931" spans="1:82" ht="61.5" x14ac:dyDescent="0.85">
      <c r="A931" s="20">
        <v>1</v>
      </c>
      <c r="B931" s="66">
        <f>SUBTOTAL(103,$A$560:A931)</f>
        <v>335</v>
      </c>
      <c r="C931" s="24" t="s">
        <v>46</v>
      </c>
      <c r="D931" s="31">
        <f>E931+F931+G931+H931+I931+J931+L931+N931+P931+R931+T931+U931+V931+W931+X931+Y931+Z931+AA931+AB931+AC931+AD931+AE931</f>
        <v>3947511.93</v>
      </c>
      <c r="E931" s="31">
        <v>0</v>
      </c>
      <c r="F931" s="31">
        <v>0</v>
      </c>
      <c r="G931" s="31">
        <v>0</v>
      </c>
      <c r="H931" s="31">
        <v>0</v>
      </c>
      <c r="I931" s="31">
        <v>0</v>
      </c>
      <c r="J931" s="31">
        <v>0</v>
      </c>
      <c r="K931" s="33">
        <v>0</v>
      </c>
      <c r="L931" s="31">
        <v>0</v>
      </c>
      <c r="M931" s="31">
        <v>716.7</v>
      </c>
      <c r="N931" s="31">
        <v>3741391.06</v>
      </c>
      <c r="O931" s="31">
        <v>0</v>
      </c>
      <c r="P931" s="31">
        <v>0</v>
      </c>
      <c r="Q931" s="31">
        <v>0</v>
      </c>
      <c r="R931" s="31">
        <v>0</v>
      </c>
      <c r="S931" s="31">
        <v>0</v>
      </c>
      <c r="T931" s="31">
        <v>0</v>
      </c>
      <c r="U931" s="31">
        <v>0</v>
      </c>
      <c r="V931" s="31">
        <v>0</v>
      </c>
      <c r="W931" s="31">
        <v>0</v>
      </c>
      <c r="X931" s="31">
        <v>0</v>
      </c>
      <c r="Y931" s="31">
        <v>0</v>
      </c>
      <c r="Z931" s="31">
        <v>0</v>
      </c>
      <c r="AA931" s="31">
        <v>0</v>
      </c>
      <c r="AB931" s="31">
        <v>0</v>
      </c>
      <c r="AC931" s="31">
        <f>ROUND(N931*1.5%,2)</f>
        <v>56120.87</v>
      </c>
      <c r="AD931" s="31">
        <v>150000</v>
      </c>
      <c r="AE931" s="31">
        <v>0</v>
      </c>
      <c r="AF931" s="34">
        <v>2021</v>
      </c>
      <c r="AG931" s="34">
        <v>2021</v>
      </c>
      <c r="AH931" s="35">
        <v>2021</v>
      </c>
      <c r="AT931" s="20" t="e">
        <f>VLOOKUP(C931,AW:AX,2,FALSE)</f>
        <v>#N/A</v>
      </c>
      <c r="BZ931" s="71"/>
      <c r="CD931" s="20" t="e">
        <f t="shared" si="222"/>
        <v>#N/A</v>
      </c>
    </row>
    <row r="932" spans="1:82" ht="61.5" x14ac:dyDescent="0.85">
      <c r="A932" s="20">
        <v>1</v>
      </c>
      <c r="B932" s="66">
        <f>SUBTOTAL(103,$A$560:A932)</f>
        <v>336</v>
      </c>
      <c r="C932" s="24" t="s">
        <v>1620</v>
      </c>
      <c r="D932" s="31">
        <f>E932+F932+G932+H932+I932+J932+L932+N932+P932+R932+T932+U932+V932+W932+X932+Y932+Z932+AA932+AB932+AC932+AD932+AE932</f>
        <v>3531563.4499999997</v>
      </c>
      <c r="E932" s="31">
        <v>0</v>
      </c>
      <c r="F932" s="31">
        <v>0</v>
      </c>
      <c r="G932" s="31">
        <v>0</v>
      </c>
      <c r="H932" s="31">
        <v>0</v>
      </c>
      <c r="I932" s="31">
        <v>0</v>
      </c>
      <c r="J932" s="31">
        <v>0</v>
      </c>
      <c r="K932" s="33">
        <v>0</v>
      </c>
      <c r="L932" s="31">
        <v>0</v>
      </c>
      <c r="M932" s="31">
        <v>611.9</v>
      </c>
      <c r="N932" s="31">
        <f>3000000+361146.26</f>
        <v>3361146.26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0</v>
      </c>
      <c r="U932" s="31">
        <v>0</v>
      </c>
      <c r="V932" s="31">
        <v>0</v>
      </c>
      <c r="W932" s="31">
        <v>0</v>
      </c>
      <c r="X932" s="31">
        <v>0</v>
      </c>
      <c r="Y932" s="31">
        <v>0</v>
      </c>
      <c r="Z932" s="31">
        <v>0</v>
      </c>
      <c r="AA932" s="31">
        <v>0</v>
      </c>
      <c r="AB932" s="31">
        <v>0</v>
      </c>
      <c r="AC932" s="31">
        <f>ROUND(N932*1.5%,2)</f>
        <v>50417.19</v>
      </c>
      <c r="AD932" s="31">
        <v>120000</v>
      </c>
      <c r="AE932" s="31">
        <v>0</v>
      </c>
      <c r="AF932" s="34">
        <v>2021</v>
      </c>
      <c r="AG932" s="34">
        <v>2021</v>
      </c>
      <c r="AH932" s="35">
        <v>2021</v>
      </c>
      <c r="BZ932" s="71"/>
      <c r="CD932" s="20" t="e">
        <f t="shared" si="222"/>
        <v>#N/A</v>
      </c>
    </row>
    <row r="933" spans="1:82" ht="61.5" x14ac:dyDescent="0.85">
      <c r="B933" s="24" t="s">
        <v>857</v>
      </c>
      <c r="C933" s="24"/>
      <c r="D933" s="31">
        <f t="shared" ref="D933:AE933" si="224">SUM(D934:D936)</f>
        <v>11675176.630000001</v>
      </c>
      <c r="E933" s="31">
        <f t="shared" si="224"/>
        <v>0</v>
      </c>
      <c r="F933" s="31">
        <f t="shared" si="224"/>
        <v>0</v>
      </c>
      <c r="G933" s="31">
        <f t="shared" si="224"/>
        <v>0</v>
      </c>
      <c r="H933" s="31">
        <f t="shared" si="224"/>
        <v>626436.13</v>
      </c>
      <c r="I933" s="31">
        <f t="shared" si="224"/>
        <v>0</v>
      </c>
      <c r="J933" s="31">
        <f t="shared" si="224"/>
        <v>0</v>
      </c>
      <c r="K933" s="33">
        <f t="shared" si="224"/>
        <v>0</v>
      </c>
      <c r="L933" s="31">
        <f t="shared" si="224"/>
        <v>0</v>
      </c>
      <c r="M933" s="31">
        <f t="shared" si="224"/>
        <v>2246.4</v>
      </c>
      <c r="N933" s="31">
        <f t="shared" si="224"/>
        <v>10521521.140000001</v>
      </c>
      <c r="O933" s="31">
        <f t="shared" si="224"/>
        <v>0</v>
      </c>
      <c r="P933" s="31">
        <f t="shared" si="224"/>
        <v>0</v>
      </c>
      <c r="Q933" s="31">
        <f t="shared" si="224"/>
        <v>0</v>
      </c>
      <c r="R933" s="31">
        <f t="shared" si="224"/>
        <v>0</v>
      </c>
      <c r="S933" s="31">
        <f t="shared" si="224"/>
        <v>0</v>
      </c>
      <c r="T933" s="31">
        <f t="shared" si="224"/>
        <v>0</v>
      </c>
      <c r="U933" s="31">
        <f t="shared" si="224"/>
        <v>0</v>
      </c>
      <c r="V933" s="31">
        <f t="shared" si="224"/>
        <v>0</v>
      </c>
      <c r="W933" s="31">
        <f t="shared" si="224"/>
        <v>0</v>
      </c>
      <c r="X933" s="31">
        <f t="shared" si="224"/>
        <v>0</v>
      </c>
      <c r="Y933" s="31">
        <f t="shared" si="224"/>
        <v>0</v>
      </c>
      <c r="Z933" s="31">
        <f t="shared" si="224"/>
        <v>0</v>
      </c>
      <c r="AA933" s="31">
        <f t="shared" si="224"/>
        <v>0</v>
      </c>
      <c r="AB933" s="31">
        <f t="shared" si="224"/>
        <v>0</v>
      </c>
      <c r="AC933" s="31">
        <f t="shared" si="224"/>
        <v>167219.36000000002</v>
      </c>
      <c r="AD933" s="31">
        <f t="shared" si="224"/>
        <v>360000</v>
      </c>
      <c r="AE933" s="31">
        <f t="shared" si="224"/>
        <v>0</v>
      </c>
      <c r="AF933" s="72" t="s">
        <v>764</v>
      </c>
      <c r="AG933" s="72" t="s">
        <v>764</v>
      </c>
      <c r="AH933" s="87" t="s">
        <v>764</v>
      </c>
      <c r="AT933" s="20" t="e">
        <f>VLOOKUP(C933,AW:AX,2,FALSE)</f>
        <v>#N/A</v>
      </c>
      <c r="BZ933" s="71">
        <v>7408727.5099999998</v>
      </c>
      <c r="CD933" s="20" t="e">
        <f t="shared" si="222"/>
        <v>#N/A</v>
      </c>
    </row>
    <row r="934" spans="1:82" ht="61.5" x14ac:dyDescent="0.85">
      <c r="A934" s="20">
        <v>1</v>
      </c>
      <c r="B934" s="66">
        <f>SUBTOTAL(103,$A$560:A934)</f>
        <v>337</v>
      </c>
      <c r="C934" s="24" t="s">
        <v>54</v>
      </c>
      <c r="D934" s="31">
        <f>E934+F934+G934+H934+I934+J934+L934+N934+P934+R934+T934+U934+V934+W934+X934+Y934+Z934+AA934+AB934+AC934+AD934+AE934</f>
        <v>7814727.5099999998</v>
      </c>
      <c r="E934" s="31">
        <v>0</v>
      </c>
      <c r="F934" s="31">
        <v>0</v>
      </c>
      <c r="G934" s="31">
        <v>0</v>
      </c>
      <c r="H934" s="31">
        <v>0</v>
      </c>
      <c r="I934" s="31">
        <v>0</v>
      </c>
      <c r="J934" s="31">
        <v>0</v>
      </c>
      <c r="K934" s="33">
        <v>0</v>
      </c>
      <c r="L934" s="31">
        <v>0</v>
      </c>
      <c r="M934" s="31">
        <v>1669.2</v>
      </c>
      <c r="N934" s="31">
        <v>7521899.0199999996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1">
        <v>0</v>
      </c>
      <c r="X934" s="31">
        <v>0</v>
      </c>
      <c r="Y934" s="31">
        <v>0</v>
      </c>
      <c r="Z934" s="31">
        <v>0</v>
      </c>
      <c r="AA934" s="31">
        <v>0</v>
      </c>
      <c r="AB934" s="31">
        <v>0</v>
      </c>
      <c r="AC934" s="31">
        <f>ROUND(N934*1.5%,2)</f>
        <v>112828.49</v>
      </c>
      <c r="AD934" s="31">
        <v>180000</v>
      </c>
      <c r="AE934" s="31">
        <v>0</v>
      </c>
      <c r="AF934" s="34">
        <v>2021</v>
      </c>
      <c r="AG934" s="34">
        <v>2021</v>
      </c>
      <c r="AH934" s="35">
        <v>2021</v>
      </c>
      <c r="AT934" s="20" t="e">
        <f>VLOOKUP(C934,AW:AX,2,FALSE)</f>
        <v>#N/A</v>
      </c>
      <c r="BZ934" s="71"/>
      <c r="CD934" s="20" t="e">
        <f t="shared" si="222"/>
        <v>#N/A</v>
      </c>
    </row>
    <row r="935" spans="1:82" ht="61.5" x14ac:dyDescent="0.85">
      <c r="A935" s="20">
        <v>1</v>
      </c>
      <c r="B935" s="66">
        <f>SUBTOTAL(103,$A$560:A935)</f>
        <v>338</v>
      </c>
      <c r="C935" s="24" t="s">
        <v>1708</v>
      </c>
      <c r="D935" s="31">
        <f>E935+F935+G935+H935+I935+J935+L935+N935+P935+R935+T935+U935+V935+W935+X935+Y935+Z935+AA935+AB935+AC935+AD935+AE935</f>
        <v>3224616.45</v>
      </c>
      <c r="E935" s="31">
        <v>0</v>
      </c>
      <c r="F935" s="31">
        <v>0</v>
      </c>
      <c r="G935" s="31">
        <v>0</v>
      </c>
      <c r="H935" s="31">
        <v>0</v>
      </c>
      <c r="I935" s="31">
        <v>0</v>
      </c>
      <c r="J935" s="31">
        <v>0</v>
      </c>
      <c r="K935" s="33">
        <v>0</v>
      </c>
      <c r="L935" s="31">
        <v>0</v>
      </c>
      <c r="M935" s="31">
        <v>577.20000000000005</v>
      </c>
      <c r="N935" s="31">
        <v>2999622.12</v>
      </c>
      <c r="O935" s="31">
        <v>0</v>
      </c>
      <c r="P935" s="31">
        <v>0</v>
      </c>
      <c r="Q935" s="31">
        <v>0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1">
        <v>0</v>
      </c>
      <c r="Y935" s="31">
        <v>0</v>
      </c>
      <c r="Z935" s="31">
        <v>0</v>
      </c>
      <c r="AA935" s="31">
        <v>0</v>
      </c>
      <c r="AB935" s="31">
        <v>0</v>
      </c>
      <c r="AC935" s="31">
        <f>ROUND(N935*1.5%,2)</f>
        <v>44994.33</v>
      </c>
      <c r="AD935" s="31">
        <v>180000</v>
      </c>
      <c r="AE935" s="31">
        <v>0</v>
      </c>
      <c r="AF935" s="34">
        <v>2021</v>
      </c>
      <c r="AG935" s="34">
        <v>2021</v>
      </c>
      <c r="AH935" s="35">
        <v>2021</v>
      </c>
      <c r="AT935" s="20" t="e">
        <f>VLOOKUP(C935,AW:AX,2,FALSE)</f>
        <v>#N/A</v>
      </c>
      <c r="BZ935" s="71"/>
      <c r="CD935" s="20" t="e">
        <f t="shared" si="222"/>
        <v>#N/A</v>
      </c>
    </row>
    <row r="936" spans="1:82" ht="61.5" x14ac:dyDescent="0.85">
      <c r="A936" s="20">
        <v>1</v>
      </c>
      <c r="B936" s="66">
        <f>SUBTOTAL(103,$A$560:A936)</f>
        <v>339</v>
      </c>
      <c r="C936" s="211" t="s">
        <v>1265</v>
      </c>
      <c r="D936" s="31">
        <f>E936+F936+G936+H936+I936+J936+L936+N936+P936+R936+T936+U936+V936+W936+X936+Y936+Z936+AA936+AB936+AC936+AD936+AE936</f>
        <v>635832.67000000004</v>
      </c>
      <c r="E936" s="31">
        <v>0</v>
      </c>
      <c r="F936" s="31">
        <v>0</v>
      </c>
      <c r="G936" s="39">
        <v>0</v>
      </c>
      <c r="H936" s="31">
        <f>523667.25+102768.88</f>
        <v>626436.13</v>
      </c>
      <c r="I936" s="31">
        <v>0</v>
      </c>
      <c r="J936" s="31">
        <v>0</v>
      </c>
      <c r="K936" s="33">
        <v>0</v>
      </c>
      <c r="L936" s="31">
        <v>0</v>
      </c>
      <c r="M936" s="338">
        <v>0</v>
      </c>
      <c r="N936" s="338">
        <v>0</v>
      </c>
      <c r="O936" s="31">
        <v>0</v>
      </c>
      <c r="P936" s="31">
        <v>0</v>
      </c>
      <c r="Q936" s="31">
        <v>0</v>
      </c>
      <c r="R936" s="31">
        <v>0</v>
      </c>
      <c r="S936" s="31">
        <v>0</v>
      </c>
      <c r="T936" s="31">
        <v>0</v>
      </c>
      <c r="U936" s="31">
        <v>0</v>
      </c>
      <c r="V936" s="31">
        <v>0</v>
      </c>
      <c r="W936" s="31">
        <v>0</v>
      </c>
      <c r="X936" s="31">
        <v>0</v>
      </c>
      <c r="Y936" s="31">
        <v>0</v>
      </c>
      <c r="Z936" s="31">
        <v>0</v>
      </c>
      <c r="AA936" s="31">
        <v>0</v>
      </c>
      <c r="AB936" s="31">
        <v>0</v>
      </c>
      <c r="AC936" s="31">
        <f>ROUND((E936+F936+G936+H936+I936+J936)*1.5%,2)</f>
        <v>9396.5400000000009</v>
      </c>
      <c r="AD936" s="31">
        <v>0</v>
      </c>
      <c r="AE936" s="31">
        <v>0</v>
      </c>
      <c r="AF936" s="34" t="s">
        <v>271</v>
      </c>
      <c r="AG936" s="34">
        <v>2021</v>
      </c>
      <c r="AH936" s="35">
        <v>2021</v>
      </c>
      <c r="BZ936" s="71"/>
      <c r="CD936" s="20" t="e">
        <f t="shared" si="222"/>
        <v>#N/A</v>
      </c>
    </row>
    <row r="937" spans="1:82" ht="61.5" x14ac:dyDescent="0.85">
      <c r="B937" s="24" t="s">
        <v>858</v>
      </c>
      <c r="C937" s="24"/>
      <c r="D937" s="31">
        <f t="shared" ref="D937:AE937" si="225">D938</f>
        <v>2311215.4500000002</v>
      </c>
      <c r="E937" s="31">
        <f t="shared" si="225"/>
        <v>0</v>
      </c>
      <c r="F937" s="31">
        <f t="shared" si="225"/>
        <v>0</v>
      </c>
      <c r="G937" s="31">
        <f t="shared" si="225"/>
        <v>0</v>
      </c>
      <c r="H937" s="31">
        <f t="shared" si="225"/>
        <v>0</v>
      </c>
      <c r="I937" s="31">
        <f t="shared" si="225"/>
        <v>0</v>
      </c>
      <c r="J937" s="31">
        <f t="shared" si="225"/>
        <v>0</v>
      </c>
      <c r="K937" s="33">
        <f t="shared" si="225"/>
        <v>0</v>
      </c>
      <c r="L937" s="31">
        <f t="shared" si="225"/>
        <v>0</v>
      </c>
      <c r="M937" s="31">
        <f t="shared" si="225"/>
        <v>444</v>
      </c>
      <c r="N937" s="31">
        <f t="shared" si="225"/>
        <v>2158832.96</v>
      </c>
      <c r="O937" s="31">
        <f t="shared" si="225"/>
        <v>0</v>
      </c>
      <c r="P937" s="31">
        <f t="shared" si="225"/>
        <v>0</v>
      </c>
      <c r="Q937" s="31">
        <f t="shared" si="225"/>
        <v>0</v>
      </c>
      <c r="R937" s="31">
        <f t="shared" si="225"/>
        <v>0</v>
      </c>
      <c r="S937" s="31">
        <f t="shared" si="225"/>
        <v>0</v>
      </c>
      <c r="T937" s="31">
        <f t="shared" si="225"/>
        <v>0</v>
      </c>
      <c r="U937" s="31">
        <f t="shared" si="225"/>
        <v>0</v>
      </c>
      <c r="V937" s="31">
        <f t="shared" si="225"/>
        <v>0</v>
      </c>
      <c r="W937" s="31">
        <f t="shared" si="225"/>
        <v>0</v>
      </c>
      <c r="X937" s="31">
        <f t="shared" si="225"/>
        <v>0</v>
      </c>
      <c r="Y937" s="31">
        <f t="shared" si="225"/>
        <v>0</v>
      </c>
      <c r="Z937" s="31">
        <f t="shared" si="225"/>
        <v>0</v>
      </c>
      <c r="AA937" s="31">
        <f t="shared" si="225"/>
        <v>0</v>
      </c>
      <c r="AB937" s="31">
        <f t="shared" si="225"/>
        <v>0</v>
      </c>
      <c r="AC937" s="31">
        <f t="shared" si="225"/>
        <v>32382.49</v>
      </c>
      <c r="AD937" s="31">
        <f t="shared" si="225"/>
        <v>120000</v>
      </c>
      <c r="AE937" s="31">
        <f t="shared" si="225"/>
        <v>0</v>
      </c>
      <c r="AF937" s="72" t="s">
        <v>764</v>
      </c>
      <c r="AG937" s="72" t="s">
        <v>764</v>
      </c>
      <c r="AH937" s="87" t="s">
        <v>764</v>
      </c>
      <c r="AT937" s="20" t="e">
        <f t="shared" ref="AT937:AT960" si="226">VLOOKUP(C937,AW:AX,2,FALSE)</f>
        <v>#N/A</v>
      </c>
      <c r="BZ937" s="71">
        <v>2311215.4500000002</v>
      </c>
      <c r="CD937" s="20" t="e">
        <f t="shared" si="222"/>
        <v>#N/A</v>
      </c>
    </row>
    <row r="938" spans="1:82" ht="61.5" x14ac:dyDescent="0.85">
      <c r="A938" s="20">
        <v>1</v>
      </c>
      <c r="B938" s="66">
        <f>SUBTOTAL(103,$A$560:A938)</f>
        <v>340</v>
      </c>
      <c r="C938" s="24" t="s">
        <v>53</v>
      </c>
      <c r="D938" s="31">
        <f>E938+F938+G938+H938+I938+J938+L938+N938+P938+R938+T938+U938+V938+W938+X938+Y938+Z938+AA938+AB938+AC938+AD938+AE938</f>
        <v>2311215.4500000002</v>
      </c>
      <c r="E938" s="31">
        <v>0</v>
      </c>
      <c r="F938" s="31">
        <v>0</v>
      </c>
      <c r="G938" s="31">
        <v>0</v>
      </c>
      <c r="H938" s="31">
        <v>0</v>
      </c>
      <c r="I938" s="31">
        <v>0</v>
      </c>
      <c r="J938" s="31">
        <v>0</v>
      </c>
      <c r="K938" s="33">
        <v>0</v>
      </c>
      <c r="L938" s="31">
        <v>0</v>
      </c>
      <c r="M938" s="31">
        <v>444</v>
      </c>
      <c r="N938" s="31">
        <v>2158832.96</v>
      </c>
      <c r="O938" s="31">
        <v>0</v>
      </c>
      <c r="P938" s="31">
        <v>0</v>
      </c>
      <c r="Q938" s="31">
        <v>0</v>
      </c>
      <c r="R938" s="31">
        <v>0</v>
      </c>
      <c r="S938" s="31">
        <v>0</v>
      </c>
      <c r="T938" s="31">
        <v>0</v>
      </c>
      <c r="U938" s="31">
        <v>0</v>
      </c>
      <c r="V938" s="31">
        <v>0</v>
      </c>
      <c r="W938" s="31">
        <v>0</v>
      </c>
      <c r="X938" s="31">
        <v>0</v>
      </c>
      <c r="Y938" s="31">
        <v>0</v>
      </c>
      <c r="Z938" s="31">
        <v>0</v>
      </c>
      <c r="AA938" s="31">
        <v>0</v>
      </c>
      <c r="AB938" s="31">
        <v>0</v>
      </c>
      <c r="AC938" s="31">
        <f>ROUND(N938*1.5%,2)</f>
        <v>32382.49</v>
      </c>
      <c r="AD938" s="31">
        <v>120000</v>
      </c>
      <c r="AE938" s="31">
        <v>0</v>
      </c>
      <c r="AF938" s="34">
        <v>2021</v>
      </c>
      <c r="AG938" s="34">
        <v>2021</v>
      </c>
      <c r="AH938" s="35">
        <v>2021</v>
      </c>
      <c r="AT938" s="20" t="e">
        <f t="shared" si="226"/>
        <v>#N/A</v>
      </c>
      <c r="BZ938" s="71"/>
      <c r="CD938" s="20" t="e">
        <f t="shared" si="222"/>
        <v>#N/A</v>
      </c>
    </row>
    <row r="939" spans="1:82" ht="61.5" x14ac:dyDescent="0.85">
      <c r="B939" s="24" t="s">
        <v>859</v>
      </c>
      <c r="C939" s="24"/>
      <c r="D939" s="31">
        <f t="shared" ref="D939:AE939" si="227">SUM(D940:D944)</f>
        <v>16487311.32</v>
      </c>
      <c r="E939" s="31">
        <f t="shared" si="227"/>
        <v>0</v>
      </c>
      <c r="F939" s="31">
        <f t="shared" si="227"/>
        <v>0</v>
      </c>
      <c r="G939" s="31">
        <f t="shared" si="227"/>
        <v>0</v>
      </c>
      <c r="H939" s="31">
        <f t="shared" si="227"/>
        <v>0</v>
      </c>
      <c r="I939" s="31">
        <f t="shared" si="227"/>
        <v>0</v>
      </c>
      <c r="J939" s="31">
        <f t="shared" si="227"/>
        <v>0</v>
      </c>
      <c r="K939" s="33">
        <f t="shared" si="227"/>
        <v>0</v>
      </c>
      <c r="L939" s="31">
        <f t="shared" si="227"/>
        <v>0</v>
      </c>
      <c r="M939" s="31">
        <f t="shared" si="227"/>
        <v>3157.3999999999996</v>
      </c>
      <c r="N939" s="31">
        <f t="shared" si="227"/>
        <v>15504740.23</v>
      </c>
      <c r="O939" s="31">
        <f t="shared" si="227"/>
        <v>0</v>
      </c>
      <c r="P939" s="31">
        <f t="shared" si="227"/>
        <v>0</v>
      </c>
      <c r="Q939" s="31">
        <f t="shared" si="227"/>
        <v>0</v>
      </c>
      <c r="R939" s="31">
        <f t="shared" si="227"/>
        <v>0</v>
      </c>
      <c r="S939" s="31">
        <f t="shared" si="227"/>
        <v>0</v>
      </c>
      <c r="T939" s="31">
        <f t="shared" si="227"/>
        <v>0</v>
      </c>
      <c r="U939" s="31">
        <f t="shared" si="227"/>
        <v>0</v>
      </c>
      <c r="V939" s="31">
        <f t="shared" si="227"/>
        <v>0</v>
      </c>
      <c r="W939" s="31">
        <f t="shared" si="227"/>
        <v>0</v>
      </c>
      <c r="X939" s="31">
        <f t="shared" si="227"/>
        <v>0</v>
      </c>
      <c r="Y939" s="31">
        <f t="shared" si="227"/>
        <v>0</v>
      </c>
      <c r="Z939" s="31">
        <f t="shared" si="227"/>
        <v>0</v>
      </c>
      <c r="AA939" s="31">
        <f t="shared" si="227"/>
        <v>0</v>
      </c>
      <c r="AB939" s="31">
        <f t="shared" si="227"/>
        <v>0</v>
      </c>
      <c r="AC939" s="31">
        <f t="shared" si="227"/>
        <v>232571.09000000003</v>
      </c>
      <c r="AD939" s="31">
        <f t="shared" si="227"/>
        <v>750000</v>
      </c>
      <c r="AE939" s="31">
        <f t="shared" si="227"/>
        <v>0</v>
      </c>
      <c r="AF939" s="72" t="s">
        <v>764</v>
      </c>
      <c r="AG939" s="72" t="s">
        <v>764</v>
      </c>
      <c r="AH939" s="87" t="s">
        <v>764</v>
      </c>
      <c r="AT939" s="20" t="e">
        <f t="shared" si="226"/>
        <v>#N/A</v>
      </c>
      <c r="BZ939" s="71">
        <v>16487311.32</v>
      </c>
      <c r="CD939" s="20" t="e">
        <f t="shared" si="222"/>
        <v>#N/A</v>
      </c>
    </row>
    <row r="940" spans="1:82" ht="61.5" x14ac:dyDescent="0.85">
      <c r="A940" s="20">
        <v>1</v>
      </c>
      <c r="B940" s="66">
        <f>SUBTOTAL(103,$A$560:A940)</f>
        <v>341</v>
      </c>
      <c r="C940" s="24" t="s">
        <v>60</v>
      </c>
      <c r="D940" s="31">
        <f>E940+F940+G940+H940+I940+J940+L940+N940+P940+R940+T940+U940+V940+W940+X940+Y940+Z940+AA940+AB940+AC940+AD940+AE940</f>
        <v>3462053.4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3">
        <v>0</v>
      </c>
      <c r="L940" s="31">
        <v>0</v>
      </c>
      <c r="M940" s="31">
        <v>663</v>
      </c>
      <c r="N940" s="31">
        <v>3263106.8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31">
        <v>0</v>
      </c>
      <c r="W940" s="31">
        <v>0</v>
      </c>
      <c r="X940" s="31">
        <v>0</v>
      </c>
      <c r="Y940" s="31">
        <v>0</v>
      </c>
      <c r="Z940" s="31">
        <v>0</v>
      </c>
      <c r="AA940" s="31">
        <v>0</v>
      </c>
      <c r="AB940" s="31">
        <v>0</v>
      </c>
      <c r="AC940" s="31">
        <f>ROUND(N940*1.5%,2)</f>
        <v>48946.6</v>
      </c>
      <c r="AD940" s="31">
        <v>150000</v>
      </c>
      <c r="AE940" s="31">
        <v>0</v>
      </c>
      <c r="AF940" s="34">
        <v>2021</v>
      </c>
      <c r="AG940" s="34">
        <v>2021</v>
      </c>
      <c r="AH940" s="35">
        <v>2021</v>
      </c>
      <c r="AT940" s="20" t="e">
        <f t="shared" si="226"/>
        <v>#N/A</v>
      </c>
      <c r="BZ940" s="71"/>
      <c r="CD940" s="20" t="e">
        <f t="shared" si="222"/>
        <v>#N/A</v>
      </c>
    </row>
    <row r="941" spans="1:82" ht="61.5" x14ac:dyDescent="0.85">
      <c r="A941" s="20">
        <v>1</v>
      </c>
      <c r="B941" s="66">
        <f>SUBTOTAL(103,$A$560:A941)</f>
        <v>342</v>
      </c>
      <c r="C941" s="24" t="s">
        <v>61</v>
      </c>
      <c r="D941" s="31">
        <f>E941+F941+G941+H941+I941+J941+L941+N941+P941+R941+T941+U941+V941+W941+X941+Y941+Z941+AA941+AB941+AC941+AD941+AE941</f>
        <v>3446388</v>
      </c>
      <c r="E941" s="31">
        <v>0</v>
      </c>
      <c r="F941" s="31">
        <v>0</v>
      </c>
      <c r="G941" s="31">
        <v>0</v>
      </c>
      <c r="H941" s="31">
        <v>0</v>
      </c>
      <c r="I941" s="31">
        <v>0</v>
      </c>
      <c r="J941" s="31">
        <v>0</v>
      </c>
      <c r="K941" s="33">
        <v>0</v>
      </c>
      <c r="L941" s="31">
        <v>0</v>
      </c>
      <c r="M941" s="31">
        <v>660</v>
      </c>
      <c r="N941" s="31">
        <v>3247672.91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31">
        <v>0</v>
      </c>
      <c r="U941" s="31">
        <v>0</v>
      </c>
      <c r="V941" s="31">
        <v>0</v>
      </c>
      <c r="W941" s="31">
        <v>0</v>
      </c>
      <c r="X941" s="31">
        <v>0</v>
      </c>
      <c r="Y941" s="31">
        <v>0</v>
      </c>
      <c r="Z941" s="31">
        <v>0</v>
      </c>
      <c r="AA941" s="31">
        <v>0</v>
      </c>
      <c r="AB941" s="31">
        <v>0</v>
      </c>
      <c r="AC941" s="31">
        <f>ROUND(N941*1.5%,2)</f>
        <v>48715.09</v>
      </c>
      <c r="AD941" s="31">
        <v>150000</v>
      </c>
      <c r="AE941" s="31">
        <v>0</v>
      </c>
      <c r="AF941" s="34">
        <v>2021</v>
      </c>
      <c r="AG941" s="34">
        <v>2021</v>
      </c>
      <c r="AH941" s="35">
        <v>2021</v>
      </c>
      <c r="AT941" s="20" t="e">
        <f t="shared" si="226"/>
        <v>#N/A</v>
      </c>
      <c r="BZ941" s="71"/>
      <c r="CD941" s="20" t="e">
        <f t="shared" si="222"/>
        <v>#N/A</v>
      </c>
    </row>
    <row r="942" spans="1:82" ht="61.5" x14ac:dyDescent="0.85">
      <c r="A942" s="20">
        <v>1</v>
      </c>
      <c r="B942" s="66">
        <f>SUBTOTAL(103,$A$560:A942)</f>
        <v>343</v>
      </c>
      <c r="C942" s="24" t="s">
        <v>59</v>
      </c>
      <c r="D942" s="31">
        <f>E942+F942+G942+H942+I942+J942+L942+N942+P942+R942+T942+U942+V942+W942+X942+Y942+Z942+AA942+AB942+AC942+AD942+AE942</f>
        <v>3378504.6</v>
      </c>
      <c r="E942" s="31">
        <v>0</v>
      </c>
      <c r="F942" s="31">
        <v>0</v>
      </c>
      <c r="G942" s="31">
        <v>0</v>
      </c>
      <c r="H942" s="31">
        <v>0</v>
      </c>
      <c r="I942" s="31">
        <v>0</v>
      </c>
      <c r="J942" s="31">
        <v>0</v>
      </c>
      <c r="K942" s="33">
        <v>0</v>
      </c>
      <c r="L942" s="31">
        <v>0</v>
      </c>
      <c r="M942" s="31">
        <v>647</v>
      </c>
      <c r="N942" s="31">
        <v>3180792.71</v>
      </c>
      <c r="O942" s="31">
        <v>0</v>
      </c>
      <c r="P942" s="31">
        <v>0</v>
      </c>
      <c r="Q942" s="31">
        <v>0</v>
      </c>
      <c r="R942" s="31">
        <v>0</v>
      </c>
      <c r="S942" s="31">
        <v>0</v>
      </c>
      <c r="T942" s="31">
        <v>0</v>
      </c>
      <c r="U942" s="31">
        <v>0</v>
      </c>
      <c r="V942" s="31">
        <v>0</v>
      </c>
      <c r="W942" s="31">
        <v>0</v>
      </c>
      <c r="X942" s="31">
        <v>0</v>
      </c>
      <c r="Y942" s="31">
        <v>0</v>
      </c>
      <c r="Z942" s="31">
        <v>0</v>
      </c>
      <c r="AA942" s="31">
        <v>0</v>
      </c>
      <c r="AB942" s="31">
        <v>0</v>
      </c>
      <c r="AC942" s="31">
        <f>ROUND(N942*1.5%,2)</f>
        <v>47711.89</v>
      </c>
      <c r="AD942" s="31">
        <v>150000</v>
      </c>
      <c r="AE942" s="31">
        <v>0</v>
      </c>
      <c r="AF942" s="34">
        <v>2021</v>
      </c>
      <c r="AG942" s="34">
        <v>2021</v>
      </c>
      <c r="AH942" s="35">
        <v>2021</v>
      </c>
      <c r="AT942" s="20" t="e">
        <f t="shared" si="226"/>
        <v>#N/A</v>
      </c>
      <c r="BZ942" s="71"/>
      <c r="CD942" s="20" t="e">
        <f t="shared" si="222"/>
        <v>#N/A</v>
      </c>
    </row>
    <row r="943" spans="1:82" ht="61.5" x14ac:dyDescent="0.85">
      <c r="A943" s="20">
        <v>1</v>
      </c>
      <c r="B943" s="66">
        <f>SUBTOTAL(103,$A$560:A943)</f>
        <v>344</v>
      </c>
      <c r="C943" s="24" t="s">
        <v>62</v>
      </c>
      <c r="D943" s="31">
        <f>E943+F943+G943+H943+I943+J943+L943+N943+P943+R943+T943+U943+V943+W943+X943+Y943+Z943+AA943+AB943+AC943+AD943+AE943</f>
        <v>2799929.1599999997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3">
        <v>0</v>
      </c>
      <c r="L943" s="31">
        <v>0</v>
      </c>
      <c r="M943" s="31">
        <v>536.20000000000005</v>
      </c>
      <c r="N943" s="31">
        <v>2610767.65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31">
        <v>0</v>
      </c>
      <c r="U943" s="31">
        <v>0</v>
      </c>
      <c r="V943" s="31">
        <v>0</v>
      </c>
      <c r="W943" s="31">
        <v>0</v>
      </c>
      <c r="X943" s="31">
        <v>0</v>
      </c>
      <c r="Y943" s="31">
        <v>0</v>
      </c>
      <c r="Z943" s="31">
        <v>0</v>
      </c>
      <c r="AA943" s="31">
        <v>0</v>
      </c>
      <c r="AB943" s="31">
        <v>0</v>
      </c>
      <c r="AC943" s="31">
        <f>ROUND(N943*1.5%,2)</f>
        <v>39161.51</v>
      </c>
      <c r="AD943" s="31">
        <v>150000</v>
      </c>
      <c r="AE943" s="31">
        <v>0</v>
      </c>
      <c r="AF943" s="34">
        <v>2021</v>
      </c>
      <c r="AG943" s="34">
        <v>2021</v>
      </c>
      <c r="AH943" s="35">
        <v>2021</v>
      </c>
      <c r="AT943" s="20" t="e">
        <f t="shared" si="226"/>
        <v>#N/A</v>
      </c>
      <c r="BZ943" s="71"/>
      <c r="CD943" s="20" t="e">
        <f t="shared" si="222"/>
        <v>#N/A</v>
      </c>
    </row>
    <row r="944" spans="1:82" ht="61.5" x14ac:dyDescent="0.85">
      <c r="A944" s="20">
        <v>1</v>
      </c>
      <c r="B944" s="66">
        <f>SUBTOTAL(103,$A$560:A944)</f>
        <v>345</v>
      </c>
      <c r="C944" s="24" t="s">
        <v>58</v>
      </c>
      <c r="D944" s="31">
        <f>E944+F944+G944+H944+I944+J944+L944+N944+P944+R944+T944+U944+V944+W944+X944+Y944+Z944+AA944+AB944+AC944+AD944+AE944</f>
        <v>3400436.16</v>
      </c>
      <c r="E944" s="31">
        <v>0</v>
      </c>
      <c r="F944" s="31">
        <v>0</v>
      </c>
      <c r="G944" s="31">
        <v>0</v>
      </c>
      <c r="H944" s="31">
        <v>0</v>
      </c>
      <c r="I944" s="31">
        <v>0</v>
      </c>
      <c r="J944" s="31">
        <v>0</v>
      </c>
      <c r="K944" s="33">
        <v>0</v>
      </c>
      <c r="L944" s="31">
        <v>0</v>
      </c>
      <c r="M944" s="31">
        <v>651.20000000000005</v>
      </c>
      <c r="N944" s="31">
        <v>3202400.16</v>
      </c>
      <c r="O944" s="31">
        <v>0</v>
      </c>
      <c r="P944" s="31">
        <v>0</v>
      </c>
      <c r="Q944" s="31">
        <v>0</v>
      </c>
      <c r="R944" s="31">
        <v>0</v>
      </c>
      <c r="S944" s="31">
        <v>0</v>
      </c>
      <c r="T944" s="31">
        <v>0</v>
      </c>
      <c r="U944" s="31">
        <v>0</v>
      </c>
      <c r="V944" s="31">
        <v>0</v>
      </c>
      <c r="W944" s="31">
        <v>0</v>
      </c>
      <c r="X944" s="31">
        <v>0</v>
      </c>
      <c r="Y944" s="31">
        <v>0</v>
      </c>
      <c r="Z944" s="31">
        <v>0</v>
      </c>
      <c r="AA944" s="31">
        <v>0</v>
      </c>
      <c r="AB944" s="31">
        <v>0</v>
      </c>
      <c r="AC944" s="31">
        <f>ROUND(N944*1.5%,2)</f>
        <v>48036</v>
      </c>
      <c r="AD944" s="31">
        <v>150000</v>
      </c>
      <c r="AE944" s="31">
        <v>0</v>
      </c>
      <c r="AF944" s="34">
        <v>2021</v>
      </c>
      <c r="AG944" s="34">
        <v>2021</v>
      </c>
      <c r="AH944" s="35">
        <v>2021</v>
      </c>
      <c r="AT944" s="20" t="e">
        <f t="shared" si="226"/>
        <v>#N/A</v>
      </c>
      <c r="BZ944" s="71"/>
      <c r="CD944" s="20" t="e">
        <f t="shared" si="222"/>
        <v>#N/A</v>
      </c>
    </row>
    <row r="945" spans="1:82" ht="61.5" x14ac:dyDescent="0.85">
      <c r="B945" s="24" t="s">
        <v>860</v>
      </c>
      <c r="C945" s="114"/>
      <c r="D945" s="31">
        <f>SUM(D946:D948)</f>
        <v>8165392.25</v>
      </c>
      <c r="E945" s="31">
        <f t="shared" ref="E945:AE945" si="228">SUM(E946:E948)</f>
        <v>0</v>
      </c>
      <c r="F945" s="31">
        <f t="shared" si="228"/>
        <v>0</v>
      </c>
      <c r="G945" s="31">
        <f t="shared" si="228"/>
        <v>0</v>
      </c>
      <c r="H945" s="31">
        <f t="shared" si="228"/>
        <v>0</v>
      </c>
      <c r="I945" s="31">
        <f t="shared" si="228"/>
        <v>0</v>
      </c>
      <c r="J945" s="31">
        <f t="shared" si="228"/>
        <v>0</v>
      </c>
      <c r="K945" s="33">
        <f t="shared" si="228"/>
        <v>0</v>
      </c>
      <c r="L945" s="31">
        <f t="shared" si="228"/>
        <v>0</v>
      </c>
      <c r="M945" s="31">
        <f t="shared" si="228"/>
        <v>1783</v>
      </c>
      <c r="N945" s="31">
        <f t="shared" si="228"/>
        <v>7630928.3300000001</v>
      </c>
      <c r="O945" s="31">
        <f t="shared" si="228"/>
        <v>0</v>
      </c>
      <c r="P945" s="31">
        <f t="shared" si="228"/>
        <v>0</v>
      </c>
      <c r="Q945" s="31">
        <f t="shared" si="228"/>
        <v>0</v>
      </c>
      <c r="R945" s="31">
        <f t="shared" si="228"/>
        <v>0</v>
      </c>
      <c r="S945" s="31">
        <f t="shared" si="228"/>
        <v>0</v>
      </c>
      <c r="T945" s="31">
        <f t="shared" si="228"/>
        <v>0</v>
      </c>
      <c r="U945" s="31">
        <f t="shared" si="228"/>
        <v>0</v>
      </c>
      <c r="V945" s="31">
        <f t="shared" si="228"/>
        <v>0</v>
      </c>
      <c r="W945" s="31">
        <f t="shared" si="228"/>
        <v>0</v>
      </c>
      <c r="X945" s="31">
        <f t="shared" si="228"/>
        <v>0</v>
      </c>
      <c r="Y945" s="31">
        <f t="shared" si="228"/>
        <v>0</v>
      </c>
      <c r="Z945" s="31">
        <f t="shared" si="228"/>
        <v>0</v>
      </c>
      <c r="AA945" s="31">
        <f t="shared" si="228"/>
        <v>0</v>
      </c>
      <c r="AB945" s="31">
        <f t="shared" si="228"/>
        <v>0</v>
      </c>
      <c r="AC945" s="31">
        <f t="shared" si="228"/>
        <v>114463.92</v>
      </c>
      <c r="AD945" s="31">
        <f t="shared" si="228"/>
        <v>420000</v>
      </c>
      <c r="AE945" s="31">
        <f t="shared" si="228"/>
        <v>0</v>
      </c>
      <c r="AF945" s="72" t="s">
        <v>764</v>
      </c>
      <c r="AG945" s="72" t="s">
        <v>764</v>
      </c>
      <c r="AH945" s="87" t="s">
        <v>764</v>
      </c>
      <c r="AT945" s="20" t="e">
        <f t="shared" si="226"/>
        <v>#N/A</v>
      </c>
      <c r="BZ945" s="71">
        <v>6032850.6600000001</v>
      </c>
      <c r="CD945" s="20" t="e">
        <f t="shared" si="222"/>
        <v>#N/A</v>
      </c>
    </row>
    <row r="946" spans="1:82" ht="61.5" x14ac:dyDescent="0.85">
      <c r="A946" s="20">
        <v>1</v>
      </c>
      <c r="B946" s="66">
        <f>SUBTOTAL(103,$A$560:A946)</f>
        <v>346</v>
      </c>
      <c r="C946" s="24" t="s">
        <v>231</v>
      </c>
      <c r="D946" s="31">
        <f>E946+F946+G946+H946+I946+J946+L946+N946+P946+R946+T946+U946+V946+W946+X946+Y946+Z946+AA946+AB946+AC946+AD946+AE946</f>
        <v>4231329.66</v>
      </c>
      <c r="E946" s="31">
        <v>0</v>
      </c>
      <c r="F946" s="31">
        <v>0</v>
      </c>
      <c r="G946" s="31">
        <v>0</v>
      </c>
      <c r="H946" s="31">
        <v>0</v>
      </c>
      <c r="I946" s="31">
        <v>0</v>
      </c>
      <c r="J946" s="31">
        <v>0</v>
      </c>
      <c r="K946" s="33">
        <v>0</v>
      </c>
      <c r="L946" s="31">
        <v>0</v>
      </c>
      <c r="M946" s="31">
        <v>858</v>
      </c>
      <c r="N946" s="31">
        <v>4021014.44</v>
      </c>
      <c r="O946" s="31">
        <v>0</v>
      </c>
      <c r="P946" s="31">
        <v>0</v>
      </c>
      <c r="Q946" s="31">
        <v>0</v>
      </c>
      <c r="R946" s="31">
        <v>0</v>
      </c>
      <c r="S946" s="31">
        <v>0</v>
      </c>
      <c r="T946" s="31">
        <v>0</v>
      </c>
      <c r="U946" s="31">
        <v>0</v>
      </c>
      <c r="V946" s="31">
        <v>0</v>
      </c>
      <c r="W946" s="31">
        <v>0</v>
      </c>
      <c r="X946" s="31">
        <v>0</v>
      </c>
      <c r="Y946" s="31">
        <v>0</v>
      </c>
      <c r="Z946" s="31">
        <v>0</v>
      </c>
      <c r="AA946" s="31">
        <v>0</v>
      </c>
      <c r="AB946" s="31">
        <v>0</v>
      </c>
      <c r="AC946" s="31">
        <f>ROUND(N946*1.5%,2)</f>
        <v>60315.22</v>
      </c>
      <c r="AD946" s="31">
        <v>150000</v>
      </c>
      <c r="AE946" s="31">
        <v>0</v>
      </c>
      <c r="AF946" s="34">
        <v>2021</v>
      </c>
      <c r="AG946" s="34">
        <v>2021</v>
      </c>
      <c r="AH946" s="35">
        <v>2021</v>
      </c>
      <c r="AT946" s="20" t="e">
        <f t="shared" si="226"/>
        <v>#N/A</v>
      </c>
      <c r="BZ946" s="71"/>
      <c r="CD946" s="20" t="e">
        <f t="shared" si="222"/>
        <v>#N/A</v>
      </c>
    </row>
    <row r="947" spans="1:82" ht="61.5" x14ac:dyDescent="0.85">
      <c r="A947" s="20">
        <v>1</v>
      </c>
      <c r="B947" s="66">
        <f>SUBTOTAL(103,$A$560:A947)</f>
        <v>347</v>
      </c>
      <c r="C947" s="24" t="s">
        <v>230</v>
      </c>
      <c r="D947" s="31">
        <f>E947+F947+G947+H947+I947+J947+L947+N947+P947+R947+T947+U947+V947+W947+X947+Y947+Z947+AA947+AB947+AC947+AD947+AE947</f>
        <v>1801521</v>
      </c>
      <c r="E947" s="31">
        <v>0</v>
      </c>
      <c r="F947" s="31">
        <v>0</v>
      </c>
      <c r="G947" s="31">
        <v>0</v>
      </c>
      <c r="H947" s="31">
        <v>0</v>
      </c>
      <c r="I947" s="31">
        <v>0</v>
      </c>
      <c r="J947" s="31">
        <v>0</v>
      </c>
      <c r="K947" s="33">
        <v>0</v>
      </c>
      <c r="L947" s="31">
        <v>0</v>
      </c>
      <c r="M947" s="31">
        <v>345</v>
      </c>
      <c r="N947" s="31">
        <v>1656670.94</v>
      </c>
      <c r="O947" s="31">
        <v>0</v>
      </c>
      <c r="P947" s="31">
        <v>0</v>
      </c>
      <c r="Q947" s="31">
        <v>0</v>
      </c>
      <c r="R947" s="31">
        <v>0</v>
      </c>
      <c r="S947" s="31">
        <v>0</v>
      </c>
      <c r="T947" s="31">
        <v>0</v>
      </c>
      <c r="U947" s="31">
        <v>0</v>
      </c>
      <c r="V947" s="31">
        <v>0</v>
      </c>
      <c r="W947" s="31">
        <v>0</v>
      </c>
      <c r="X947" s="31">
        <v>0</v>
      </c>
      <c r="Y947" s="31">
        <v>0</v>
      </c>
      <c r="Z947" s="31">
        <v>0</v>
      </c>
      <c r="AA947" s="31">
        <v>0</v>
      </c>
      <c r="AB947" s="31">
        <v>0</v>
      </c>
      <c r="AC947" s="31">
        <f>ROUND(N947*1.5%,2)</f>
        <v>24850.06</v>
      </c>
      <c r="AD947" s="31">
        <v>120000</v>
      </c>
      <c r="AE947" s="31">
        <v>0</v>
      </c>
      <c r="AF947" s="34">
        <v>2021</v>
      </c>
      <c r="AG947" s="34">
        <v>2021</v>
      </c>
      <c r="AH947" s="35">
        <v>2021</v>
      </c>
      <c r="AT947" s="20" t="e">
        <f t="shared" si="226"/>
        <v>#N/A</v>
      </c>
      <c r="BZ947" s="71"/>
      <c r="CD947" s="20" t="e">
        <f t="shared" si="222"/>
        <v>#N/A</v>
      </c>
    </row>
    <row r="948" spans="1:82" ht="61.5" x14ac:dyDescent="0.85">
      <c r="A948" s="20">
        <v>1</v>
      </c>
      <c r="B948" s="66">
        <f>SUBTOTAL(103,$A$560:A948)</f>
        <v>348</v>
      </c>
      <c r="C948" s="212" t="s">
        <v>1936</v>
      </c>
      <c r="D948" s="31">
        <f>E948+F948+G948+H948+I948+J948+L948+N948+P948+R948+T948+U948+V948+W948+X948+Y948+Z948+AA948+AB948+AC948+AD948+AE948</f>
        <v>2132541.59</v>
      </c>
      <c r="E948" s="31">
        <v>0</v>
      </c>
      <c r="F948" s="31">
        <v>0</v>
      </c>
      <c r="G948" s="31">
        <v>0</v>
      </c>
      <c r="H948" s="31">
        <v>0</v>
      </c>
      <c r="I948" s="31">
        <v>0</v>
      </c>
      <c r="J948" s="31">
        <v>0</v>
      </c>
      <c r="K948" s="33">
        <v>0</v>
      </c>
      <c r="L948" s="31">
        <v>0</v>
      </c>
      <c r="M948" s="31">
        <v>580</v>
      </c>
      <c r="N948" s="31">
        <v>1953242.95</v>
      </c>
      <c r="O948" s="31">
        <v>0</v>
      </c>
      <c r="P948" s="31">
        <v>0</v>
      </c>
      <c r="Q948" s="31">
        <v>0</v>
      </c>
      <c r="R948" s="31">
        <v>0</v>
      </c>
      <c r="S948" s="31">
        <v>0</v>
      </c>
      <c r="T948" s="31">
        <v>0</v>
      </c>
      <c r="U948" s="31">
        <v>0</v>
      </c>
      <c r="V948" s="31">
        <v>0</v>
      </c>
      <c r="W948" s="31">
        <v>0</v>
      </c>
      <c r="X948" s="31">
        <v>0</v>
      </c>
      <c r="Y948" s="31">
        <v>0</v>
      </c>
      <c r="Z948" s="31">
        <v>0</v>
      </c>
      <c r="AA948" s="31">
        <v>0</v>
      </c>
      <c r="AB948" s="31">
        <v>0</v>
      </c>
      <c r="AC948" s="31">
        <f>ROUND(N948*1.5%,2)</f>
        <v>29298.639999999999</v>
      </c>
      <c r="AD948" s="31">
        <v>150000</v>
      </c>
      <c r="AE948" s="31">
        <v>0</v>
      </c>
      <c r="AF948" s="34">
        <v>2021</v>
      </c>
      <c r="AG948" s="34">
        <v>2021</v>
      </c>
      <c r="AH948" s="35">
        <v>2021</v>
      </c>
      <c r="AT948" s="20" t="e">
        <f t="shared" si="226"/>
        <v>#N/A</v>
      </c>
      <c r="BZ948" s="71"/>
      <c r="CD948" s="20" t="e">
        <f t="shared" si="222"/>
        <v>#N/A</v>
      </c>
    </row>
    <row r="949" spans="1:82" ht="61.5" x14ac:dyDescent="0.85">
      <c r="B949" s="24" t="s">
        <v>862</v>
      </c>
      <c r="C949" s="114"/>
      <c r="D949" s="31">
        <f t="shared" ref="D949:AE949" si="229">D950</f>
        <v>1799918.22</v>
      </c>
      <c r="E949" s="31">
        <f t="shared" si="229"/>
        <v>0</v>
      </c>
      <c r="F949" s="31">
        <f t="shared" si="229"/>
        <v>0</v>
      </c>
      <c r="G949" s="31">
        <f t="shared" si="229"/>
        <v>0</v>
      </c>
      <c r="H949" s="31">
        <f t="shared" si="229"/>
        <v>0</v>
      </c>
      <c r="I949" s="31">
        <f t="shared" si="229"/>
        <v>367412.22</v>
      </c>
      <c r="J949" s="31">
        <f t="shared" si="229"/>
        <v>0</v>
      </c>
      <c r="K949" s="33">
        <f t="shared" si="229"/>
        <v>0</v>
      </c>
      <c r="L949" s="31">
        <f t="shared" si="229"/>
        <v>0</v>
      </c>
      <c r="M949" s="31">
        <f t="shared" si="229"/>
        <v>300</v>
      </c>
      <c r="N949" s="31">
        <f t="shared" si="229"/>
        <v>1287679.6200000001</v>
      </c>
      <c r="O949" s="31">
        <f t="shared" si="229"/>
        <v>0</v>
      </c>
      <c r="P949" s="31">
        <f t="shared" si="229"/>
        <v>0</v>
      </c>
      <c r="Q949" s="31">
        <f t="shared" si="229"/>
        <v>0</v>
      </c>
      <c r="R949" s="31">
        <f t="shared" si="229"/>
        <v>0</v>
      </c>
      <c r="S949" s="31">
        <f t="shared" si="229"/>
        <v>0</v>
      </c>
      <c r="T949" s="31">
        <f t="shared" si="229"/>
        <v>0</v>
      </c>
      <c r="U949" s="31">
        <f t="shared" si="229"/>
        <v>0</v>
      </c>
      <c r="V949" s="31">
        <f t="shared" si="229"/>
        <v>0</v>
      </c>
      <c r="W949" s="31">
        <f t="shared" si="229"/>
        <v>0</v>
      </c>
      <c r="X949" s="31">
        <f t="shared" si="229"/>
        <v>0</v>
      </c>
      <c r="Y949" s="31">
        <f t="shared" si="229"/>
        <v>0</v>
      </c>
      <c r="Z949" s="31">
        <f t="shared" si="229"/>
        <v>0</v>
      </c>
      <c r="AA949" s="31">
        <f t="shared" si="229"/>
        <v>0</v>
      </c>
      <c r="AB949" s="31">
        <f t="shared" si="229"/>
        <v>0</v>
      </c>
      <c r="AC949" s="31">
        <f t="shared" si="229"/>
        <v>24826.38</v>
      </c>
      <c r="AD949" s="31">
        <f t="shared" si="229"/>
        <v>120000</v>
      </c>
      <c r="AE949" s="31">
        <f t="shared" si="229"/>
        <v>0</v>
      </c>
      <c r="AF949" s="72" t="s">
        <v>764</v>
      </c>
      <c r="AG949" s="72" t="s">
        <v>764</v>
      </c>
      <c r="AH949" s="87" t="s">
        <v>764</v>
      </c>
      <c r="AT949" s="20" t="e">
        <f t="shared" si="226"/>
        <v>#N/A</v>
      </c>
      <c r="BZ949" s="71">
        <v>1799918.22</v>
      </c>
      <c r="CD949" s="20" t="e">
        <f t="shared" si="222"/>
        <v>#N/A</v>
      </c>
    </row>
    <row r="950" spans="1:82" ht="61.5" x14ac:dyDescent="0.85">
      <c r="A950" s="20">
        <v>1</v>
      </c>
      <c r="B950" s="66">
        <f>SUBTOTAL(103,$A$560:A950)</f>
        <v>349</v>
      </c>
      <c r="C950" s="24" t="s">
        <v>150</v>
      </c>
      <c r="D950" s="31">
        <f>E950+F950+G950+H950+I950+J950+L950+N950+P950+R950+T950+U950+V950+W950+X950+Y950+Z950+AA950+AB950+AC950+AD950+AE950</f>
        <v>1799918.22</v>
      </c>
      <c r="E950" s="31">
        <v>0</v>
      </c>
      <c r="F950" s="31">
        <v>0</v>
      </c>
      <c r="G950" s="31">
        <v>0</v>
      </c>
      <c r="H950" s="31">
        <v>0</v>
      </c>
      <c r="I950" s="31">
        <v>367412.22</v>
      </c>
      <c r="J950" s="31">
        <v>0</v>
      </c>
      <c r="K950" s="33">
        <v>0</v>
      </c>
      <c r="L950" s="31">
        <v>0</v>
      </c>
      <c r="M950" s="31">
        <v>300</v>
      </c>
      <c r="N950" s="31">
        <v>1287679.6200000001</v>
      </c>
      <c r="O950" s="31">
        <v>0</v>
      </c>
      <c r="P950" s="31">
        <v>0</v>
      </c>
      <c r="Q950" s="31">
        <v>0</v>
      </c>
      <c r="R950" s="31">
        <v>0</v>
      </c>
      <c r="S950" s="31">
        <v>0</v>
      </c>
      <c r="T950" s="31">
        <v>0</v>
      </c>
      <c r="U950" s="31">
        <v>0</v>
      </c>
      <c r="V950" s="31">
        <v>0</v>
      </c>
      <c r="W950" s="31">
        <v>0</v>
      </c>
      <c r="X950" s="31">
        <v>0</v>
      </c>
      <c r="Y950" s="31">
        <v>0</v>
      </c>
      <c r="Z950" s="31">
        <v>0</v>
      </c>
      <c r="AA950" s="31">
        <v>0</v>
      </c>
      <c r="AB950" s="31">
        <v>0</v>
      </c>
      <c r="AC950" s="31">
        <f>ROUND((N950+I950)*1.5%,2)</f>
        <v>24826.38</v>
      </c>
      <c r="AD950" s="31">
        <v>120000</v>
      </c>
      <c r="AE950" s="31">
        <v>0</v>
      </c>
      <c r="AF950" s="34">
        <v>2021</v>
      </c>
      <c r="AG950" s="34">
        <v>2021</v>
      </c>
      <c r="AH950" s="35">
        <v>2021</v>
      </c>
      <c r="AT950" s="20" t="e">
        <f t="shared" si="226"/>
        <v>#N/A</v>
      </c>
      <c r="BZ950" s="71"/>
      <c r="CD950" s="20" t="e">
        <f t="shared" si="222"/>
        <v>#N/A</v>
      </c>
    </row>
    <row r="951" spans="1:82" ht="61.5" x14ac:dyDescent="0.85">
      <c r="B951" s="24" t="s">
        <v>890</v>
      </c>
      <c r="C951" s="24"/>
      <c r="D951" s="31">
        <f t="shared" ref="D951:AE951" si="230">D952</f>
        <v>3974620.0799999996</v>
      </c>
      <c r="E951" s="31">
        <f t="shared" si="230"/>
        <v>0</v>
      </c>
      <c r="F951" s="31">
        <f t="shared" si="230"/>
        <v>0</v>
      </c>
      <c r="G951" s="31">
        <f t="shared" si="230"/>
        <v>0</v>
      </c>
      <c r="H951" s="31">
        <f t="shared" si="230"/>
        <v>0</v>
      </c>
      <c r="I951" s="31">
        <f t="shared" si="230"/>
        <v>0</v>
      </c>
      <c r="J951" s="31">
        <f t="shared" si="230"/>
        <v>0</v>
      </c>
      <c r="K951" s="33">
        <f t="shared" si="230"/>
        <v>0</v>
      </c>
      <c r="L951" s="31">
        <f t="shared" si="230"/>
        <v>0</v>
      </c>
      <c r="M951" s="31">
        <f t="shared" si="230"/>
        <v>660.00388180300001</v>
      </c>
      <c r="N951" s="31">
        <f t="shared" si="230"/>
        <v>3768098.5999999996</v>
      </c>
      <c r="O951" s="31">
        <f t="shared" si="230"/>
        <v>0</v>
      </c>
      <c r="P951" s="31">
        <f t="shared" si="230"/>
        <v>0</v>
      </c>
      <c r="Q951" s="31">
        <f t="shared" si="230"/>
        <v>0</v>
      </c>
      <c r="R951" s="31">
        <f t="shared" si="230"/>
        <v>0</v>
      </c>
      <c r="S951" s="31">
        <f t="shared" si="230"/>
        <v>0</v>
      </c>
      <c r="T951" s="31">
        <f t="shared" si="230"/>
        <v>0</v>
      </c>
      <c r="U951" s="31">
        <f t="shared" si="230"/>
        <v>0</v>
      </c>
      <c r="V951" s="31">
        <f t="shared" si="230"/>
        <v>0</v>
      </c>
      <c r="W951" s="31">
        <f t="shared" si="230"/>
        <v>0</v>
      </c>
      <c r="X951" s="31">
        <f t="shared" si="230"/>
        <v>0</v>
      </c>
      <c r="Y951" s="31">
        <f t="shared" si="230"/>
        <v>0</v>
      </c>
      <c r="Z951" s="31">
        <f t="shared" si="230"/>
        <v>0</v>
      </c>
      <c r="AA951" s="31">
        <f t="shared" si="230"/>
        <v>0</v>
      </c>
      <c r="AB951" s="31">
        <f t="shared" si="230"/>
        <v>0</v>
      </c>
      <c r="AC951" s="31">
        <f t="shared" si="230"/>
        <v>56521.48</v>
      </c>
      <c r="AD951" s="31">
        <f t="shared" si="230"/>
        <v>150000</v>
      </c>
      <c r="AE951" s="31">
        <f t="shared" si="230"/>
        <v>0</v>
      </c>
      <c r="AF951" s="72" t="s">
        <v>764</v>
      </c>
      <c r="AG951" s="72" t="s">
        <v>764</v>
      </c>
      <c r="AH951" s="87" t="s">
        <v>764</v>
      </c>
      <c r="AT951" s="20" t="e">
        <f t="shared" si="226"/>
        <v>#N/A</v>
      </c>
      <c r="BZ951" s="71">
        <v>3974620.0799999996</v>
      </c>
      <c r="CD951" s="20" t="e">
        <f t="shared" si="222"/>
        <v>#N/A</v>
      </c>
    </row>
    <row r="952" spans="1:82" ht="61.5" x14ac:dyDescent="0.85">
      <c r="A952" s="20">
        <v>1</v>
      </c>
      <c r="B952" s="66">
        <f>SUBTOTAL(103,$A$560:A952)</f>
        <v>350</v>
      </c>
      <c r="C952" s="24" t="s">
        <v>151</v>
      </c>
      <c r="D952" s="31">
        <f>E952+F952+G952+H952+I952+J952+L952+N952+P952+R952+T952+U952+V952+W952+X952+Y952+Z952+AA952+AB952+AC952+AD952+AE952</f>
        <v>3974620.0799999996</v>
      </c>
      <c r="E952" s="31">
        <v>0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3">
        <v>0</v>
      </c>
      <c r="L952" s="31">
        <v>0</v>
      </c>
      <c r="M952" s="31">
        <v>660.00388180300001</v>
      </c>
      <c r="N952" s="31">
        <f>3247692.88+520405.72</f>
        <v>3768098.5999999996</v>
      </c>
      <c r="O952" s="31">
        <v>0</v>
      </c>
      <c r="P952" s="31">
        <v>0</v>
      </c>
      <c r="Q952" s="31">
        <v>0</v>
      </c>
      <c r="R952" s="31">
        <v>0</v>
      </c>
      <c r="S952" s="31">
        <v>0</v>
      </c>
      <c r="T952" s="31">
        <v>0</v>
      </c>
      <c r="U952" s="31">
        <v>0</v>
      </c>
      <c r="V952" s="31">
        <v>0</v>
      </c>
      <c r="W952" s="31">
        <v>0</v>
      </c>
      <c r="X952" s="31">
        <v>0</v>
      </c>
      <c r="Y952" s="31">
        <v>0</v>
      </c>
      <c r="Z952" s="31">
        <v>0</v>
      </c>
      <c r="AA952" s="31">
        <v>0</v>
      </c>
      <c r="AB952" s="31">
        <v>0</v>
      </c>
      <c r="AC952" s="31">
        <f>ROUND(N952*1.5%,2)</f>
        <v>56521.48</v>
      </c>
      <c r="AD952" s="31">
        <v>150000</v>
      </c>
      <c r="AE952" s="31">
        <v>0</v>
      </c>
      <c r="AF952" s="34">
        <v>2021</v>
      </c>
      <c r="AG952" s="34">
        <v>2021</v>
      </c>
      <c r="AH952" s="35">
        <v>2021</v>
      </c>
      <c r="AT952" s="20" t="e">
        <f t="shared" si="226"/>
        <v>#N/A</v>
      </c>
      <c r="BZ952" s="71"/>
      <c r="CD952" s="20" t="e">
        <f t="shared" si="222"/>
        <v>#N/A</v>
      </c>
    </row>
    <row r="953" spans="1:82" ht="61.5" x14ac:dyDescent="0.85">
      <c r="B953" s="24" t="s">
        <v>891</v>
      </c>
      <c r="C953" s="24"/>
      <c r="D953" s="31">
        <f t="shared" ref="D953:AE953" si="231">D954</f>
        <v>2957808</v>
      </c>
      <c r="E953" s="31">
        <f t="shared" si="231"/>
        <v>0</v>
      </c>
      <c r="F953" s="31">
        <f t="shared" si="231"/>
        <v>0</v>
      </c>
      <c r="G953" s="31">
        <f t="shared" si="231"/>
        <v>0</v>
      </c>
      <c r="H953" s="31">
        <f t="shared" si="231"/>
        <v>0</v>
      </c>
      <c r="I953" s="31">
        <f t="shared" si="231"/>
        <v>0</v>
      </c>
      <c r="J953" s="31">
        <f t="shared" si="231"/>
        <v>0</v>
      </c>
      <c r="K953" s="33">
        <f t="shared" si="231"/>
        <v>0</v>
      </c>
      <c r="L953" s="31">
        <f t="shared" si="231"/>
        <v>0</v>
      </c>
      <c r="M953" s="31">
        <f t="shared" si="231"/>
        <v>600</v>
      </c>
      <c r="N953" s="31">
        <f t="shared" si="231"/>
        <v>2766313.3</v>
      </c>
      <c r="O953" s="31">
        <f t="shared" si="231"/>
        <v>0</v>
      </c>
      <c r="P953" s="31">
        <f t="shared" si="231"/>
        <v>0</v>
      </c>
      <c r="Q953" s="31">
        <f t="shared" si="231"/>
        <v>0</v>
      </c>
      <c r="R953" s="31">
        <f t="shared" si="231"/>
        <v>0</v>
      </c>
      <c r="S953" s="31">
        <f t="shared" si="231"/>
        <v>0</v>
      </c>
      <c r="T953" s="31">
        <f t="shared" si="231"/>
        <v>0</v>
      </c>
      <c r="U953" s="31">
        <f t="shared" si="231"/>
        <v>0</v>
      </c>
      <c r="V953" s="31">
        <f t="shared" si="231"/>
        <v>0</v>
      </c>
      <c r="W953" s="31">
        <f t="shared" si="231"/>
        <v>0</v>
      </c>
      <c r="X953" s="31">
        <f t="shared" si="231"/>
        <v>0</v>
      </c>
      <c r="Y953" s="31">
        <f t="shared" si="231"/>
        <v>0</v>
      </c>
      <c r="Z953" s="31">
        <f t="shared" si="231"/>
        <v>0</v>
      </c>
      <c r="AA953" s="31">
        <f t="shared" si="231"/>
        <v>0</v>
      </c>
      <c r="AB953" s="31">
        <f t="shared" si="231"/>
        <v>0</v>
      </c>
      <c r="AC953" s="31">
        <f t="shared" si="231"/>
        <v>41494.699999999997</v>
      </c>
      <c r="AD953" s="31">
        <f t="shared" si="231"/>
        <v>150000</v>
      </c>
      <c r="AE953" s="31">
        <f t="shared" si="231"/>
        <v>0</v>
      </c>
      <c r="AF953" s="72" t="s">
        <v>764</v>
      </c>
      <c r="AG953" s="72" t="s">
        <v>764</v>
      </c>
      <c r="AH953" s="87" t="s">
        <v>764</v>
      </c>
      <c r="AT953" s="20" t="e">
        <f t="shared" si="226"/>
        <v>#N/A</v>
      </c>
      <c r="BZ953" s="71">
        <v>2957808</v>
      </c>
      <c r="CD953" s="20" t="e">
        <f t="shared" si="222"/>
        <v>#N/A</v>
      </c>
    </row>
    <row r="954" spans="1:82" ht="61.5" x14ac:dyDescent="0.85">
      <c r="A954" s="20">
        <v>1</v>
      </c>
      <c r="B954" s="66">
        <f>SUBTOTAL(103,$A$560:A954)</f>
        <v>351</v>
      </c>
      <c r="C954" s="24" t="s">
        <v>156</v>
      </c>
      <c r="D954" s="31">
        <f>E954+F954+G954+H954+I954+J954+L954+N954+P954+R954+T954+U954+V954+W954+X954+Y954+Z954+AA954+AB954+AC954+AD954+AE954</f>
        <v>2957808</v>
      </c>
      <c r="E954" s="31">
        <v>0</v>
      </c>
      <c r="F954" s="31">
        <v>0</v>
      </c>
      <c r="G954" s="31">
        <v>0</v>
      </c>
      <c r="H954" s="31">
        <v>0</v>
      </c>
      <c r="I954" s="31">
        <v>0</v>
      </c>
      <c r="J954" s="31">
        <v>0</v>
      </c>
      <c r="K954" s="33">
        <v>0</v>
      </c>
      <c r="L954" s="31">
        <v>0</v>
      </c>
      <c r="M954" s="31">
        <v>600</v>
      </c>
      <c r="N954" s="31">
        <v>2766313.3</v>
      </c>
      <c r="O954" s="31">
        <v>0</v>
      </c>
      <c r="P954" s="31">
        <v>0</v>
      </c>
      <c r="Q954" s="31">
        <v>0</v>
      </c>
      <c r="R954" s="31">
        <v>0</v>
      </c>
      <c r="S954" s="31">
        <v>0</v>
      </c>
      <c r="T954" s="31">
        <v>0</v>
      </c>
      <c r="U954" s="31">
        <v>0</v>
      </c>
      <c r="V954" s="31">
        <v>0</v>
      </c>
      <c r="W954" s="31">
        <v>0</v>
      </c>
      <c r="X954" s="31">
        <v>0</v>
      </c>
      <c r="Y954" s="31">
        <v>0</v>
      </c>
      <c r="Z954" s="31">
        <v>0</v>
      </c>
      <c r="AA954" s="31">
        <v>0</v>
      </c>
      <c r="AB954" s="31">
        <v>0</v>
      </c>
      <c r="AC954" s="31">
        <f>ROUND(N954*1.5%,2)</f>
        <v>41494.699999999997</v>
      </c>
      <c r="AD954" s="31">
        <v>150000</v>
      </c>
      <c r="AE954" s="31">
        <v>0</v>
      </c>
      <c r="AF954" s="34">
        <v>2021</v>
      </c>
      <c r="AG954" s="34">
        <v>2021</v>
      </c>
      <c r="AH954" s="35">
        <v>2021</v>
      </c>
      <c r="AT954" s="20" t="e">
        <f t="shared" si="226"/>
        <v>#N/A</v>
      </c>
      <c r="BZ954" s="71"/>
      <c r="CD954" s="20" t="e">
        <f t="shared" si="222"/>
        <v>#N/A</v>
      </c>
    </row>
    <row r="955" spans="1:82" ht="61.5" x14ac:dyDescent="0.85">
      <c r="B955" s="24" t="s">
        <v>864</v>
      </c>
      <c r="C955" s="24"/>
      <c r="D955" s="31">
        <f t="shared" ref="D955:AE955" si="232">D956</f>
        <v>4651054.3499999996</v>
      </c>
      <c r="E955" s="31">
        <f t="shared" si="232"/>
        <v>0</v>
      </c>
      <c r="F955" s="31">
        <f t="shared" si="232"/>
        <v>0</v>
      </c>
      <c r="G955" s="31">
        <f t="shared" si="232"/>
        <v>0</v>
      </c>
      <c r="H955" s="31">
        <f t="shared" si="232"/>
        <v>0</v>
      </c>
      <c r="I955" s="31">
        <f t="shared" si="232"/>
        <v>0</v>
      </c>
      <c r="J955" s="31">
        <f t="shared" si="232"/>
        <v>0</v>
      </c>
      <c r="K955" s="33">
        <f t="shared" si="232"/>
        <v>0</v>
      </c>
      <c r="L955" s="31">
        <f t="shared" si="232"/>
        <v>0</v>
      </c>
      <c r="M955" s="31">
        <f t="shared" si="232"/>
        <v>785</v>
      </c>
      <c r="N955" s="31">
        <f t="shared" si="232"/>
        <v>4434536.3099999996</v>
      </c>
      <c r="O955" s="31">
        <f t="shared" si="232"/>
        <v>0</v>
      </c>
      <c r="P955" s="31">
        <f t="shared" si="232"/>
        <v>0</v>
      </c>
      <c r="Q955" s="31">
        <f t="shared" si="232"/>
        <v>0</v>
      </c>
      <c r="R955" s="31">
        <f t="shared" si="232"/>
        <v>0</v>
      </c>
      <c r="S955" s="31">
        <f t="shared" si="232"/>
        <v>0</v>
      </c>
      <c r="T955" s="31">
        <f t="shared" si="232"/>
        <v>0</v>
      </c>
      <c r="U955" s="31">
        <f t="shared" si="232"/>
        <v>0</v>
      </c>
      <c r="V955" s="31">
        <f t="shared" si="232"/>
        <v>0</v>
      </c>
      <c r="W955" s="31">
        <f t="shared" si="232"/>
        <v>0</v>
      </c>
      <c r="X955" s="31">
        <f t="shared" si="232"/>
        <v>0</v>
      </c>
      <c r="Y955" s="31">
        <f t="shared" si="232"/>
        <v>0</v>
      </c>
      <c r="Z955" s="31">
        <f t="shared" si="232"/>
        <v>0</v>
      </c>
      <c r="AA955" s="31">
        <f t="shared" si="232"/>
        <v>0</v>
      </c>
      <c r="AB955" s="31">
        <f t="shared" si="232"/>
        <v>0</v>
      </c>
      <c r="AC955" s="31">
        <f t="shared" si="232"/>
        <v>66518.039999999994</v>
      </c>
      <c r="AD955" s="31">
        <f t="shared" si="232"/>
        <v>150000</v>
      </c>
      <c r="AE955" s="31">
        <f t="shared" si="232"/>
        <v>0</v>
      </c>
      <c r="AF955" s="72" t="s">
        <v>764</v>
      </c>
      <c r="AG955" s="72" t="s">
        <v>764</v>
      </c>
      <c r="AH955" s="87" t="s">
        <v>764</v>
      </c>
      <c r="AT955" s="20" t="e">
        <f t="shared" si="226"/>
        <v>#N/A</v>
      </c>
      <c r="BZ955" s="71">
        <v>4651054.3499999996</v>
      </c>
      <c r="CD955" s="20" t="e">
        <f t="shared" si="222"/>
        <v>#N/A</v>
      </c>
    </row>
    <row r="956" spans="1:82" ht="61.5" x14ac:dyDescent="0.85">
      <c r="A956" s="20">
        <v>1</v>
      </c>
      <c r="B956" s="66">
        <f>SUBTOTAL(103,$A$560:A956)</f>
        <v>352</v>
      </c>
      <c r="C956" s="24" t="s">
        <v>155</v>
      </c>
      <c r="D956" s="31">
        <f>E956+F956+G956+H956+I956+J956+L956+N956+P956+R956+T956+U956+V956+W956+X956+Y956+Z956+AA956+AB956+AC956+AD956+AE956</f>
        <v>4651054.3499999996</v>
      </c>
      <c r="E956" s="31">
        <v>0</v>
      </c>
      <c r="F956" s="31">
        <v>0</v>
      </c>
      <c r="G956" s="31">
        <v>0</v>
      </c>
      <c r="H956" s="31">
        <v>0</v>
      </c>
      <c r="I956" s="31">
        <v>0</v>
      </c>
      <c r="J956" s="31">
        <v>0</v>
      </c>
      <c r="K956" s="33">
        <v>0</v>
      </c>
      <c r="L956" s="31">
        <v>0</v>
      </c>
      <c r="M956" s="31">
        <v>785</v>
      </c>
      <c r="N956" s="31">
        <v>4434536.3099999996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0</v>
      </c>
      <c r="U956" s="31">
        <v>0</v>
      </c>
      <c r="V956" s="31">
        <v>0</v>
      </c>
      <c r="W956" s="31">
        <v>0</v>
      </c>
      <c r="X956" s="31">
        <v>0</v>
      </c>
      <c r="Y956" s="31">
        <v>0</v>
      </c>
      <c r="Z956" s="31">
        <v>0</v>
      </c>
      <c r="AA956" s="31">
        <v>0</v>
      </c>
      <c r="AB956" s="31">
        <v>0</v>
      </c>
      <c r="AC956" s="31">
        <f>ROUND(N956*1.5%,2)</f>
        <v>66518.039999999994</v>
      </c>
      <c r="AD956" s="31">
        <v>150000</v>
      </c>
      <c r="AE956" s="31">
        <v>0</v>
      </c>
      <c r="AF956" s="34">
        <v>2021</v>
      </c>
      <c r="AG956" s="34">
        <v>2021</v>
      </c>
      <c r="AH956" s="35">
        <v>2021</v>
      </c>
      <c r="AT956" s="20" t="e">
        <f t="shared" si="226"/>
        <v>#N/A</v>
      </c>
      <c r="BZ956" s="71"/>
      <c r="CD956" s="20" t="e">
        <f t="shared" si="222"/>
        <v>#N/A</v>
      </c>
    </row>
    <row r="957" spans="1:82" ht="61.5" x14ac:dyDescent="0.85">
      <c r="B957" s="24" t="s">
        <v>865</v>
      </c>
      <c r="C957" s="24"/>
      <c r="D957" s="31">
        <f>D958</f>
        <v>3145116.58</v>
      </c>
      <c r="E957" s="31">
        <f t="shared" ref="E957:AE957" si="233">E958</f>
        <v>0</v>
      </c>
      <c r="F957" s="31">
        <f t="shared" si="233"/>
        <v>0</v>
      </c>
      <c r="G957" s="31">
        <f t="shared" si="233"/>
        <v>0</v>
      </c>
      <c r="H957" s="31">
        <f t="shared" si="233"/>
        <v>0</v>
      </c>
      <c r="I957" s="31">
        <f t="shared" si="233"/>
        <v>0</v>
      </c>
      <c r="J957" s="31">
        <f t="shared" si="233"/>
        <v>0</v>
      </c>
      <c r="K957" s="33">
        <f t="shared" si="233"/>
        <v>0</v>
      </c>
      <c r="L957" s="31">
        <f t="shared" si="233"/>
        <v>0</v>
      </c>
      <c r="M957" s="31">
        <f t="shared" si="233"/>
        <v>602.30499999999995</v>
      </c>
      <c r="N957" s="31">
        <f t="shared" si="233"/>
        <v>2950853.77</v>
      </c>
      <c r="O957" s="31">
        <f t="shared" si="233"/>
        <v>0</v>
      </c>
      <c r="P957" s="31">
        <f t="shared" si="233"/>
        <v>0</v>
      </c>
      <c r="Q957" s="31">
        <f t="shared" si="233"/>
        <v>0</v>
      </c>
      <c r="R957" s="31">
        <f t="shared" si="233"/>
        <v>0</v>
      </c>
      <c r="S957" s="31">
        <f t="shared" si="233"/>
        <v>0</v>
      </c>
      <c r="T957" s="31">
        <f t="shared" si="233"/>
        <v>0</v>
      </c>
      <c r="U957" s="31">
        <f t="shared" si="233"/>
        <v>0</v>
      </c>
      <c r="V957" s="31">
        <f t="shared" si="233"/>
        <v>0</v>
      </c>
      <c r="W957" s="31">
        <f t="shared" si="233"/>
        <v>0</v>
      </c>
      <c r="X957" s="31">
        <f t="shared" si="233"/>
        <v>0</v>
      </c>
      <c r="Y957" s="31">
        <f t="shared" si="233"/>
        <v>0</v>
      </c>
      <c r="Z957" s="31">
        <f t="shared" si="233"/>
        <v>0</v>
      </c>
      <c r="AA957" s="31">
        <f t="shared" si="233"/>
        <v>0</v>
      </c>
      <c r="AB957" s="31">
        <f t="shared" si="233"/>
        <v>0</v>
      </c>
      <c r="AC957" s="31">
        <f t="shared" si="233"/>
        <v>44262.81</v>
      </c>
      <c r="AD957" s="31">
        <f t="shared" si="233"/>
        <v>150000</v>
      </c>
      <c r="AE957" s="31">
        <f t="shared" si="233"/>
        <v>0</v>
      </c>
      <c r="AF957" s="72" t="s">
        <v>764</v>
      </c>
      <c r="AG957" s="72" t="s">
        <v>764</v>
      </c>
      <c r="AH957" s="87" t="s">
        <v>764</v>
      </c>
      <c r="AT957" s="20" t="e">
        <f t="shared" si="226"/>
        <v>#N/A</v>
      </c>
      <c r="BZ957" s="31">
        <v>3145116.58</v>
      </c>
      <c r="CA957" s="31"/>
      <c r="CB957" s="31">
        <f>BZ957-D957</f>
        <v>0</v>
      </c>
      <c r="CD957" s="20" t="e">
        <f t="shared" si="222"/>
        <v>#N/A</v>
      </c>
    </row>
    <row r="958" spans="1:82" ht="61.5" x14ac:dyDescent="0.85">
      <c r="A958" s="20">
        <v>1</v>
      </c>
      <c r="B958" s="66">
        <f>SUBTOTAL(103,$A$560:A958)</f>
        <v>353</v>
      </c>
      <c r="C958" s="24" t="s">
        <v>154</v>
      </c>
      <c r="D958" s="31">
        <f>E958+F958+G958+H958+I958+J958+L958+N958+P958+R958+T958+U958+V958+W958+X958+Y958+Z958+AA958+AB958+AC958+AD958+AE958</f>
        <v>3145116.58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3">
        <v>0</v>
      </c>
      <c r="L958" s="31">
        <v>0</v>
      </c>
      <c r="M958" s="31">
        <v>602.30499999999995</v>
      </c>
      <c r="N958" s="31">
        <v>2950853.77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1">
        <v>0</v>
      </c>
      <c r="X958" s="31">
        <v>0</v>
      </c>
      <c r="Y958" s="31">
        <v>0</v>
      </c>
      <c r="Z958" s="31">
        <v>0</v>
      </c>
      <c r="AA958" s="31">
        <v>0</v>
      </c>
      <c r="AB958" s="31">
        <v>0</v>
      </c>
      <c r="AC958" s="31">
        <f>ROUND(N958*1.5%,2)</f>
        <v>44262.81</v>
      </c>
      <c r="AD958" s="31">
        <v>150000</v>
      </c>
      <c r="AE958" s="31">
        <v>0</v>
      </c>
      <c r="AF958" s="34">
        <v>2021</v>
      </c>
      <c r="AG958" s="34">
        <v>2021</v>
      </c>
      <c r="AH958" s="35">
        <v>2021</v>
      </c>
      <c r="AT958" s="20" t="e">
        <f t="shared" si="226"/>
        <v>#N/A</v>
      </c>
      <c r="BZ958" s="71"/>
      <c r="CD958" s="20" t="e">
        <f t="shared" si="222"/>
        <v>#N/A</v>
      </c>
    </row>
    <row r="959" spans="1:82" ht="61.5" x14ac:dyDescent="0.85">
      <c r="B959" s="24" t="s">
        <v>866</v>
      </c>
      <c r="C959" s="24"/>
      <c r="D959" s="31">
        <f>SUM(D960:D962)</f>
        <v>17099543.050000001</v>
      </c>
      <c r="E959" s="31">
        <f t="shared" ref="E959:AE959" si="234">SUM(E960:E962)</f>
        <v>0</v>
      </c>
      <c r="F959" s="31">
        <f t="shared" si="234"/>
        <v>0</v>
      </c>
      <c r="G959" s="31">
        <f t="shared" si="234"/>
        <v>0</v>
      </c>
      <c r="H959" s="31">
        <f t="shared" si="234"/>
        <v>0</v>
      </c>
      <c r="I959" s="31">
        <f t="shared" si="234"/>
        <v>0</v>
      </c>
      <c r="J959" s="31">
        <f t="shared" si="234"/>
        <v>0</v>
      </c>
      <c r="K959" s="76">
        <f t="shared" si="234"/>
        <v>0</v>
      </c>
      <c r="L959" s="31">
        <f t="shared" si="234"/>
        <v>0</v>
      </c>
      <c r="M959" s="31">
        <f t="shared" si="234"/>
        <v>3385.4399999999996</v>
      </c>
      <c r="N959" s="31">
        <f t="shared" si="234"/>
        <v>16344377.390000001</v>
      </c>
      <c r="O959" s="31">
        <f t="shared" si="234"/>
        <v>0</v>
      </c>
      <c r="P959" s="31">
        <f t="shared" si="234"/>
        <v>0</v>
      </c>
      <c r="Q959" s="31">
        <f t="shared" si="234"/>
        <v>0</v>
      </c>
      <c r="R959" s="31">
        <f t="shared" si="234"/>
        <v>0</v>
      </c>
      <c r="S959" s="31">
        <f t="shared" si="234"/>
        <v>0</v>
      </c>
      <c r="T959" s="31">
        <f t="shared" si="234"/>
        <v>0</v>
      </c>
      <c r="U959" s="31">
        <f t="shared" si="234"/>
        <v>0</v>
      </c>
      <c r="V959" s="31">
        <f t="shared" si="234"/>
        <v>0</v>
      </c>
      <c r="W959" s="31">
        <f t="shared" si="234"/>
        <v>0</v>
      </c>
      <c r="X959" s="31">
        <f t="shared" si="234"/>
        <v>0</v>
      </c>
      <c r="Y959" s="31">
        <f t="shared" si="234"/>
        <v>0</v>
      </c>
      <c r="Z959" s="31">
        <f t="shared" si="234"/>
        <v>0</v>
      </c>
      <c r="AA959" s="31">
        <f t="shared" si="234"/>
        <v>0</v>
      </c>
      <c r="AB959" s="31">
        <f t="shared" si="234"/>
        <v>0</v>
      </c>
      <c r="AC959" s="31">
        <f t="shared" si="234"/>
        <v>245165.66</v>
      </c>
      <c r="AD959" s="31">
        <f t="shared" si="234"/>
        <v>510000</v>
      </c>
      <c r="AE959" s="31">
        <f t="shared" si="234"/>
        <v>0</v>
      </c>
      <c r="AF959" s="72" t="s">
        <v>764</v>
      </c>
      <c r="AG959" s="72" t="s">
        <v>764</v>
      </c>
      <c r="AH959" s="87" t="s">
        <v>764</v>
      </c>
      <c r="AT959" s="20" t="e">
        <f t="shared" si="226"/>
        <v>#N/A</v>
      </c>
      <c r="BZ959" s="71">
        <v>13767321.040000001</v>
      </c>
      <c r="CD959" s="20" t="e">
        <f t="shared" si="222"/>
        <v>#N/A</v>
      </c>
    </row>
    <row r="960" spans="1:82" ht="61.5" x14ac:dyDescent="0.85">
      <c r="A960" s="20">
        <v>1</v>
      </c>
      <c r="B960" s="66">
        <f>SUBTOTAL(103,$A$560:A960)</f>
        <v>354</v>
      </c>
      <c r="C960" s="24" t="s">
        <v>147</v>
      </c>
      <c r="D960" s="31">
        <f>E960+F960+G960+H960+I960+J960+L960+N960+P960+R960+T960+U960+V960+W960+X960+Y960+Z960+AA960+AB960+AC960+AD960+AE960</f>
        <v>6391288.3800000008</v>
      </c>
      <c r="E960" s="31">
        <v>0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3">
        <v>0</v>
      </c>
      <c r="L960" s="31">
        <v>0</v>
      </c>
      <c r="M960" s="31">
        <v>1101.8</v>
      </c>
      <c r="N960" s="31">
        <v>6119495.9400000004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  <c r="V960" s="31">
        <v>0</v>
      </c>
      <c r="W960" s="31">
        <v>0</v>
      </c>
      <c r="X960" s="31">
        <v>0</v>
      </c>
      <c r="Y960" s="31">
        <v>0</v>
      </c>
      <c r="Z960" s="31">
        <v>0</v>
      </c>
      <c r="AA960" s="31">
        <v>0</v>
      </c>
      <c r="AB960" s="31">
        <v>0</v>
      </c>
      <c r="AC960" s="31">
        <f>ROUND(N960*1.5%,2)</f>
        <v>91792.44</v>
      </c>
      <c r="AD960" s="31">
        <v>180000</v>
      </c>
      <c r="AE960" s="31">
        <v>0</v>
      </c>
      <c r="AF960" s="34">
        <v>2021</v>
      </c>
      <c r="AG960" s="34">
        <v>2021</v>
      </c>
      <c r="AH960" s="35">
        <v>2021</v>
      </c>
      <c r="AT960" s="20" t="e">
        <f t="shared" si="226"/>
        <v>#N/A</v>
      </c>
      <c r="BZ960" s="71"/>
      <c r="CD960" s="20" t="e">
        <f t="shared" ref="CD960:CD961" si="235">VLOOKUP(C960,CE:CF,2,FALSE)</f>
        <v>#N/A</v>
      </c>
    </row>
    <row r="961" spans="1:82" ht="61.5" x14ac:dyDescent="0.85">
      <c r="A961" s="20">
        <v>1</v>
      </c>
      <c r="B961" s="66">
        <f>SUBTOTAL(103,$A$560:A961)</f>
        <v>355</v>
      </c>
      <c r="C961" s="24" t="s">
        <v>158</v>
      </c>
      <c r="D961" s="31">
        <f>E961+F961+G961+H961+I961+J961+L961+N961+P961+R961+T961+U961+V961+W961+X961+Y961+Z961+AA961+AB961+AC961+AD961+AE961</f>
        <v>6834775.6500000004</v>
      </c>
      <c r="E961" s="31">
        <v>0</v>
      </c>
      <c r="F961" s="31">
        <v>0</v>
      </c>
      <c r="G961" s="31">
        <v>0</v>
      </c>
      <c r="H961" s="31">
        <v>0</v>
      </c>
      <c r="I961" s="31">
        <v>0</v>
      </c>
      <c r="J961" s="31">
        <v>0</v>
      </c>
      <c r="K961" s="33">
        <v>0</v>
      </c>
      <c r="L961" s="31">
        <v>0</v>
      </c>
      <c r="M961" s="31">
        <v>1541.85</v>
      </c>
      <c r="N961" s="31">
        <v>6556429.21</v>
      </c>
      <c r="O961" s="31">
        <v>0</v>
      </c>
      <c r="P961" s="31">
        <v>0</v>
      </c>
      <c r="Q961" s="31">
        <v>0</v>
      </c>
      <c r="R961" s="31">
        <v>0</v>
      </c>
      <c r="S961" s="31">
        <v>0</v>
      </c>
      <c r="T961" s="31">
        <v>0</v>
      </c>
      <c r="U961" s="31">
        <v>0</v>
      </c>
      <c r="V961" s="31">
        <v>0</v>
      </c>
      <c r="W961" s="31">
        <v>0</v>
      </c>
      <c r="X961" s="31">
        <v>0</v>
      </c>
      <c r="Y961" s="31">
        <v>0</v>
      </c>
      <c r="Z961" s="31">
        <v>0</v>
      </c>
      <c r="AA961" s="31">
        <v>0</v>
      </c>
      <c r="AB961" s="31">
        <v>0</v>
      </c>
      <c r="AC961" s="31">
        <f>ROUND(N961*1.5%,2)</f>
        <v>98346.44</v>
      </c>
      <c r="AD961" s="31">
        <v>180000</v>
      </c>
      <c r="AE961" s="31">
        <v>0</v>
      </c>
      <c r="AF961" s="34">
        <v>2021</v>
      </c>
      <c r="AG961" s="34">
        <v>2021</v>
      </c>
      <c r="AH961" s="35">
        <v>2021</v>
      </c>
      <c r="AT961" s="20" t="e">
        <f>VLOOKUP(C961,AW$961:AX$961,2,FALSE)</f>
        <v>#N/A</v>
      </c>
      <c r="BZ961" s="71"/>
      <c r="CD961" s="20" t="e">
        <f t="shared" si="235"/>
        <v>#N/A</v>
      </c>
    </row>
    <row r="962" spans="1:82" ht="61.5" x14ac:dyDescent="0.85">
      <c r="A962" s="20">
        <v>1</v>
      </c>
      <c r="B962" s="66">
        <f>SUBTOTAL(103,$A$560:A962)</f>
        <v>356</v>
      </c>
      <c r="C962" s="156" t="s">
        <v>159</v>
      </c>
      <c r="D962" s="31">
        <f>E962+F962+G962+H962+I962+J962+L962+N962+P962+R962+T962+U962+V962+W962+X962+Y962+Z962+AA962+AB962+AC962+AD962+AE962</f>
        <v>3873479.02</v>
      </c>
      <c r="E962" s="31">
        <v>0</v>
      </c>
      <c r="F962" s="31">
        <v>0</v>
      </c>
      <c r="G962" s="31">
        <v>0</v>
      </c>
      <c r="H962" s="31">
        <v>0</v>
      </c>
      <c r="I962" s="31">
        <v>0</v>
      </c>
      <c r="J962" s="31">
        <v>0</v>
      </c>
      <c r="K962" s="33">
        <v>0</v>
      </c>
      <c r="L962" s="31">
        <v>0</v>
      </c>
      <c r="M962" s="31">
        <v>741.79</v>
      </c>
      <c r="N962" s="31">
        <f>3668452.24</f>
        <v>3668452.24</v>
      </c>
      <c r="O962" s="31">
        <v>0</v>
      </c>
      <c r="P962" s="31">
        <v>0</v>
      </c>
      <c r="Q962" s="31">
        <v>0</v>
      </c>
      <c r="R962" s="31">
        <v>0</v>
      </c>
      <c r="S962" s="31">
        <v>0</v>
      </c>
      <c r="T962" s="31">
        <v>0</v>
      </c>
      <c r="U962" s="31">
        <v>0</v>
      </c>
      <c r="V962" s="31">
        <v>0</v>
      </c>
      <c r="W962" s="31">
        <v>0</v>
      </c>
      <c r="X962" s="31">
        <v>0</v>
      </c>
      <c r="Y962" s="31">
        <v>0</v>
      </c>
      <c r="Z962" s="31">
        <v>0</v>
      </c>
      <c r="AA962" s="31">
        <v>0</v>
      </c>
      <c r="AB962" s="31">
        <v>0</v>
      </c>
      <c r="AC962" s="31">
        <f>ROUND(N962*1.5%,2)</f>
        <v>55026.78</v>
      </c>
      <c r="AD962" s="31">
        <v>150000</v>
      </c>
      <c r="AE962" s="31">
        <v>0</v>
      </c>
      <c r="AF962" s="34">
        <v>2021</v>
      </c>
      <c r="AG962" s="34">
        <v>2021</v>
      </c>
      <c r="AH962" s="35">
        <v>2021</v>
      </c>
      <c r="AT962" s="20" t="e">
        <f>VLOOKUP(C962,AW:AX,2,FALSE)</f>
        <v>#N/A</v>
      </c>
      <c r="BZ962" s="71"/>
    </row>
    <row r="963" spans="1:82" ht="61.5" x14ac:dyDescent="0.85">
      <c r="B963" s="24" t="s">
        <v>867</v>
      </c>
      <c r="C963" s="114"/>
      <c r="D963" s="31">
        <f>SUM(D964:D966)</f>
        <v>11170130.879999999</v>
      </c>
      <c r="E963" s="31">
        <f t="shared" ref="E963:AE963" si="236">SUM(E964:E966)</f>
        <v>0</v>
      </c>
      <c r="F963" s="31">
        <f t="shared" si="236"/>
        <v>0</v>
      </c>
      <c r="G963" s="31">
        <f t="shared" si="236"/>
        <v>0</v>
      </c>
      <c r="H963" s="31">
        <f t="shared" si="236"/>
        <v>0</v>
      </c>
      <c r="I963" s="31">
        <f t="shared" si="236"/>
        <v>0</v>
      </c>
      <c r="J963" s="31">
        <f t="shared" si="236"/>
        <v>0</v>
      </c>
      <c r="K963" s="33">
        <f t="shared" si="236"/>
        <v>0</v>
      </c>
      <c r="L963" s="31">
        <f t="shared" si="236"/>
        <v>0</v>
      </c>
      <c r="M963" s="31">
        <f t="shared" si="236"/>
        <v>2086.42</v>
      </c>
      <c r="N963" s="31">
        <f t="shared" si="236"/>
        <v>10446434.370000001</v>
      </c>
      <c r="O963" s="31">
        <f t="shared" si="236"/>
        <v>0</v>
      </c>
      <c r="P963" s="31">
        <f t="shared" si="236"/>
        <v>0</v>
      </c>
      <c r="Q963" s="31">
        <f t="shared" si="236"/>
        <v>0</v>
      </c>
      <c r="R963" s="31">
        <f t="shared" si="236"/>
        <v>0</v>
      </c>
      <c r="S963" s="31">
        <f t="shared" si="236"/>
        <v>0</v>
      </c>
      <c r="T963" s="31">
        <f t="shared" si="236"/>
        <v>0</v>
      </c>
      <c r="U963" s="31">
        <f t="shared" si="236"/>
        <v>0</v>
      </c>
      <c r="V963" s="31">
        <f t="shared" si="236"/>
        <v>0</v>
      </c>
      <c r="W963" s="31">
        <f t="shared" si="236"/>
        <v>0</v>
      </c>
      <c r="X963" s="31">
        <f t="shared" si="236"/>
        <v>0</v>
      </c>
      <c r="Y963" s="31">
        <f t="shared" si="236"/>
        <v>0</v>
      </c>
      <c r="Z963" s="31">
        <f t="shared" si="236"/>
        <v>0</v>
      </c>
      <c r="AA963" s="31">
        <f t="shared" si="236"/>
        <v>0</v>
      </c>
      <c r="AB963" s="31">
        <f t="shared" si="236"/>
        <v>0</v>
      </c>
      <c r="AC963" s="31">
        <f t="shared" si="236"/>
        <v>156696.51</v>
      </c>
      <c r="AD963" s="31">
        <f t="shared" si="236"/>
        <v>447000</v>
      </c>
      <c r="AE963" s="31">
        <f t="shared" si="236"/>
        <v>120000</v>
      </c>
      <c r="AF963" s="72" t="s">
        <v>764</v>
      </c>
      <c r="AG963" s="72" t="s">
        <v>764</v>
      </c>
      <c r="AH963" s="87" t="s">
        <v>764</v>
      </c>
      <c r="AT963" s="20" t="e">
        <f>VLOOKUP(C963,AW:AX,2,FALSE)</f>
        <v>#N/A</v>
      </c>
      <c r="BZ963" s="71">
        <v>9023270.3999999985</v>
      </c>
      <c r="CD963" s="20" t="e">
        <f t="shared" ref="CD963:CD991" si="237">VLOOKUP(C963,CE:CF,2,FALSE)</f>
        <v>#N/A</v>
      </c>
    </row>
    <row r="964" spans="1:82" ht="61.5" x14ac:dyDescent="0.85">
      <c r="A964" s="20">
        <v>1</v>
      </c>
      <c r="B964" s="66">
        <f>SUBTOTAL(103,$A$560:A964)</f>
        <v>357</v>
      </c>
      <c r="C964" s="24" t="s">
        <v>96</v>
      </c>
      <c r="D964" s="31">
        <f>E964+F964+G964+H964+I964+J964+L964+N964+P964+R964+T964+U964+V964+W964+X964+Y964+Z964+AA964+AB964+AC964+AD964+AE964</f>
        <v>4020786</v>
      </c>
      <c r="E964" s="31">
        <v>0</v>
      </c>
      <c r="F964" s="31">
        <v>0</v>
      </c>
      <c r="G964" s="31">
        <v>0</v>
      </c>
      <c r="H964" s="31">
        <v>0</v>
      </c>
      <c r="I964" s="31">
        <v>0</v>
      </c>
      <c r="J964" s="31">
        <v>0</v>
      </c>
      <c r="K964" s="33">
        <v>0</v>
      </c>
      <c r="L964" s="31">
        <v>0</v>
      </c>
      <c r="M964" s="31">
        <v>770</v>
      </c>
      <c r="N964" s="31">
        <v>3813582.27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  <c r="V964" s="31">
        <v>0</v>
      </c>
      <c r="W964" s="31">
        <v>0</v>
      </c>
      <c r="X964" s="31">
        <v>0</v>
      </c>
      <c r="Y964" s="31">
        <v>0</v>
      </c>
      <c r="Z964" s="31">
        <v>0</v>
      </c>
      <c r="AA964" s="31">
        <v>0</v>
      </c>
      <c r="AB964" s="31">
        <v>0</v>
      </c>
      <c r="AC964" s="31">
        <f>ROUND(N964*1.5%,2)</f>
        <v>57203.73</v>
      </c>
      <c r="AD964" s="31">
        <v>150000</v>
      </c>
      <c r="AE964" s="31">
        <v>0</v>
      </c>
      <c r="AF964" s="34">
        <v>2021</v>
      </c>
      <c r="AG964" s="34">
        <v>2021</v>
      </c>
      <c r="AH964" s="35">
        <v>2021</v>
      </c>
      <c r="AT964" s="20" t="e">
        <f>VLOOKUP(C964,AW:AX,2,FALSE)</f>
        <v>#N/A</v>
      </c>
      <c r="BZ964" s="71"/>
      <c r="CD964" s="20" t="e">
        <f t="shared" si="237"/>
        <v>#N/A</v>
      </c>
    </row>
    <row r="965" spans="1:82" ht="61.5" x14ac:dyDescent="0.85">
      <c r="A965" s="20">
        <v>1</v>
      </c>
      <c r="B965" s="66">
        <f>SUBTOTAL(103,$A$560:A965)</f>
        <v>358</v>
      </c>
      <c r="C965" s="24" t="s">
        <v>95</v>
      </c>
      <c r="D965" s="31">
        <f>E965+F965+G965+H965+I965+J965+L965+N965+P965+R965+T965+U965+V965+W965+X965+Y965+Z965+AA965+AB965+AC965+AD965+AE965</f>
        <v>5002484.3999999994</v>
      </c>
      <c r="E965" s="31">
        <v>0</v>
      </c>
      <c r="F965" s="31">
        <v>0</v>
      </c>
      <c r="G965" s="31">
        <v>0</v>
      </c>
      <c r="H965" s="31">
        <v>0</v>
      </c>
      <c r="I965" s="31">
        <v>0</v>
      </c>
      <c r="J965" s="31">
        <v>0</v>
      </c>
      <c r="K965" s="33">
        <v>0</v>
      </c>
      <c r="L965" s="31">
        <v>0</v>
      </c>
      <c r="M965" s="31">
        <v>958</v>
      </c>
      <c r="N965" s="31">
        <v>4780772.8099999996</v>
      </c>
      <c r="O965" s="31">
        <v>0</v>
      </c>
      <c r="P965" s="31">
        <v>0</v>
      </c>
      <c r="Q965" s="31">
        <v>0</v>
      </c>
      <c r="R965" s="31">
        <v>0</v>
      </c>
      <c r="S965" s="31">
        <v>0</v>
      </c>
      <c r="T965" s="31">
        <v>0</v>
      </c>
      <c r="U965" s="31">
        <v>0</v>
      </c>
      <c r="V965" s="31">
        <v>0</v>
      </c>
      <c r="W965" s="31">
        <v>0</v>
      </c>
      <c r="X965" s="31">
        <v>0</v>
      </c>
      <c r="Y965" s="31">
        <v>0</v>
      </c>
      <c r="Z965" s="31">
        <v>0</v>
      </c>
      <c r="AA965" s="31">
        <v>0</v>
      </c>
      <c r="AB965" s="31">
        <v>0</v>
      </c>
      <c r="AC965" s="31">
        <f>ROUND(N965*1.5%,2)</f>
        <v>71711.59</v>
      </c>
      <c r="AD965" s="31">
        <v>150000</v>
      </c>
      <c r="AE965" s="31">
        <v>0</v>
      </c>
      <c r="AF965" s="34">
        <v>2021</v>
      </c>
      <c r="AG965" s="34">
        <v>2021</v>
      </c>
      <c r="AH965" s="35">
        <v>2021</v>
      </c>
      <c r="AT965" s="20" t="e">
        <f>VLOOKUP(C965,AW:AX,2,FALSE)</f>
        <v>#N/A</v>
      </c>
      <c r="BZ965" s="71"/>
      <c r="CD965" s="20" t="e">
        <f t="shared" si="237"/>
        <v>#N/A</v>
      </c>
    </row>
    <row r="966" spans="1:82" s="134" customFormat="1" ht="61.5" x14ac:dyDescent="0.85">
      <c r="A966" s="134">
        <v>1</v>
      </c>
      <c r="B966" s="66">
        <f>SUBTOTAL(103,$A$560:A966)</f>
        <v>359</v>
      </c>
      <c r="C966" s="24" t="s">
        <v>1280</v>
      </c>
      <c r="D966" s="31">
        <f>E966+F966+G966+H966+I966+J966+L966+N966+P966+R966+T966+U966+V966+W966+X966+Y966+Z966+AA966+AB966+AC966+AD966+AE966</f>
        <v>2146860.48</v>
      </c>
      <c r="E966" s="31">
        <v>0</v>
      </c>
      <c r="F966" s="31">
        <v>0</v>
      </c>
      <c r="G966" s="31">
        <v>0</v>
      </c>
      <c r="H966" s="31">
        <v>0</v>
      </c>
      <c r="I966" s="31">
        <v>0</v>
      </c>
      <c r="J966" s="31">
        <v>0</v>
      </c>
      <c r="K966" s="33">
        <v>0</v>
      </c>
      <c r="L966" s="31">
        <v>0</v>
      </c>
      <c r="M966" s="31">
        <v>358.42</v>
      </c>
      <c r="N966" s="31">
        <v>1852079.29</v>
      </c>
      <c r="O966" s="31">
        <v>0</v>
      </c>
      <c r="P966" s="31">
        <v>0</v>
      </c>
      <c r="Q966" s="31">
        <v>0</v>
      </c>
      <c r="R966" s="31">
        <v>0</v>
      </c>
      <c r="S966" s="31">
        <v>0</v>
      </c>
      <c r="T966" s="31">
        <v>0</v>
      </c>
      <c r="U966" s="31">
        <v>0</v>
      </c>
      <c r="V966" s="31">
        <v>0</v>
      </c>
      <c r="W966" s="31">
        <v>0</v>
      </c>
      <c r="X966" s="31">
        <v>0</v>
      </c>
      <c r="Y966" s="31">
        <v>0</v>
      </c>
      <c r="Z966" s="31">
        <v>0</v>
      </c>
      <c r="AA966" s="31">
        <v>0</v>
      </c>
      <c r="AB966" s="31">
        <v>0</v>
      </c>
      <c r="AC966" s="31">
        <f>ROUND(N966*1.5%,2)</f>
        <v>27781.19</v>
      </c>
      <c r="AD966" s="31">
        <v>147000</v>
      </c>
      <c r="AE966" s="31">
        <v>120000</v>
      </c>
      <c r="AF966" s="34">
        <v>2021</v>
      </c>
      <c r="AG966" s="34">
        <v>2021</v>
      </c>
      <c r="AH966" s="35">
        <v>2021</v>
      </c>
      <c r="AI966" s="20"/>
      <c r="AJ966" s="20"/>
      <c r="AK966" s="20"/>
      <c r="AL966" s="20"/>
      <c r="BZ966" s="135"/>
      <c r="CD966" s="134" t="e">
        <f t="shared" si="237"/>
        <v>#N/A</v>
      </c>
    </row>
    <row r="967" spans="1:82" ht="61.5" x14ac:dyDescent="0.85">
      <c r="B967" s="24" t="s">
        <v>868</v>
      </c>
      <c r="C967" s="24"/>
      <c r="D967" s="31">
        <f>D968</f>
        <v>3103317.94</v>
      </c>
      <c r="E967" s="31">
        <f t="shared" ref="E967:AE967" si="238">E968</f>
        <v>0</v>
      </c>
      <c r="F967" s="31">
        <f t="shared" si="238"/>
        <v>0</v>
      </c>
      <c r="G967" s="31">
        <f t="shared" si="238"/>
        <v>0</v>
      </c>
      <c r="H967" s="31">
        <f t="shared" si="238"/>
        <v>0</v>
      </c>
      <c r="I967" s="31">
        <f t="shared" si="238"/>
        <v>0</v>
      </c>
      <c r="J967" s="31">
        <f t="shared" si="238"/>
        <v>0</v>
      </c>
      <c r="K967" s="33">
        <f t="shared" si="238"/>
        <v>0</v>
      </c>
      <c r="L967" s="31">
        <f t="shared" si="238"/>
        <v>0</v>
      </c>
      <c r="M967" s="31">
        <f t="shared" si="238"/>
        <v>590</v>
      </c>
      <c r="N967" s="31">
        <f t="shared" si="238"/>
        <v>2909672.85</v>
      </c>
      <c r="O967" s="31">
        <f t="shared" si="238"/>
        <v>0</v>
      </c>
      <c r="P967" s="31">
        <f t="shared" si="238"/>
        <v>0</v>
      </c>
      <c r="Q967" s="31">
        <f t="shared" si="238"/>
        <v>0</v>
      </c>
      <c r="R967" s="31">
        <f t="shared" si="238"/>
        <v>0</v>
      </c>
      <c r="S967" s="31">
        <f t="shared" si="238"/>
        <v>0</v>
      </c>
      <c r="T967" s="31">
        <f t="shared" si="238"/>
        <v>0</v>
      </c>
      <c r="U967" s="31">
        <f t="shared" si="238"/>
        <v>0</v>
      </c>
      <c r="V967" s="31">
        <f t="shared" si="238"/>
        <v>0</v>
      </c>
      <c r="W967" s="31">
        <f t="shared" si="238"/>
        <v>0</v>
      </c>
      <c r="X967" s="31">
        <f t="shared" si="238"/>
        <v>0</v>
      </c>
      <c r="Y967" s="31">
        <f t="shared" si="238"/>
        <v>0</v>
      </c>
      <c r="Z967" s="31">
        <f t="shared" si="238"/>
        <v>0</v>
      </c>
      <c r="AA967" s="31">
        <f t="shared" si="238"/>
        <v>0</v>
      </c>
      <c r="AB967" s="31">
        <f t="shared" si="238"/>
        <v>0</v>
      </c>
      <c r="AC967" s="31">
        <f t="shared" si="238"/>
        <v>43645.09</v>
      </c>
      <c r="AD967" s="31">
        <f t="shared" si="238"/>
        <v>150000</v>
      </c>
      <c r="AE967" s="31">
        <f t="shared" si="238"/>
        <v>0</v>
      </c>
      <c r="AF967" s="72" t="s">
        <v>764</v>
      </c>
      <c r="AG967" s="72" t="s">
        <v>764</v>
      </c>
      <c r="AH967" s="87" t="s">
        <v>764</v>
      </c>
      <c r="AT967" s="20" t="e">
        <f t="shared" ref="AT967:AT985" si="239">VLOOKUP(C967,AW:AX,2,FALSE)</f>
        <v>#N/A</v>
      </c>
      <c r="BZ967" s="71">
        <v>3080862</v>
      </c>
      <c r="CD967" s="20" t="e">
        <f t="shared" si="237"/>
        <v>#N/A</v>
      </c>
    </row>
    <row r="968" spans="1:82" ht="61.5" x14ac:dyDescent="0.85">
      <c r="A968" s="20">
        <v>1</v>
      </c>
      <c r="B968" s="66">
        <f>SUBTOTAL(103,$A$560:A968)</f>
        <v>360</v>
      </c>
      <c r="C968" s="24" t="s">
        <v>97</v>
      </c>
      <c r="D968" s="31">
        <f>E968+F968+G968+H968+I968+J968+L968+N968+P968+R968+T968+U968+V968+W968+X968+Y968+Z968+AA968+AB968+AC968+AD968+AE968</f>
        <v>3103317.94</v>
      </c>
      <c r="E968" s="31">
        <v>0</v>
      </c>
      <c r="F968" s="31">
        <v>0</v>
      </c>
      <c r="G968" s="31">
        <v>0</v>
      </c>
      <c r="H968" s="31">
        <v>0</v>
      </c>
      <c r="I968" s="31">
        <v>0</v>
      </c>
      <c r="J968" s="31">
        <v>0</v>
      </c>
      <c r="K968" s="33">
        <v>0</v>
      </c>
      <c r="L968" s="31">
        <v>0</v>
      </c>
      <c r="M968" s="31">
        <v>590</v>
      </c>
      <c r="N968" s="31">
        <f>2887548.77+22124.08</f>
        <v>2909672.85</v>
      </c>
      <c r="O968" s="31">
        <v>0</v>
      </c>
      <c r="P968" s="31">
        <v>0</v>
      </c>
      <c r="Q968" s="31">
        <v>0</v>
      </c>
      <c r="R968" s="31">
        <v>0</v>
      </c>
      <c r="S968" s="31">
        <v>0</v>
      </c>
      <c r="T968" s="31">
        <v>0</v>
      </c>
      <c r="U968" s="31">
        <v>0</v>
      </c>
      <c r="V968" s="31">
        <v>0</v>
      </c>
      <c r="W968" s="31">
        <v>0</v>
      </c>
      <c r="X968" s="31">
        <v>0</v>
      </c>
      <c r="Y968" s="31">
        <v>0</v>
      </c>
      <c r="Z968" s="31">
        <v>0</v>
      </c>
      <c r="AA968" s="31">
        <v>0</v>
      </c>
      <c r="AB968" s="31">
        <v>0</v>
      </c>
      <c r="AC968" s="31">
        <f>ROUND(N968*1.5%,2)</f>
        <v>43645.09</v>
      </c>
      <c r="AD968" s="31">
        <v>150000</v>
      </c>
      <c r="AE968" s="31">
        <v>0</v>
      </c>
      <c r="AF968" s="34">
        <v>2021</v>
      </c>
      <c r="AG968" s="34">
        <v>2021</v>
      </c>
      <c r="AH968" s="35">
        <v>2021</v>
      </c>
      <c r="AT968" s="20" t="e">
        <f t="shared" si="239"/>
        <v>#N/A</v>
      </c>
      <c r="BZ968" s="71"/>
      <c r="CD968" s="20" t="e">
        <f t="shared" si="237"/>
        <v>#N/A</v>
      </c>
    </row>
    <row r="969" spans="1:82" ht="61.5" x14ac:dyDescent="0.85">
      <c r="B969" s="24" t="s">
        <v>892</v>
      </c>
      <c r="C969" s="24"/>
      <c r="D969" s="31">
        <f>D970</f>
        <v>3655260</v>
      </c>
      <c r="E969" s="31">
        <f t="shared" ref="E969:AA969" si="240">E970</f>
        <v>0</v>
      </c>
      <c r="F969" s="31">
        <f t="shared" si="240"/>
        <v>0</v>
      </c>
      <c r="G969" s="31">
        <f t="shared" si="240"/>
        <v>0</v>
      </c>
      <c r="H969" s="31">
        <f t="shared" si="240"/>
        <v>0</v>
      </c>
      <c r="I969" s="31">
        <f t="shared" si="240"/>
        <v>0</v>
      </c>
      <c r="J969" s="31">
        <f t="shared" si="240"/>
        <v>0</v>
      </c>
      <c r="K969" s="33">
        <f t="shared" si="240"/>
        <v>0</v>
      </c>
      <c r="L969" s="31">
        <f t="shared" si="240"/>
        <v>0</v>
      </c>
      <c r="M969" s="31">
        <f t="shared" si="240"/>
        <v>700</v>
      </c>
      <c r="N969" s="31">
        <f t="shared" si="240"/>
        <v>3453458.13</v>
      </c>
      <c r="O969" s="31">
        <f t="shared" si="240"/>
        <v>0</v>
      </c>
      <c r="P969" s="31">
        <f t="shared" si="240"/>
        <v>0</v>
      </c>
      <c r="Q969" s="31">
        <f t="shared" si="240"/>
        <v>0</v>
      </c>
      <c r="R969" s="31">
        <f t="shared" si="240"/>
        <v>0</v>
      </c>
      <c r="S969" s="31">
        <f t="shared" si="240"/>
        <v>0</v>
      </c>
      <c r="T969" s="31">
        <f t="shared" si="240"/>
        <v>0</v>
      </c>
      <c r="U969" s="31">
        <f t="shared" si="240"/>
        <v>0</v>
      </c>
      <c r="V969" s="31">
        <f t="shared" si="240"/>
        <v>0</v>
      </c>
      <c r="W969" s="31">
        <f t="shared" si="240"/>
        <v>0</v>
      </c>
      <c r="X969" s="31">
        <f t="shared" si="240"/>
        <v>0</v>
      </c>
      <c r="Y969" s="31">
        <f t="shared" si="240"/>
        <v>0</v>
      </c>
      <c r="Z969" s="31">
        <f t="shared" si="240"/>
        <v>0</v>
      </c>
      <c r="AA969" s="31">
        <f t="shared" si="240"/>
        <v>0</v>
      </c>
      <c r="AB969" s="31">
        <f>AB970</f>
        <v>0</v>
      </c>
      <c r="AC969" s="31">
        <f>AC970</f>
        <v>51801.87</v>
      </c>
      <c r="AD969" s="31">
        <f>AD970</f>
        <v>150000</v>
      </c>
      <c r="AE969" s="31">
        <f>AE970</f>
        <v>0</v>
      </c>
      <c r="AF969" s="72" t="s">
        <v>764</v>
      </c>
      <c r="AG969" s="72" t="s">
        <v>764</v>
      </c>
      <c r="AH969" s="87" t="s">
        <v>764</v>
      </c>
      <c r="AT969" s="20" t="e">
        <f t="shared" si="239"/>
        <v>#N/A</v>
      </c>
      <c r="BZ969" s="71">
        <v>3655260</v>
      </c>
      <c r="CD969" s="20" t="e">
        <f t="shared" si="237"/>
        <v>#N/A</v>
      </c>
    </row>
    <row r="970" spans="1:82" ht="61.5" x14ac:dyDescent="0.85">
      <c r="A970" s="20">
        <v>1</v>
      </c>
      <c r="B970" s="66">
        <f>SUBTOTAL(103,$A$560:A970)</f>
        <v>361</v>
      </c>
      <c r="C970" s="24" t="s">
        <v>98</v>
      </c>
      <c r="D970" s="31">
        <f>E970+F970+G970+H970+I970+J970+L970+N970+P970+R970+T970+U970+V970+W970+X970+Y970+Z970+AA970+AB970+AC970+AD970+AE970</f>
        <v>3655260</v>
      </c>
      <c r="E970" s="31">
        <v>0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3">
        <v>0</v>
      </c>
      <c r="L970" s="31">
        <v>0</v>
      </c>
      <c r="M970" s="31">
        <v>700</v>
      </c>
      <c r="N970" s="31">
        <v>3453458.13</v>
      </c>
      <c r="O970" s="31">
        <v>0</v>
      </c>
      <c r="P970" s="31">
        <v>0</v>
      </c>
      <c r="Q970" s="31">
        <v>0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1">
        <v>0</v>
      </c>
      <c r="X970" s="31">
        <v>0</v>
      </c>
      <c r="Y970" s="31">
        <v>0</v>
      </c>
      <c r="Z970" s="31">
        <v>0</v>
      </c>
      <c r="AA970" s="31">
        <v>0</v>
      </c>
      <c r="AB970" s="31">
        <v>0</v>
      </c>
      <c r="AC970" s="31">
        <f>ROUND(N970*1.5%,2)</f>
        <v>51801.87</v>
      </c>
      <c r="AD970" s="31">
        <v>150000</v>
      </c>
      <c r="AE970" s="31">
        <v>0</v>
      </c>
      <c r="AF970" s="34">
        <v>2021</v>
      </c>
      <c r="AG970" s="34">
        <v>2021</v>
      </c>
      <c r="AH970" s="35">
        <v>2021</v>
      </c>
      <c r="AT970" s="20" t="e">
        <f t="shared" si="239"/>
        <v>#N/A</v>
      </c>
      <c r="BZ970" s="71"/>
      <c r="CD970" s="20" t="e">
        <f t="shared" si="237"/>
        <v>#N/A</v>
      </c>
    </row>
    <row r="971" spans="1:82" ht="61.5" x14ac:dyDescent="0.85">
      <c r="B971" s="24" t="s">
        <v>870</v>
      </c>
      <c r="C971" s="24"/>
      <c r="D971" s="31">
        <f>D972</f>
        <v>3080862</v>
      </c>
      <c r="E971" s="31">
        <f t="shared" ref="E971:AE971" si="241">E972</f>
        <v>0</v>
      </c>
      <c r="F971" s="31">
        <f t="shared" si="241"/>
        <v>0</v>
      </c>
      <c r="G971" s="31">
        <f t="shared" si="241"/>
        <v>0</v>
      </c>
      <c r="H971" s="31">
        <f t="shared" si="241"/>
        <v>0</v>
      </c>
      <c r="I971" s="31">
        <f t="shared" si="241"/>
        <v>0</v>
      </c>
      <c r="J971" s="31">
        <f t="shared" si="241"/>
        <v>0</v>
      </c>
      <c r="K971" s="33">
        <f t="shared" si="241"/>
        <v>0</v>
      </c>
      <c r="L971" s="31">
        <f t="shared" si="241"/>
        <v>0</v>
      </c>
      <c r="M971" s="31">
        <f t="shared" si="241"/>
        <v>590</v>
      </c>
      <c r="N971" s="31">
        <f t="shared" si="241"/>
        <v>2887548.77</v>
      </c>
      <c r="O971" s="31">
        <f t="shared" si="241"/>
        <v>0</v>
      </c>
      <c r="P971" s="31">
        <f t="shared" si="241"/>
        <v>0</v>
      </c>
      <c r="Q971" s="31">
        <f t="shared" si="241"/>
        <v>0</v>
      </c>
      <c r="R971" s="31">
        <f t="shared" si="241"/>
        <v>0</v>
      </c>
      <c r="S971" s="31">
        <f t="shared" si="241"/>
        <v>0</v>
      </c>
      <c r="T971" s="31">
        <f t="shared" si="241"/>
        <v>0</v>
      </c>
      <c r="U971" s="31">
        <f t="shared" si="241"/>
        <v>0</v>
      </c>
      <c r="V971" s="31">
        <f t="shared" si="241"/>
        <v>0</v>
      </c>
      <c r="W971" s="31">
        <f t="shared" si="241"/>
        <v>0</v>
      </c>
      <c r="X971" s="31">
        <f t="shared" si="241"/>
        <v>0</v>
      </c>
      <c r="Y971" s="31">
        <f t="shared" si="241"/>
        <v>0</v>
      </c>
      <c r="Z971" s="31">
        <f t="shared" si="241"/>
        <v>0</v>
      </c>
      <c r="AA971" s="31">
        <f t="shared" si="241"/>
        <v>0</v>
      </c>
      <c r="AB971" s="31">
        <f t="shared" si="241"/>
        <v>0</v>
      </c>
      <c r="AC971" s="31">
        <f t="shared" si="241"/>
        <v>43313.23</v>
      </c>
      <c r="AD971" s="31">
        <f t="shared" si="241"/>
        <v>150000</v>
      </c>
      <c r="AE971" s="31">
        <f t="shared" si="241"/>
        <v>0</v>
      </c>
      <c r="AF971" s="72" t="s">
        <v>764</v>
      </c>
      <c r="AG971" s="72" t="s">
        <v>764</v>
      </c>
      <c r="AH971" s="87" t="s">
        <v>764</v>
      </c>
      <c r="AT971" s="20" t="e">
        <f t="shared" si="239"/>
        <v>#N/A</v>
      </c>
      <c r="BZ971" s="71">
        <v>3080862</v>
      </c>
      <c r="CD971" s="20" t="e">
        <f t="shared" si="237"/>
        <v>#N/A</v>
      </c>
    </row>
    <row r="972" spans="1:82" ht="61.5" x14ac:dyDescent="0.85">
      <c r="A972" s="20">
        <v>1</v>
      </c>
      <c r="B972" s="66">
        <f>SUBTOTAL(103,$A$560:A972)</f>
        <v>362</v>
      </c>
      <c r="C972" s="24" t="s">
        <v>99</v>
      </c>
      <c r="D972" s="31">
        <f>E972+F972+G972+H972+I972+J972+L972+N972+P972+R972+T972+U972+V972+W972+X972+Y972+Z972+AA972+AB972+AC972+AD972+AE972</f>
        <v>3080862</v>
      </c>
      <c r="E972" s="31">
        <v>0</v>
      </c>
      <c r="F972" s="31">
        <v>0</v>
      </c>
      <c r="G972" s="31">
        <v>0</v>
      </c>
      <c r="H972" s="31">
        <v>0</v>
      </c>
      <c r="I972" s="31">
        <v>0</v>
      </c>
      <c r="J972" s="31">
        <v>0</v>
      </c>
      <c r="K972" s="33">
        <v>0</v>
      </c>
      <c r="L972" s="31">
        <v>0</v>
      </c>
      <c r="M972" s="31">
        <v>590</v>
      </c>
      <c r="N972" s="31">
        <v>2887548.77</v>
      </c>
      <c r="O972" s="31">
        <v>0</v>
      </c>
      <c r="P972" s="31">
        <v>0</v>
      </c>
      <c r="Q972" s="31">
        <v>0</v>
      </c>
      <c r="R972" s="31">
        <v>0</v>
      </c>
      <c r="S972" s="31">
        <v>0</v>
      </c>
      <c r="T972" s="31">
        <v>0</v>
      </c>
      <c r="U972" s="31">
        <v>0</v>
      </c>
      <c r="V972" s="31">
        <v>0</v>
      </c>
      <c r="W972" s="31">
        <v>0</v>
      </c>
      <c r="X972" s="31">
        <v>0</v>
      </c>
      <c r="Y972" s="31">
        <v>0</v>
      </c>
      <c r="Z972" s="31">
        <v>0</v>
      </c>
      <c r="AA972" s="31">
        <v>0</v>
      </c>
      <c r="AB972" s="31">
        <v>0</v>
      </c>
      <c r="AC972" s="31">
        <f>ROUND(N972*1.5%,2)</f>
        <v>43313.23</v>
      </c>
      <c r="AD972" s="31">
        <v>150000</v>
      </c>
      <c r="AE972" s="31">
        <v>0</v>
      </c>
      <c r="AF972" s="34">
        <v>2021</v>
      </c>
      <c r="AG972" s="34">
        <v>2021</v>
      </c>
      <c r="AH972" s="35">
        <v>2021</v>
      </c>
      <c r="AT972" s="20" t="e">
        <f t="shared" si="239"/>
        <v>#N/A</v>
      </c>
      <c r="BZ972" s="71"/>
      <c r="CD972" s="20" t="e">
        <f t="shared" si="237"/>
        <v>#N/A</v>
      </c>
    </row>
    <row r="973" spans="1:82" ht="61.5" x14ac:dyDescent="0.85">
      <c r="B973" s="24" t="s">
        <v>871</v>
      </c>
      <c r="C973" s="114"/>
      <c r="D973" s="31">
        <f>SUM(D974:D977)</f>
        <v>9374338.0300000012</v>
      </c>
      <c r="E973" s="31">
        <f t="shared" ref="E973:AE973" si="242">SUM(E974:E977)</f>
        <v>0</v>
      </c>
      <c r="F973" s="31">
        <f t="shared" si="242"/>
        <v>0</v>
      </c>
      <c r="G973" s="31">
        <f t="shared" si="242"/>
        <v>0</v>
      </c>
      <c r="H973" s="31">
        <f t="shared" si="242"/>
        <v>0</v>
      </c>
      <c r="I973" s="31">
        <f t="shared" si="242"/>
        <v>0</v>
      </c>
      <c r="J973" s="31">
        <f t="shared" si="242"/>
        <v>0</v>
      </c>
      <c r="K973" s="33">
        <f t="shared" si="242"/>
        <v>0</v>
      </c>
      <c r="L973" s="31">
        <f t="shared" si="242"/>
        <v>0</v>
      </c>
      <c r="M973" s="31">
        <f t="shared" si="242"/>
        <v>1508</v>
      </c>
      <c r="N973" s="31">
        <f t="shared" si="242"/>
        <v>7147989.6600000001</v>
      </c>
      <c r="O973" s="31">
        <f t="shared" si="242"/>
        <v>0</v>
      </c>
      <c r="P973" s="31">
        <f t="shared" si="242"/>
        <v>0</v>
      </c>
      <c r="Q973" s="31">
        <f t="shared" si="242"/>
        <v>531</v>
      </c>
      <c r="R973" s="31">
        <f t="shared" si="242"/>
        <v>1471743.09</v>
      </c>
      <c r="S973" s="31">
        <f t="shared" si="242"/>
        <v>0</v>
      </c>
      <c r="T973" s="31">
        <f t="shared" si="242"/>
        <v>0</v>
      </c>
      <c r="U973" s="31">
        <f t="shared" si="242"/>
        <v>0</v>
      </c>
      <c r="V973" s="31">
        <f t="shared" si="242"/>
        <v>0</v>
      </c>
      <c r="W973" s="31">
        <f t="shared" si="242"/>
        <v>0</v>
      </c>
      <c r="X973" s="31">
        <f t="shared" si="242"/>
        <v>0</v>
      </c>
      <c r="Y973" s="31">
        <f t="shared" si="242"/>
        <v>0</v>
      </c>
      <c r="Z973" s="31">
        <f t="shared" si="242"/>
        <v>0</v>
      </c>
      <c r="AA973" s="31">
        <f t="shared" si="242"/>
        <v>0</v>
      </c>
      <c r="AB973" s="31">
        <f t="shared" si="242"/>
        <v>0</v>
      </c>
      <c r="AC973" s="31">
        <f t="shared" si="242"/>
        <v>129295.99</v>
      </c>
      <c r="AD973" s="31">
        <f t="shared" si="242"/>
        <v>385309.29000000004</v>
      </c>
      <c r="AE973" s="31">
        <f t="shared" si="242"/>
        <v>240000</v>
      </c>
      <c r="AF973" s="72" t="s">
        <v>764</v>
      </c>
      <c r="AG973" s="72" t="s">
        <v>764</v>
      </c>
      <c r="AH973" s="87" t="s">
        <v>764</v>
      </c>
      <c r="AT973" s="20" t="e">
        <f t="shared" si="239"/>
        <v>#N/A</v>
      </c>
      <c r="BZ973" s="71">
        <v>7774419.2400000002</v>
      </c>
      <c r="CD973" s="20" t="e">
        <f t="shared" si="237"/>
        <v>#N/A</v>
      </c>
    </row>
    <row r="974" spans="1:82" ht="61.5" x14ac:dyDescent="0.85">
      <c r="A974" s="20">
        <v>1</v>
      </c>
      <c r="B974" s="66">
        <f>SUBTOTAL(103,$A$560:A974)</f>
        <v>363</v>
      </c>
      <c r="C974" s="24" t="s">
        <v>190</v>
      </c>
      <c r="D974" s="31">
        <f>E974+F974+G974+H974+I974+J974+L974+N974+P974+R974+T974+U974+V974+W974+X974+Y974+Z974+AA974+AB974+AC974+AD974+AE974</f>
        <v>3524909.29</v>
      </c>
      <c r="E974" s="31">
        <v>0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3">
        <v>0</v>
      </c>
      <c r="L974" s="31">
        <v>0</v>
      </c>
      <c r="M974" s="31">
        <v>696</v>
      </c>
      <c r="N974" s="31">
        <v>3349359.61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31">
        <v>0</v>
      </c>
      <c r="W974" s="31">
        <v>0</v>
      </c>
      <c r="X974" s="31">
        <v>0</v>
      </c>
      <c r="Y974" s="31">
        <v>0</v>
      </c>
      <c r="Z974" s="31">
        <v>0</v>
      </c>
      <c r="AA974" s="31">
        <v>0</v>
      </c>
      <c r="AB974" s="31">
        <v>0</v>
      </c>
      <c r="AC974" s="31">
        <f>ROUND(N974*1.5%,2)</f>
        <v>50240.39</v>
      </c>
      <c r="AD974" s="31">
        <f>150000-24690.71</f>
        <v>125309.29000000001</v>
      </c>
      <c r="AE974" s="31">
        <v>0</v>
      </c>
      <c r="AF974" s="34">
        <v>2021</v>
      </c>
      <c r="AG974" s="34">
        <v>2021</v>
      </c>
      <c r="AH974" s="35">
        <v>2021</v>
      </c>
      <c r="AT974" s="20" t="e">
        <f t="shared" si="239"/>
        <v>#N/A</v>
      </c>
      <c r="BZ974" s="71"/>
      <c r="CD974" s="20" t="e">
        <f t="shared" si="237"/>
        <v>#N/A</v>
      </c>
    </row>
    <row r="975" spans="1:82" ht="61.5" x14ac:dyDescent="0.85">
      <c r="A975" s="20">
        <v>1</v>
      </c>
      <c r="B975" s="66">
        <f>SUBTOTAL(103,$A$560:A975)</f>
        <v>364</v>
      </c>
      <c r="C975" s="24" t="s">
        <v>191</v>
      </c>
      <c r="D975" s="31">
        <f>E975+F975+G975+H975+I975+J975+L975+N975+P975+R975+T975+U975+V975+W975+X975+Y975+Z975+AA975+AB975+AC975+AD975+AE975</f>
        <v>2601000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  <c r="J975" s="31">
        <v>0</v>
      </c>
      <c r="K975" s="33">
        <v>0</v>
      </c>
      <c r="L975" s="31">
        <v>0</v>
      </c>
      <c r="M975" s="31">
        <v>510</v>
      </c>
      <c r="N975" s="31">
        <f>2414778.33-118226.61</f>
        <v>2296551.7200000002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1">
        <v>0</v>
      </c>
      <c r="W975" s="31">
        <v>0</v>
      </c>
      <c r="X975" s="31">
        <v>0</v>
      </c>
      <c r="Y975" s="31">
        <v>0</v>
      </c>
      <c r="Z975" s="31">
        <v>0</v>
      </c>
      <c r="AA975" s="31">
        <v>0</v>
      </c>
      <c r="AB975" s="31">
        <v>0</v>
      </c>
      <c r="AC975" s="31">
        <f>ROUND(N975*1.5%,2)</f>
        <v>34448.28</v>
      </c>
      <c r="AD975" s="31">
        <v>150000</v>
      </c>
      <c r="AE975" s="31">
        <v>120000</v>
      </c>
      <c r="AF975" s="34">
        <v>2021</v>
      </c>
      <c r="AG975" s="34">
        <v>2021</v>
      </c>
      <c r="AH975" s="35">
        <v>2021</v>
      </c>
      <c r="AT975" s="20" t="e">
        <f t="shared" si="239"/>
        <v>#N/A</v>
      </c>
      <c r="BZ975" s="71"/>
      <c r="CD975" s="20" t="e">
        <f t="shared" si="237"/>
        <v>#N/A</v>
      </c>
    </row>
    <row r="976" spans="1:82" ht="61.5" x14ac:dyDescent="0.85">
      <c r="A976" s="20">
        <v>1</v>
      </c>
      <c r="B976" s="66">
        <f>SUBTOTAL(103,$A$560:A976)</f>
        <v>365</v>
      </c>
      <c r="C976" s="24" t="s">
        <v>192</v>
      </c>
      <c r="D976" s="31">
        <f>E976+F976+G976+H976+I976+J976+L976+N976+P976+R976+T976+U976+V976+W976+X976+Y976+Z976+AA976+AB976+AC976+AD976+AE976</f>
        <v>1603819.24</v>
      </c>
      <c r="E976" s="31">
        <v>0</v>
      </c>
      <c r="F976" s="31">
        <v>0</v>
      </c>
      <c r="G976" s="31">
        <v>0</v>
      </c>
      <c r="H976" s="31">
        <v>0</v>
      </c>
      <c r="I976" s="31">
        <v>0</v>
      </c>
      <c r="J976" s="31">
        <v>0</v>
      </c>
      <c r="K976" s="33">
        <v>0</v>
      </c>
      <c r="L976" s="31">
        <v>0</v>
      </c>
      <c r="M976" s="31">
        <v>0</v>
      </c>
      <c r="N976" s="31">
        <v>0</v>
      </c>
      <c r="O976" s="31">
        <v>0</v>
      </c>
      <c r="P976" s="31">
        <v>0</v>
      </c>
      <c r="Q976" s="31">
        <v>531</v>
      </c>
      <c r="R976" s="31">
        <v>1471743.09</v>
      </c>
      <c r="S976" s="31">
        <v>0</v>
      </c>
      <c r="T976" s="31">
        <v>0</v>
      </c>
      <c r="U976" s="31">
        <v>0</v>
      </c>
      <c r="V976" s="31">
        <v>0</v>
      </c>
      <c r="W976" s="31">
        <v>0</v>
      </c>
      <c r="X976" s="31">
        <v>0</v>
      </c>
      <c r="Y976" s="31">
        <v>0</v>
      </c>
      <c r="Z976" s="31">
        <v>0</v>
      </c>
      <c r="AA976" s="31">
        <v>0</v>
      </c>
      <c r="AB976" s="31">
        <v>0</v>
      </c>
      <c r="AC976" s="31">
        <f>ROUND(R976*1.5%,2)</f>
        <v>22076.15</v>
      </c>
      <c r="AD976" s="31">
        <v>110000</v>
      </c>
      <c r="AE976" s="31">
        <v>0</v>
      </c>
      <c r="AF976" s="34">
        <v>2021</v>
      </c>
      <c r="AG976" s="34">
        <v>2021</v>
      </c>
      <c r="AH976" s="35">
        <v>2021</v>
      </c>
      <c r="AT976" s="20" t="e">
        <f t="shared" si="239"/>
        <v>#N/A</v>
      </c>
      <c r="BZ976" s="71"/>
      <c r="CD976" s="20" t="e">
        <f t="shared" si="237"/>
        <v>#N/A</v>
      </c>
    </row>
    <row r="977" spans="1:82" ht="61.5" x14ac:dyDescent="0.85">
      <c r="A977" s="20">
        <v>1</v>
      </c>
      <c r="B977" s="66">
        <f>SUBTOTAL(103,$A$560:A977)</f>
        <v>366</v>
      </c>
      <c r="C977" s="211" t="s">
        <v>185</v>
      </c>
      <c r="D977" s="31">
        <f t="shared" ref="D977" si="243">E977+F977+G977+H977+I977+J977+L977+N977+P977+R977+T977+U977+V977+W977+X977+Y977+Z977+AA977+AB977+AC977+AD977+AE977</f>
        <v>1644609.5</v>
      </c>
      <c r="E977" s="31">
        <v>0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3">
        <v>0</v>
      </c>
      <c r="L977" s="31">
        <v>0</v>
      </c>
      <c r="M977" s="31">
        <v>302</v>
      </c>
      <c r="N977" s="31">
        <v>1502078.33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31">
        <v>0</v>
      </c>
      <c r="U977" s="31">
        <v>0</v>
      </c>
      <c r="V977" s="31">
        <v>0</v>
      </c>
      <c r="W977" s="31">
        <v>0</v>
      </c>
      <c r="X977" s="31">
        <v>0</v>
      </c>
      <c r="Y977" s="31">
        <v>0</v>
      </c>
      <c r="Z977" s="31">
        <v>0</v>
      </c>
      <c r="AA977" s="31">
        <v>0</v>
      </c>
      <c r="AB977" s="31">
        <v>0</v>
      </c>
      <c r="AC977" s="31">
        <f>ROUND(N977*1.5%,2)</f>
        <v>22531.17</v>
      </c>
      <c r="AD977" s="39">
        <v>0</v>
      </c>
      <c r="AE977" s="31">
        <v>120000</v>
      </c>
      <c r="AF977" s="34" t="s">
        <v>271</v>
      </c>
      <c r="AG977" s="34">
        <v>2021</v>
      </c>
      <c r="AH977" s="34">
        <v>2021</v>
      </c>
      <c r="AT977" s="20" t="e">
        <f t="shared" si="239"/>
        <v>#N/A</v>
      </c>
      <c r="BZ977" s="71"/>
      <c r="CD977" s="20" t="e">
        <f t="shared" si="237"/>
        <v>#N/A</v>
      </c>
    </row>
    <row r="978" spans="1:82" ht="61.5" x14ac:dyDescent="0.85">
      <c r="B978" s="24" t="s">
        <v>873</v>
      </c>
      <c r="C978" s="24"/>
      <c r="D978" s="31">
        <f>D979</f>
        <v>4275483</v>
      </c>
      <c r="E978" s="31">
        <f t="shared" ref="E978:AE980" si="244">E979</f>
        <v>0</v>
      </c>
      <c r="F978" s="31">
        <f t="shared" si="244"/>
        <v>0</v>
      </c>
      <c r="G978" s="31">
        <f t="shared" si="244"/>
        <v>0</v>
      </c>
      <c r="H978" s="31">
        <f t="shared" si="244"/>
        <v>0</v>
      </c>
      <c r="I978" s="31">
        <f t="shared" si="244"/>
        <v>0</v>
      </c>
      <c r="J978" s="31">
        <f t="shared" si="244"/>
        <v>0</v>
      </c>
      <c r="K978" s="33">
        <f t="shared" si="244"/>
        <v>0</v>
      </c>
      <c r="L978" s="31">
        <f t="shared" si="244"/>
        <v>0</v>
      </c>
      <c r="M978" s="31">
        <f t="shared" si="244"/>
        <v>838.33</v>
      </c>
      <c r="N978" s="31">
        <f t="shared" si="244"/>
        <v>4064515.27</v>
      </c>
      <c r="O978" s="31">
        <f t="shared" si="244"/>
        <v>0</v>
      </c>
      <c r="P978" s="31">
        <f t="shared" si="244"/>
        <v>0</v>
      </c>
      <c r="Q978" s="31">
        <f t="shared" si="244"/>
        <v>0</v>
      </c>
      <c r="R978" s="31">
        <f t="shared" si="244"/>
        <v>0</v>
      </c>
      <c r="S978" s="31">
        <f t="shared" si="244"/>
        <v>0</v>
      </c>
      <c r="T978" s="31">
        <f t="shared" si="244"/>
        <v>0</v>
      </c>
      <c r="U978" s="31">
        <f t="shared" si="244"/>
        <v>0</v>
      </c>
      <c r="V978" s="31">
        <f t="shared" si="244"/>
        <v>0</v>
      </c>
      <c r="W978" s="31">
        <f t="shared" si="244"/>
        <v>0</v>
      </c>
      <c r="X978" s="31">
        <f t="shared" si="244"/>
        <v>0</v>
      </c>
      <c r="Y978" s="31">
        <f t="shared" si="244"/>
        <v>0</v>
      </c>
      <c r="Z978" s="31">
        <f t="shared" si="244"/>
        <v>0</v>
      </c>
      <c r="AA978" s="31">
        <f t="shared" si="244"/>
        <v>0</v>
      </c>
      <c r="AB978" s="31">
        <f t="shared" si="244"/>
        <v>0</v>
      </c>
      <c r="AC978" s="31">
        <f t="shared" si="244"/>
        <v>60967.73</v>
      </c>
      <c r="AD978" s="31">
        <f t="shared" si="244"/>
        <v>150000</v>
      </c>
      <c r="AE978" s="31">
        <f t="shared" si="244"/>
        <v>0</v>
      </c>
      <c r="AF978" s="72" t="s">
        <v>764</v>
      </c>
      <c r="AG978" s="72" t="s">
        <v>764</v>
      </c>
      <c r="AH978" s="87" t="s">
        <v>764</v>
      </c>
      <c r="AT978" s="20" t="e">
        <f t="shared" si="239"/>
        <v>#N/A</v>
      </c>
      <c r="BZ978" s="71">
        <v>4275483</v>
      </c>
      <c r="CD978" s="20" t="e">
        <f t="shared" si="237"/>
        <v>#N/A</v>
      </c>
    </row>
    <row r="979" spans="1:82" ht="61.5" x14ac:dyDescent="0.85">
      <c r="A979" s="20">
        <v>1</v>
      </c>
      <c r="B979" s="66">
        <f>SUBTOTAL(103,$A$560:A979)</f>
        <v>367</v>
      </c>
      <c r="C979" s="24" t="s">
        <v>194</v>
      </c>
      <c r="D979" s="31">
        <f>E979+F979+G979+H979+I979+J979+L979+N979+P979+R979+T979+U979+V979+W979+X979+Y979+Z979+AA979+AB979+AC979+AD979+AE979</f>
        <v>4275483</v>
      </c>
      <c r="E979" s="31">
        <v>0</v>
      </c>
      <c r="F979" s="31">
        <v>0</v>
      </c>
      <c r="G979" s="31">
        <v>0</v>
      </c>
      <c r="H979" s="31">
        <v>0</v>
      </c>
      <c r="I979" s="31">
        <v>0</v>
      </c>
      <c r="J979" s="31">
        <v>0</v>
      </c>
      <c r="K979" s="33">
        <v>0</v>
      </c>
      <c r="L979" s="31">
        <v>0</v>
      </c>
      <c r="M979" s="31">
        <v>838.33</v>
      </c>
      <c r="N979" s="31">
        <v>4064515.27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31">
        <v>0</v>
      </c>
      <c r="U979" s="31">
        <v>0</v>
      </c>
      <c r="V979" s="31">
        <v>0</v>
      </c>
      <c r="W979" s="31">
        <v>0</v>
      </c>
      <c r="X979" s="31">
        <v>0</v>
      </c>
      <c r="Y979" s="31">
        <v>0</v>
      </c>
      <c r="Z979" s="31">
        <v>0</v>
      </c>
      <c r="AA979" s="31">
        <v>0</v>
      </c>
      <c r="AB979" s="31">
        <v>0</v>
      </c>
      <c r="AC979" s="31">
        <f>ROUND(N979*1.5%,2)</f>
        <v>60967.73</v>
      </c>
      <c r="AD979" s="31">
        <v>150000</v>
      </c>
      <c r="AE979" s="31">
        <v>0</v>
      </c>
      <c r="AF979" s="34">
        <v>2021</v>
      </c>
      <c r="AG979" s="34">
        <v>2021</v>
      </c>
      <c r="AH979" s="35">
        <v>2021</v>
      </c>
      <c r="AT979" s="20" t="e">
        <f t="shared" si="239"/>
        <v>#N/A</v>
      </c>
      <c r="BZ979" s="71"/>
      <c r="CD979" s="20" t="e">
        <f t="shared" si="237"/>
        <v>#N/A</v>
      </c>
    </row>
    <row r="980" spans="1:82" ht="61.5" x14ac:dyDescent="0.85">
      <c r="B980" s="24" t="s">
        <v>874</v>
      </c>
      <c r="C980" s="24"/>
      <c r="D980" s="31">
        <f>D981</f>
        <v>1403643.06</v>
      </c>
      <c r="E980" s="31">
        <f t="shared" si="244"/>
        <v>0</v>
      </c>
      <c r="F980" s="31">
        <f t="shared" si="244"/>
        <v>0</v>
      </c>
      <c r="G980" s="31">
        <f t="shared" si="244"/>
        <v>0</v>
      </c>
      <c r="H980" s="31">
        <f t="shared" si="244"/>
        <v>0</v>
      </c>
      <c r="I980" s="31">
        <f t="shared" si="244"/>
        <v>0</v>
      </c>
      <c r="J980" s="31">
        <f t="shared" si="244"/>
        <v>0</v>
      </c>
      <c r="K980" s="33">
        <f t="shared" si="244"/>
        <v>0</v>
      </c>
      <c r="L980" s="31">
        <f t="shared" si="244"/>
        <v>0</v>
      </c>
      <c r="M980" s="31">
        <f t="shared" si="244"/>
        <v>333.73</v>
      </c>
      <c r="N980" s="31">
        <f t="shared" si="244"/>
        <v>1235116.32</v>
      </c>
      <c r="O980" s="31">
        <f t="shared" si="244"/>
        <v>0</v>
      </c>
      <c r="P980" s="31">
        <f t="shared" si="244"/>
        <v>0</v>
      </c>
      <c r="Q980" s="31">
        <f t="shared" si="244"/>
        <v>0</v>
      </c>
      <c r="R980" s="31">
        <f t="shared" si="244"/>
        <v>0</v>
      </c>
      <c r="S980" s="31">
        <f t="shared" si="244"/>
        <v>0</v>
      </c>
      <c r="T980" s="31">
        <f t="shared" si="244"/>
        <v>0</v>
      </c>
      <c r="U980" s="31">
        <f t="shared" si="244"/>
        <v>0</v>
      </c>
      <c r="V980" s="31">
        <f t="shared" si="244"/>
        <v>0</v>
      </c>
      <c r="W980" s="31">
        <f t="shared" si="244"/>
        <v>0</v>
      </c>
      <c r="X980" s="31">
        <f t="shared" si="244"/>
        <v>0</v>
      </c>
      <c r="Y980" s="31">
        <f t="shared" si="244"/>
        <v>0</v>
      </c>
      <c r="Z980" s="31">
        <f t="shared" si="244"/>
        <v>0</v>
      </c>
      <c r="AA980" s="31">
        <f t="shared" si="244"/>
        <v>0</v>
      </c>
      <c r="AB980" s="31">
        <f t="shared" si="244"/>
        <v>0</v>
      </c>
      <c r="AC980" s="31">
        <f t="shared" si="244"/>
        <v>18526.740000000002</v>
      </c>
      <c r="AD980" s="31">
        <f t="shared" si="244"/>
        <v>150000</v>
      </c>
      <c r="AE980" s="31">
        <f t="shared" si="244"/>
        <v>0</v>
      </c>
      <c r="AF980" s="72" t="s">
        <v>764</v>
      </c>
      <c r="AG980" s="72" t="s">
        <v>764</v>
      </c>
      <c r="AH980" s="87" t="s">
        <v>764</v>
      </c>
      <c r="AT980" s="20" t="e">
        <f t="shared" si="239"/>
        <v>#N/A</v>
      </c>
      <c r="BZ980" s="71">
        <v>4275483</v>
      </c>
      <c r="CD980" s="20" t="e">
        <f t="shared" si="237"/>
        <v>#N/A</v>
      </c>
    </row>
    <row r="981" spans="1:82" ht="61.5" x14ac:dyDescent="0.85">
      <c r="A981" s="20">
        <v>1</v>
      </c>
      <c r="B981" s="66">
        <f>SUBTOTAL(103,$A$560:A981)</f>
        <v>368</v>
      </c>
      <c r="C981" s="212" t="s">
        <v>807</v>
      </c>
      <c r="D981" s="31">
        <f>E981+F981+G981+H981+I981+J981+L981+N981+P981+R981+T981+U981+V981+W981+X981+Y981+Z981+AA981+AB981+AC981+AD981+AE981</f>
        <v>1403643.06</v>
      </c>
      <c r="E981" s="31">
        <v>0</v>
      </c>
      <c r="F981" s="31">
        <v>0</v>
      </c>
      <c r="G981" s="31">
        <v>0</v>
      </c>
      <c r="H981" s="31">
        <v>0</v>
      </c>
      <c r="I981" s="31">
        <v>0</v>
      </c>
      <c r="J981" s="31">
        <v>0</v>
      </c>
      <c r="K981" s="33">
        <v>0</v>
      </c>
      <c r="L981" s="31">
        <v>0</v>
      </c>
      <c r="M981" s="31">
        <v>333.73</v>
      </c>
      <c r="N981" s="31">
        <v>1235116.32</v>
      </c>
      <c r="O981" s="31">
        <v>0</v>
      </c>
      <c r="P981" s="31">
        <v>0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1">
        <v>0</v>
      </c>
      <c r="X981" s="31">
        <v>0</v>
      </c>
      <c r="Y981" s="31">
        <v>0</v>
      </c>
      <c r="Z981" s="31">
        <v>0</v>
      </c>
      <c r="AA981" s="31">
        <v>0</v>
      </c>
      <c r="AB981" s="31">
        <v>0</v>
      </c>
      <c r="AC981" s="31">
        <f>ROUND(N981*1.5%,2)</f>
        <v>18526.740000000002</v>
      </c>
      <c r="AD981" s="31">
        <v>150000</v>
      </c>
      <c r="AE981" s="31">
        <v>0</v>
      </c>
      <c r="AF981" s="34">
        <v>2021</v>
      </c>
      <c r="AG981" s="34">
        <v>2021</v>
      </c>
      <c r="AH981" s="35">
        <v>2021</v>
      </c>
      <c r="AT981" s="20" t="e">
        <f t="shared" si="239"/>
        <v>#N/A</v>
      </c>
      <c r="BZ981" s="71"/>
      <c r="CD981" s="20" t="e">
        <f t="shared" si="237"/>
        <v>#N/A</v>
      </c>
    </row>
    <row r="982" spans="1:82" ht="61.5" x14ac:dyDescent="0.85">
      <c r="B982" s="24" t="s">
        <v>875</v>
      </c>
      <c r="C982" s="114"/>
      <c r="D982" s="31">
        <f>SUM(D983:D987)</f>
        <v>11001949.310000001</v>
      </c>
      <c r="E982" s="31">
        <f t="shared" ref="E982:AE982" si="245">SUM(E983:E987)</f>
        <v>0</v>
      </c>
      <c r="F982" s="31">
        <f t="shared" si="245"/>
        <v>0</v>
      </c>
      <c r="G982" s="31">
        <f t="shared" si="245"/>
        <v>1860344.1400000001</v>
      </c>
      <c r="H982" s="31">
        <f t="shared" si="245"/>
        <v>0</v>
      </c>
      <c r="I982" s="31">
        <f t="shared" si="245"/>
        <v>0</v>
      </c>
      <c r="J982" s="31">
        <f t="shared" si="245"/>
        <v>0</v>
      </c>
      <c r="K982" s="33">
        <f t="shared" si="245"/>
        <v>0</v>
      </c>
      <c r="L982" s="31">
        <f t="shared" si="245"/>
        <v>0</v>
      </c>
      <c r="M982" s="31">
        <f t="shared" si="245"/>
        <v>1787</v>
      </c>
      <c r="N982" s="31">
        <f t="shared" si="245"/>
        <v>8653891.629999999</v>
      </c>
      <c r="O982" s="31">
        <f t="shared" si="245"/>
        <v>0</v>
      </c>
      <c r="P982" s="31">
        <f t="shared" si="245"/>
        <v>0</v>
      </c>
      <c r="Q982" s="31">
        <f t="shared" si="245"/>
        <v>0</v>
      </c>
      <c r="R982" s="31">
        <f t="shared" si="245"/>
        <v>0</v>
      </c>
      <c r="S982" s="31">
        <f t="shared" si="245"/>
        <v>0</v>
      </c>
      <c r="T982" s="31">
        <f t="shared" si="245"/>
        <v>0</v>
      </c>
      <c r="U982" s="31">
        <f t="shared" si="245"/>
        <v>0</v>
      </c>
      <c r="V982" s="31">
        <f t="shared" si="245"/>
        <v>0</v>
      </c>
      <c r="W982" s="31">
        <f t="shared" si="245"/>
        <v>0</v>
      </c>
      <c r="X982" s="31">
        <f t="shared" si="245"/>
        <v>0</v>
      </c>
      <c r="Y982" s="31">
        <f t="shared" si="245"/>
        <v>0</v>
      </c>
      <c r="Z982" s="31">
        <f t="shared" si="245"/>
        <v>0</v>
      </c>
      <c r="AA982" s="31">
        <f t="shared" si="245"/>
        <v>0</v>
      </c>
      <c r="AB982" s="31">
        <f t="shared" si="245"/>
        <v>0</v>
      </c>
      <c r="AC982" s="31">
        <f t="shared" si="245"/>
        <v>157713.54</v>
      </c>
      <c r="AD982" s="31">
        <f t="shared" si="245"/>
        <v>330000</v>
      </c>
      <c r="AE982" s="31">
        <f t="shared" si="245"/>
        <v>0</v>
      </c>
      <c r="AF982" s="72" t="s">
        <v>764</v>
      </c>
      <c r="AG982" s="72" t="s">
        <v>764</v>
      </c>
      <c r="AH982" s="87" t="s">
        <v>764</v>
      </c>
      <c r="AT982" s="20" t="e">
        <f t="shared" si="239"/>
        <v>#N/A</v>
      </c>
      <c r="BZ982" s="71">
        <v>9113700</v>
      </c>
      <c r="CD982" s="20" t="e">
        <f t="shared" si="237"/>
        <v>#N/A</v>
      </c>
    </row>
    <row r="983" spans="1:82" ht="61.5" x14ac:dyDescent="0.85">
      <c r="A983" s="20">
        <v>1</v>
      </c>
      <c r="B983" s="66">
        <f>SUBTOTAL(103,$A$560:A983)</f>
        <v>369</v>
      </c>
      <c r="C983" s="24" t="s">
        <v>213</v>
      </c>
      <c r="D983" s="31">
        <f>E983+F983+G983+H983+I983+J983+L983+N983+P983+R983+T983+U983+V983+W983+X983+Y983+Z983+AA983+AB983+AC983+AD983+AE983</f>
        <v>6135300</v>
      </c>
      <c r="E983" s="31">
        <v>0</v>
      </c>
      <c r="F983" s="31">
        <v>0</v>
      </c>
      <c r="G983" s="31">
        <v>0</v>
      </c>
      <c r="H983" s="31">
        <v>0</v>
      </c>
      <c r="I983" s="31">
        <v>0</v>
      </c>
      <c r="J983" s="31">
        <v>0</v>
      </c>
      <c r="K983" s="33">
        <v>0</v>
      </c>
      <c r="L983" s="31">
        <v>0</v>
      </c>
      <c r="M983" s="31">
        <v>1203</v>
      </c>
      <c r="N983" s="31">
        <v>5867290.6399999997</v>
      </c>
      <c r="O983" s="31">
        <v>0</v>
      </c>
      <c r="P983" s="31">
        <v>0</v>
      </c>
      <c r="Q983" s="31">
        <v>0</v>
      </c>
      <c r="R983" s="31">
        <v>0</v>
      </c>
      <c r="S983" s="31">
        <v>0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0</v>
      </c>
      <c r="AA983" s="31">
        <v>0</v>
      </c>
      <c r="AB983" s="31">
        <v>0</v>
      </c>
      <c r="AC983" s="31">
        <f>ROUND(N983*1.5%,2)</f>
        <v>88009.36</v>
      </c>
      <c r="AD983" s="31">
        <v>180000</v>
      </c>
      <c r="AE983" s="31">
        <v>0</v>
      </c>
      <c r="AF983" s="34">
        <v>2021</v>
      </c>
      <c r="AG983" s="34">
        <v>2021</v>
      </c>
      <c r="AH983" s="35">
        <v>2021</v>
      </c>
      <c r="AT983" s="20" t="e">
        <f t="shared" si="239"/>
        <v>#N/A</v>
      </c>
      <c r="BZ983" s="71"/>
      <c r="CD983" s="20" t="e">
        <f t="shared" si="237"/>
        <v>#N/A</v>
      </c>
    </row>
    <row r="984" spans="1:82" ht="61.5" x14ac:dyDescent="0.85">
      <c r="A984" s="20">
        <v>1</v>
      </c>
      <c r="B984" s="66">
        <f>SUBTOTAL(103,$A$560:A984)</f>
        <v>370</v>
      </c>
      <c r="C984" s="24" t="s">
        <v>214</v>
      </c>
      <c r="D984" s="31">
        <f>E984+F984+G984+H984+I984+J984+L984+N984+P984+R984+T984+U984+V984+W984+X984+Y984+Z984+AA984+AB984+AC984+AD984+AE984</f>
        <v>2978400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3">
        <v>0</v>
      </c>
      <c r="L984" s="31">
        <v>0</v>
      </c>
      <c r="M984" s="31">
        <v>584</v>
      </c>
      <c r="N984" s="31">
        <v>2786600.99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1">
        <v>0</v>
      </c>
      <c r="Y984" s="31">
        <v>0</v>
      </c>
      <c r="Z984" s="31">
        <v>0</v>
      </c>
      <c r="AA984" s="31">
        <v>0</v>
      </c>
      <c r="AB984" s="31">
        <v>0</v>
      </c>
      <c r="AC984" s="31">
        <f>ROUND(N984*1.5%,2)</f>
        <v>41799.01</v>
      </c>
      <c r="AD984" s="31">
        <v>150000</v>
      </c>
      <c r="AE984" s="31">
        <v>0</v>
      </c>
      <c r="AF984" s="34">
        <v>2021</v>
      </c>
      <c r="AG984" s="34">
        <v>2021</v>
      </c>
      <c r="AH984" s="35">
        <v>2021</v>
      </c>
      <c r="AT984" s="20" t="e">
        <f t="shared" si="239"/>
        <v>#N/A</v>
      </c>
      <c r="BZ984" s="71"/>
      <c r="CD984" s="20" t="e">
        <f t="shared" si="237"/>
        <v>#N/A</v>
      </c>
    </row>
    <row r="985" spans="1:82" ht="61.5" x14ac:dyDescent="0.85">
      <c r="A985" s="20">
        <v>1</v>
      </c>
      <c r="B985" s="66">
        <f>SUBTOTAL(103,$A$560:A985)</f>
        <v>371</v>
      </c>
      <c r="C985" s="211" t="s">
        <v>219</v>
      </c>
      <c r="D985" s="31">
        <f>E985+F985+G985+H985+I985+J985+L985+N985+P985+R985+T985+U985+V985+W985+X985+Y985+Z985+AA985+AB985+AC985+AD985+AE985</f>
        <v>653859.32000000007</v>
      </c>
      <c r="E985" s="31">
        <v>0</v>
      </c>
      <c r="F985" s="31">
        <v>0</v>
      </c>
      <c r="G985" s="31">
        <f>378568.09+265628.28</f>
        <v>644196.37000000011</v>
      </c>
      <c r="H985" s="31">
        <v>0</v>
      </c>
      <c r="I985" s="31">
        <v>0</v>
      </c>
      <c r="J985" s="31">
        <v>0</v>
      </c>
      <c r="K985" s="33">
        <v>0</v>
      </c>
      <c r="L985" s="31">
        <v>0</v>
      </c>
      <c r="M985" s="31">
        <v>0</v>
      </c>
      <c r="N985" s="31">
        <v>0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31">
        <v>0</v>
      </c>
      <c r="U985" s="31">
        <v>0</v>
      </c>
      <c r="V985" s="31">
        <v>0</v>
      </c>
      <c r="W985" s="31">
        <v>0</v>
      </c>
      <c r="X985" s="31">
        <v>0</v>
      </c>
      <c r="Y985" s="31">
        <v>0</v>
      </c>
      <c r="Z985" s="31">
        <v>0</v>
      </c>
      <c r="AA985" s="31">
        <v>0</v>
      </c>
      <c r="AB985" s="31">
        <v>0</v>
      </c>
      <c r="AC985" s="31">
        <f>ROUND((E985+F985+G985+H985+I985+J985)*1.5%,2)</f>
        <v>9662.9500000000007</v>
      </c>
      <c r="AD985" s="31">
        <v>0</v>
      </c>
      <c r="AE985" s="31">
        <v>0</v>
      </c>
      <c r="AF985" s="34" t="s">
        <v>271</v>
      </c>
      <c r="AG985" s="34">
        <v>2021</v>
      </c>
      <c r="AH985" s="34">
        <v>2021</v>
      </c>
      <c r="AT985" s="20" t="e">
        <f t="shared" si="239"/>
        <v>#N/A</v>
      </c>
      <c r="BZ985" s="71"/>
      <c r="CD985" s="20" t="e">
        <f t="shared" si="237"/>
        <v>#N/A</v>
      </c>
    </row>
    <row r="986" spans="1:82" ht="61.5" x14ac:dyDescent="0.85">
      <c r="A986" s="20">
        <v>1</v>
      </c>
      <c r="B986" s="66">
        <f>SUBTOTAL(103,$A$560:A986)</f>
        <v>372</v>
      </c>
      <c r="C986" s="211" t="s">
        <v>1581</v>
      </c>
      <c r="D986" s="31">
        <f t="shared" ref="D986:D987" si="246">E986+F986+G986+H986+I986+J986+L986+N986+P986+R986+T986+U986+V986+W986+X986+Y986+Z986+AA986+AB986+AC986+AD986+AE986</f>
        <v>574655</v>
      </c>
      <c r="E986" s="31">
        <v>0</v>
      </c>
      <c r="F986" s="31">
        <v>0</v>
      </c>
      <c r="G986" s="31">
        <f>580000-13837.44</f>
        <v>566162.56000000006</v>
      </c>
      <c r="H986" s="31">
        <v>0</v>
      </c>
      <c r="I986" s="31">
        <v>0</v>
      </c>
      <c r="J986" s="31">
        <v>0</v>
      </c>
      <c r="K986" s="33">
        <v>0</v>
      </c>
      <c r="L986" s="31">
        <v>0</v>
      </c>
      <c r="M986" s="31">
        <v>0</v>
      </c>
      <c r="N986" s="31">
        <v>0</v>
      </c>
      <c r="O986" s="31">
        <v>0</v>
      </c>
      <c r="P986" s="31">
        <v>0</v>
      </c>
      <c r="Q986" s="31">
        <v>0</v>
      </c>
      <c r="R986" s="31">
        <v>0</v>
      </c>
      <c r="S986" s="31">
        <v>0</v>
      </c>
      <c r="T986" s="31">
        <v>0</v>
      </c>
      <c r="U986" s="31">
        <v>0</v>
      </c>
      <c r="V986" s="31">
        <v>0</v>
      </c>
      <c r="W986" s="31">
        <v>0</v>
      </c>
      <c r="X986" s="31">
        <v>0</v>
      </c>
      <c r="Y986" s="31">
        <v>0</v>
      </c>
      <c r="Z986" s="31">
        <v>0</v>
      </c>
      <c r="AA986" s="31">
        <v>0</v>
      </c>
      <c r="AB986" s="31">
        <v>0</v>
      </c>
      <c r="AC986" s="31">
        <f t="shared" ref="AC986:AC987" si="247">ROUND((E986+F986+G986+H986+I986+J986)*1.5%,2)</f>
        <v>8492.44</v>
      </c>
      <c r="AD986" s="31">
        <v>0</v>
      </c>
      <c r="AE986" s="31">
        <v>0</v>
      </c>
      <c r="AF986" s="34" t="s">
        <v>271</v>
      </c>
      <c r="AG986" s="34">
        <v>2021</v>
      </c>
      <c r="AH986" s="34">
        <v>2021</v>
      </c>
      <c r="BZ986" s="71"/>
      <c r="CD986" s="20" t="e">
        <f t="shared" si="237"/>
        <v>#N/A</v>
      </c>
    </row>
    <row r="987" spans="1:82" ht="61.5" x14ac:dyDescent="0.85">
      <c r="A987" s="20">
        <v>1</v>
      </c>
      <c r="B987" s="66">
        <f>SUBTOTAL(103,$A$560:A987)</f>
        <v>373</v>
      </c>
      <c r="C987" s="211" t="s">
        <v>1582</v>
      </c>
      <c r="D987" s="31">
        <f t="shared" si="246"/>
        <v>659734.99</v>
      </c>
      <c r="E987" s="31">
        <v>0</v>
      </c>
      <c r="F987" s="31">
        <v>0</v>
      </c>
      <c r="G987" s="31">
        <v>649985.21</v>
      </c>
      <c r="H987" s="31">
        <v>0</v>
      </c>
      <c r="I987" s="31">
        <v>0</v>
      </c>
      <c r="J987" s="31">
        <v>0</v>
      </c>
      <c r="K987" s="33">
        <v>0</v>
      </c>
      <c r="L987" s="31">
        <v>0</v>
      </c>
      <c r="M987" s="31">
        <v>0</v>
      </c>
      <c r="N987" s="31">
        <v>0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31">
        <v>0</v>
      </c>
      <c r="U987" s="31">
        <v>0</v>
      </c>
      <c r="V987" s="31">
        <v>0</v>
      </c>
      <c r="W987" s="31">
        <v>0</v>
      </c>
      <c r="X987" s="31">
        <v>0</v>
      </c>
      <c r="Y987" s="31">
        <v>0</v>
      </c>
      <c r="Z987" s="31">
        <v>0</v>
      </c>
      <c r="AA987" s="31">
        <v>0</v>
      </c>
      <c r="AB987" s="31">
        <v>0</v>
      </c>
      <c r="AC987" s="31">
        <f t="shared" si="247"/>
        <v>9749.7800000000007</v>
      </c>
      <c r="AD987" s="31">
        <v>0</v>
      </c>
      <c r="AE987" s="31">
        <v>0</v>
      </c>
      <c r="AF987" s="34" t="s">
        <v>271</v>
      </c>
      <c r="AG987" s="34">
        <v>2021</v>
      </c>
      <c r="AH987" s="34">
        <v>2021</v>
      </c>
      <c r="BZ987" s="71"/>
      <c r="CD987" s="20" t="e">
        <f t="shared" si="237"/>
        <v>#N/A</v>
      </c>
    </row>
    <row r="988" spans="1:82" ht="61.5" x14ac:dyDescent="0.85">
      <c r="B988" s="24" t="s">
        <v>876</v>
      </c>
      <c r="C988" s="24"/>
      <c r="D988" s="31">
        <f>D989</f>
        <v>3498600</v>
      </c>
      <c r="E988" s="31">
        <f t="shared" ref="E988:AE988" si="248">E989</f>
        <v>0</v>
      </c>
      <c r="F988" s="31">
        <f t="shared" si="248"/>
        <v>0</v>
      </c>
      <c r="G988" s="31">
        <f t="shared" si="248"/>
        <v>0</v>
      </c>
      <c r="H988" s="31">
        <f t="shared" si="248"/>
        <v>0</v>
      </c>
      <c r="I988" s="31">
        <f t="shared" si="248"/>
        <v>0</v>
      </c>
      <c r="J988" s="31">
        <f t="shared" si="248"/>
        <v>0</v>
      </c>
      <c r="K988" s="33">
        <f t="shared" si="248"/>
        <v>0</v>
      </c>
      <c r="L988" s="31">
        <f t="shared" si="248"/>
        <v>0</v>
      </c>
      <c r="M988" s="31">
        <f t="shared" si="248"/>
        <v>686</v>
      </c>
      <c r="N988" s="31">
        <f t="shared" si="248"/>
        <v>3299113.3</v>
      </c>
      <c r="O988" s="31">
        <f t="shared" si="248"/>
        <v>0</v>
      </c>
      <c r="P988" s="31">
        <f t="shared" si="248"/>
        <v>0</v>
      </c>
      <c r="Q988" s="31">
        <f t="shared" si="248"/>
        <v>0</v>
      </c>
      <c r="R988" s="31">
        <f t="shared" si="248"/>
        <v>0</v>
      </c>
      <c r="S988" s="31">
        <f t="shared" si="248"/>
        <v>0</v>
      </c>
      <c r="T988" s="31">
        <f t="shared" si="248"/>
        <v>0</v>
      </c>
      <c r="U988" s="31">
        <f t="shared" si="248"/>
        <v>0</v>
      </c>
      <c r="V988" s="31">
        <f t="shared" si="248"/>
        <v>0</v>
      </c>
      <c r="W988" s="31">
        <f t="shared" si="248"/>
        <v>0</v>
      </c>
      <c r="X988" s="31">
        <f t="shared" si="248"/>
        <v>0</v>
      </c>
      <c r="Y988" s="31">
        <f t="shared" si="248"/>
        <v>0</v>
      </c>
      <c r="Z988" s="31">
        <f t="shared" si="248"/>
        <v>0</v>
      </c>
      <c r="AA988" s="31">
        <f t="shared" si="248"/>
        <v>0</v>
      </c>
      <c r="AB988" s="31">
        <f t="shared" si="248"/>
        <v>0</v>
      </c>
      <c r="AC988" s="31">
        <f t="shared" si="248"/>
        <v>49486.7</v>
      </c>
      <c r="AD988" s="31">
        <f t="shared" si="248"/>
        <v>150000</v>
      </c>
      <c r="AE988" s="31">
        <f t="shared" si="248"/>
        <v>0</v>
      </c>
      <c r="AF988" s="72" t="s">
        <v>764</v>
      </c>
      <c r="AG988" s="72" t="s">
        <v>764</v>
      </c>
      <c r="AH988" s="87" t="s">
        <v>764</v>
      </c>
      <c r="AT988" s="20" t="e">
        <f t="shared" ref="AT988:AT1000" si="249">VLOOKUP(C988,AW:AX,2,FALSE)</f>
        <v>#N/A</v>
      </c>
      <c r="BZ988" s="71">
        <v>3498600</v>
      </c>
      <c r="CD988" s="20" t="e">
        <f t="shared" si="237"/>
        <v>#N/A</v>
      </c>
    </row>
    <row r="989" spans="1:82" ht="61.5" x14ac:dyDescent="0.85">
      <c r="A989" s="20">
        <v>1</v>
      </c>
      <c r="B989" s="66">
        <f>SUBTOTAL(103,$A$560:A989)</f>
        <v>374</v>
      </c>
      <c r="C989" s="24" t="s">
        <v>226</v>
      </c>
      <c r="D989" s="31">
        <f>E989+F989+G989+H989+I989+J989+L989+N989+P989+R989+T989+U989+V989+W989+X989+Y989+Z989+AA989+AB989+AC989+AD989+AE989</f>
        <v>3498600</v>
      </c>
      <c r="E989" s="31">
        <v>0</v>
      </c>
      <c r="F989" s="31">
        <v>0</v>
      </c>
      <c r="G989" s="31">
        <v>0</v>
      </c>
      <c r="H989" s="31">
        <v>0</v>
      </c>
      <c r="I989" s="31">
        <v>0</v>
      </c>
      <c r="J989" s="31">
        <v>0</v>
      </c>
      <c r="K989" s="33">
        <v>0</v>
      </c>
      <c r="L989" s="31">
        <v>0</v>
      </c>
      <c r="M989" s="31">
        <v>686</v>
      </c>
      <c r="N989" s="31">
        <v>3299113.3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31">
        <v>0</v>
      </c>
      <c r="U989" s="31">
        <v>0</v>
      </c>
      <c r="V989" s="31">
        <v>0</v>
      </c>
      <c r="W989" s="31">
        <v>0</v>
      </c>
      <c r="X989" s="31">
        <v>0</v>
      </c>
      <c r="Y989" s="31">
        <v>0</v>
      </c>
      <c r="Z989" s="31">
        <v>0</v>
      </c>
      <c r="AA989" s="31">
        <v>0</v>
      </c>
      <c r="AB989" s="31">
        <v>0</v>
      </c>
      <c r="AC989" s="31">
        <f>ROUND(N989*1.5%,2)</f>
        <v>49486.7</v>
      </c>
      <c r="AD989" s="31">
        <v>150000</v>
      </c>
      <c r="AE989" s="31">
        <v>0</v>
      </c>
      <c r="AF989" s="34">
        <v>2021</v>
      </c>
      <c r="AG989" s="34">
        <v>2021</v>
      </c>
      <c r="AH989" s="35">
        <v>2021</v>
      </c>
      <c r="AT989" s="20" t="e">
        <f t="shared" si="249"/>
        <v>#N/A</v>
      </c>
      <c r="BZ989" s="71"/>
      <c r="CD989" s="20" t="e">
        <f t="shared" si="237"/>
        <v>#N/A</v>
      </c>
    </row>
    <row r="990" spans="1:82" ht="61.5" x14ac:dyDescent="0.85">
      <c r="B990" s="24" t="s">
        <v>878</v>
      </c>
      <c r="C990" s="24"/>
      <c r="D990" s="31">
        <f>D991</f>
        <v>3451696.55</v>
      </c>
      <c r="E990" s="31">
        <f t="shared" ref="E990:AE990" si="250">E991</f>
        <v>0</v>
      </c>
      <c r="F990" s="31">
        <f t="shared" si="250"/>
        <v>0</v>
      </c>
      <c r="G990" s="31">
        <f t="shared" si="250"/>
        <v>0</v>
      </c>
      <c r="H990" s="31">
        <f t="shared" si="250"/>
        <v>0</v>
      </c>
      <c r="I990" s="31">
        <f t="shared" si="250"/>
        <v>0</v>
      </c>
      <c r="J990" s="31">
        <f t="shared" si="250"/>
        <v>0</v>
      </c>
      <c r="K990" s="33">
        <f t="shared" si="250"/>
        <v>0</v>
      </c>
      <c r="L990" s="31">
        <f t="shared" si="250"/>
        <v>0</v>
      </c>
      <c r="M990" s="31">
        <f t="shared" si="250"/>
        <v>633.4</v>
      </c>
      <c r="N990" s="31">
        <f t="shared" si="250"/>
        <v>3252903</v>
      </c>
      <c r="O990" s="31">
        <f t="shared" si="250"/>
        <v>0</v>
      </c>
      <c r="P990" s="31">
        <f t="shared" si="250"/>
        <v>0</v>
      </c>
      <c r="Q990" s="31">
        <f t="shared" si="250"/>
        <v>0</v>
      </c>
      <c r="R990" s="31">
        <f t="shared" si="250"/>
        <v>0</v>
      </c>
      <c r="S990" s="31">
        <f t="shared" si="250"/>
        <v>0</v>
      </c>
      <c r="T990" s="31">
        <f t="shared" si="250"/>
        <v>0</v>
      </c>
      <c r="U990" s="31">
        <f t="shared" si="250"/>
        <v>0</v>
      </c>
      <c r="V990" s="31">
        <f t="shared" si="250"/>
        <v>0</v>
      </c>
      <c r="W990" s="31">
        <f t="shared" si="250"/>
        <v>0</v>
      </c>
      <c r="X990" s="31">
        <f t="shared" si="250"/>
        <v>0</v>
      </c>
      <c r="Y990" s="31">
        <f t="shared" si="250"/>
        <v>0</v>
      </c>
      <c r="Z990" s="31">
        <f t="shared" si="250"/>
        <v>0</v>
      </c>
      <c r="AA990" s="31">
        <f t="shared" si="250"/>
        <v>0</v>
      </c>
      <c r="AB990" s="31">
        <f t="shared" si="250"/>
        <v>0</v>
      </c>
      <c r="AC990" s="31">
        <f t="shared" si="250"/>
        <v>48793.55</v>
      </c>
      <c r="AD990" s="31">
        <f t="shared" si="250"/>
        <v>150000</v>
      </c>
      <c r="AE990" s="31">
        <f t="shared" si="250"/>
        <v>0</v>
      </c>
      <c r="AF990" s="72" t="s">
        <v>764</v>
      </c>
      <c r="AG990" s="72" t="s">
        <v>764</v>
      </c>
      <c r="AH990" s="87" t="s">
        <v>764</v>
      </c>
      <c r="AT990" s="20" t="e">
        <f t="shared" si="249"/>
        <v>#N/A</v>
      </c>
      <c r="BZ990" s="71">
        <v>3230340</v>
      </c>
      <c r="CD990" s="20" t="e">
        <f t="shared" si="237"/>
        <v>#N/A</v>
      </c>
    </row>
    <row r="991" spans="1:82" ht="61.5" x14ac:dyDescent="0.85">
      <c r="A991" s="20">
        <v>1</v>
      </c>
      <c r="B991" s="66">
        <f>SUBTOTAL(103,$A$560:A991)</f>
        <v>375</v>
      </c>
      <c r="C991" s="24" t="s">
        <v>220</v>
      </c>
      <c r="D991" s="31">
        <f>E991+F991+G991+H991+I991+J991+L991+N991+P991+R991+T991+U991+V991+W991+X991+Y991+Z991+AA991+AB991+AC991+AD991+AE991</f>
        <v>3451696.55</v>
      </c>
      <c r="E991" s="31">
        <v>0</v>
      </c>
      <c r="F991" s="31">
        <v>0</v>
      </c>
      <c r="G991" s="31">
        <v>0</v>
      </c>
      <c r="H991" s="31">
        <v>0</v>
      </c>
      <c r="I991" s="31">
        <v>0</v>
      </c>
      <c r="J991" s="31">
        <v>0</v>
      </c>
      <c r="K991" s="33">
        <v>0</v>
      </c>
      <c r="L991" s="31">
        <v>0</v>
      </c>
      <c r="M991" s="31">
        <v>633.4</v>
      </c>
      <c r="N991" s="31">
        <f>3034817.73+218085.27</f>
        <v>3252903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1">
        <v>0</v>
      </c>
      <c r="Y991" s="31">
        <v>0</v>
      </c>
      <c r="Z991" s="31">
        <v>0</v>
      </c>
      <c r="AA991" s="31">
        <v>0</v>
      </c>
      <c r="AB991" s="31">
        <v>0</v>
      </c>
      <c r="AC991" s="31">
        <f>ROUND(N991*1.5%,2)</f>
        <v>48793.55</v>
      </c>
      <c r="AD991" s="31">
        <v>150000</v>
      </c>
      <c r="AE991" s="31">
        <v>0</v>
      </c>
      <c r="AF991" s="34">
        <v>2021</v>
      </c>
      <c r="AG991" s="34">
        <v>2021</v>
      </c>
      <c r="AH991" s="35">
        <v>2021</v>
      </c>
      <c r="AT991" s="20" t="e">
        <f t="shared" si="249"/>
        <v>#N/A</v>
      </c>
      <c r="BZ991" s="71"/>
      <c r="CD991" s="20" t="e">
        <f t="shared" si="237"/>
        <v>#N/A</v>
      </c>
    </row>
    <row r="992" spans="1:82" ht="61.5" x14ac:dyDescent="0.85">
      <c r="B992" s="24" t="s">
        <v>768</v>
      </c>
      <c r="C992" s="111"/>
      <c r="D992" s="31">
        <f t="shared" ref="D992:AE992" si="251">D993+D1055+D1070+D1097+D1109+D1112+D1121+D1124+D1127+D1130+D1132+D1134+D1137+D1139+D1141+D1149+D1152+D1154+D1156+D1158+D1161+D1164+D1166+D1168+D1170+D1177+D1180+D1184+D1187+D1189+D1193+D1195+D1197+D1199+D1201+D1203+D1205+D1209+D1211+D1213+D1215+D1219+D1221+D1223+D1225+D1228+D1231+D1235+D1239+D1242+D1244+D1246+D1249+D1253+D1255+D1257+D1259+D1263</f>
        <v>794968208.19000018</v>
      </c>
      <c r="E992" s="31">
        <f t="shared" si="251"/>
        <v>1015422.23</v>
      </c>
      <c r="F992" s="31">
        <f t="shared" si="251"/>
        <v>2254171.34</v>
      </c>
      <c r="G992" s="31">
        <f t="shared" si="251"/>
        <v>7536629.54</v>
      </c>
      <c r="H992" s="31">
        <f t="shared" si="251"/>
        <v>2087824.54</v>
      </c>
      <c r="I992" s="31">
        <f t="shared" si="251"/>
        <v>4417203.72</v>
      </c>
      <c r="J992" s="31">
        <f t="shared" si="251"/>
        <v>0</v>
      </c>
      <c r="K992" s="33">
        <f t="shared" si="251"/>
        <v>16</v>
      </c>
      <c r="L992" s="31">
        <f t="shared" si="251"/>
        <v>34130593.200000003</v>
      </c>
      <c r="M992" s="31">
        <f t="shared" si="251"/>
        <v>135944.06569241005</v>
      </c>
      <c r="N992" s="31">
        <f t="shared" si="251"/>
        <v>632413898.57999992</v>
      </c>
      <c r="O992" s="31">
        <f t="shared" si="251"/>
        <v>146</v>
      </c>
      <c r="P992" s="31">
        <f t="shared" si="251"/>
        <v>565939.61</v>
      </c>
      <c r="Q992" s="31">
        <f t="shared" si="251"/>
        <v>18706.260000000002</v>
      </c>
      <c r="R992" s="31">
        <f t="shared" si="251"/>
        <v>60973754.149999991</v>
      </c>
      <c r="S992" s="31">
        <f t="shared" si="251"/>
        <v>425.77</v>
      </c>
      <c r="T992" s="31">
        <f t="shared" si="251"/>
        <v>13315659.040000001</v>
      </c>
      <c r="U992" s="31">
        <f t="shared" si="251"/>
        <v>7702861.6199999992</v>
      </c>
      <c r="V992" s="31">
        <f t="shared" si="251"/>
        <v>0</v>
      </c>
      <c r="W992" s="31">
        <f t="shared" si="251"/>
        <v>0</v>
      </c>
      <c r="X992" s="31">
        <f t="shared" si="251"/>
        <v>0</v>
      </c>
      <c r="Y992" s="31">
        <f t="shared" si="251"/>
        <v>0</v>
      </c>
      <c r="Z992" s="31">
        <f t="shared" si="251"/>
        <v>0</v>
      </c>
      <c r="AA992" s="31">
        <f t="shared" si="251"/>
        <v>0</v>
      </c>
      <c r="AB992" s="31">
        <f t="shared" si="251"/>
        <v>0</v>
      </c>
      <c r="AC992" s="31">
        <f t="shared" si="251"/>
        <v>10984250.620000001</v>
      </c>
      <c r="AD992" s="31">
        <f t="shared" si="251"/>
        <v>17210000</v>
      </c>
      <c r="AE992" s="31">
        <f t="shared" si="251"/>
        <v>360000</v>
      </c>
      <c r="AF992" s="343" t="s">
        <v>764</v>
      </c>
      <c r="AG992" s="343" t="s">
        <v>764</v>
      </c>
      <c r="AH992" s="344" t="s">
        <v>764</v>
      </c>
      <c r="AT992" s="20" t="e">
        <f t="shared" si="249"/>
        <v>#N/A</v>
      </c>
      <c r="BZ992" s="71">
        <v>791169161.6500001</v>
      </c>
    </row>
    <row r="993" spans="1:78" ht="61.5" x14ac:dyDescent="0.85">
      <c r="B993" s="24" t="s">
        <v>1105</v>
      </c>
      <c r="C993" s="114"/>
      <c r="D993" s="31">
        <f t="shared" ref="D993:AE993" si="252">SUM(D994:D1054)</f>
        <v>231389035.93000004</v>
      </c>
      <c r="E993" s="31">
        <f t="shared" si="252"/>
        <v>0</v>
      </c>
      <c r="F993" s="31">
        <f t="shared" si="252"/>
        <v>0</v>
      </c>
      <c r="G993" s="31">
        <f t="shared" si="252"/>
        <v>0</v>
      </c>
      <c r="H993" s="31">
        <f t="shared" si="252"/>
        <v>0</v>
      </c>
      <c r="I993" s="31">
        <f t="shared" si="252"/>
        <v>0</v>
      </c>
      <c r="J993" s="31">
        <f t="shared" si="252"/>
        <v>0</v>
      </c>
      <c r="K993" s="33">
        <f t="shared" si="252"/>
        <v>5</v>
      </c>
      <c r="L993" s="31">
        <f t="shared" si="252"/>
        <v>10649559.609999999</v>
      </c>
      <c r="M993" s="31">
        <f t="shared" si="252"/>
        <v>46303.490000000013</v>
      </c>
      <c r="N993" s="31">
        <f t="shared" si="252"/>
        <v>205680985.01999998</v>
      </c>
      <c r="O993" s="31">
        <f t="shared" si="252"/>
        <v>0</v>
      </c>
      <c r="P993" s="31">
        <f t="shared" si="252"/>
        <v>0</v>
      </c>
      <c r="Q993" s="31">
        <f t="shared" si="252"/>
        <v>3361</v>
      </c>
      <c r="R993" s="31">
        <f t="shared" si="252"/>
        <v>11796331.390000001</v>
      </c>
      <c r="S993" s="31">
        <f t="shared" si="252"/>
        <v>0</v>
      </c>
      <c r="T993" s="31">
        <f t="shared" si="252"/>
        <v>0</v>
      </c>
      <c r="U993" s="31">
        <f t="shared" si="252"/>
        <v>0</v>
      </c>
      <c r="V993" s="31">
        <f t="shared" si="252"/>
        <v>0</v>
      </c>
      <c r="W993" s="31">
        <f t="shared" si="252"/>
        <v>0</v>
      </c>
      <c r="X993" s="31">
        <f t="shared" si="252"/>
        <v>0</v>
      </c>
      <c r="Y993" s="31">
        <f t="shared" si="252"/>
        <v>0</v>
      </c>
      <c r="Z993" s="31">
        <f t="shared" si="252"/>
        <v>0</v>
      </c>
      <c r="AA993" s="31">
        <f t="shared" si="252"/>
        <v>0</v>
      </c>
      <c r="AB993" s="31">
        <f t="shared" si="252"/>
        <v>0</v>
      </c>
      <c r="AC993" s="31">
        <f t="shared" si="252"/>
        <v>3262159.91</v>
      </c>
      <c r="AD993" s="31">
        <f t="shared" si="252"/>
        <v>0</v>
      </c>
      <c r="AE993" s="31">
        <f t="shared" si="252"/>
        <v>0</v>
      </c>
      <c r="AF993" s="343" t="s">
        <v>764</v>
      </c>
      <c r="AG993" s="343" t="s">
        <v>764</v>
      </c>
      <c r="AH993" s="344" t="s">
        <v>764</v>
      </c>
      <c r="AT993" s="20" t="e">
        <f t="shared" si="249"/>
        <v>#N/A</v>
      </c>
      <c r="BZ993" s="71">
        <v>216853215.33000001</v>
      </c>
    </row>
    <row r="994" spans="1:78" ht="61.5" x14ac:dyDescent="0.85">
      <c r="A994" s="20">
        <v>1</v>
      </c>
      <c r="B994" s="66">
        <f>SUBTOTAL(103,$A$994:A994)</f>
        <v>1</v>
      </c>
      <c r="C994" s="24" t="s">
        <v>575</v>
      </c>
      <c r="D994" s="31">
        <f t="shared" ref="D994:D1048" si="253">E994+F994+G994+H994+I994+J994+L994+N994+P994+R994+T994+U994+V994+W994+X994+Y994+Z994+AA994+AB994+AC994+AD994+AE994</f>
        <v>3147713.25</v>
      </c>
      <c r="E994" s="31">
        <v>0</v>
      </c>
      <c r="F994" s="31">
        <v>0</v>
      </c>
      <c r="G994" s="31">
        <v>0</v>
      </c>
      <c r="H994" s="31">
        <v>0</v>
      </c>
      <c r="I994" s="31">
        <v>0</v>
      </c>
      <c r="J994" s="31">
        <v>0</v>
      </c>
      <c r="K994" s="33">
        <v>0</v>
      </c>
      <c r="L994" s="31">
        <v>0</v>
      </c>
      <c r="M994" s="31">
        <v>736</v>
      </c>
      <c r="N994" s="31">
        <v>3101195.32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31">
        <v>0</v>
      </c>
      <c r="U994" s="31">
        <v>0</v>
      </c>
      <c r="V994" s="31">
        <v>0</v>
      </c>
      <c r="W994" s="31">
        <v>0</v>
      </c>
      <c r="X994" s="31">
        <v>0</v>
      </c>
      <c r="Y994" s="31">
        <v>0</v>
      </c>
      <c r="Z994" s="31">
        <v>0</v>
      </c>
      <c r="AA994" s="31">
        <v>0</v>
      </c>
      <c r="AB994" s="31">
        <v>0</v>
      </c>
      <c r="AC994" s="31">
        <v>46517.93</v>
      </c>
      <c r="AD994" s="31">
        <v>0</v>
      </c>
      <c r="AE994" s="31">
        <v>0</v>
      </c>
      <c r="AF994" s="345" t="s">
        <v>271</v>
      </c>
      <c r="AG994" s="345">
        <v>2022</v>
      </c>
      <c r="AH994" s="346">
        <v>2022</v>
      </c>
      <c r="AT994" s="20" t="e">
        <f t="shared" si="249"/>
        <v>#N/A</v>
      </c>
      <c r="BZ994" s="71"/>
    </row>
    <row r="995" spans="1:78" ht="61.5" x14ac:dyDescent="0.85">
      <c r="A995" s="20">
        <v>1</v>
      </c>
      <c r="B995" s="66">
        <f>SUBTOTAL(103,$A$994:A995)</f>
        <v>2</v>
      </c>
      <c r="C995" s="24" t="s">
        <v>576</v>
      </c>
      <c r="D995" s="31">
        <f t="shared" si="253"/>
        <v>1023224.5700000001</v>
      </c>
      <c r="E995" s="31">
        <v>0</v>
      </c>
      <c r="F995" s="31">
        <v>0</v>
      </c>
      <c r="G995" s="31">
        <v>0</v>
      </c>
      <c r="H995" s="31">
        <v>0</v>
      </c>
      <c r="I995" s="31">
        <v>0</v>
      </c>
      <c r="J995" s="31">
        <v>0</v>
      </c>
      <c r="K995" s="33">
        <v>0</v>
      </c>
      <c r="L995" s="31">
        <v>0</v>
      </c>
      <c r="M995" s="31">
        <v>230</v>
      </c>
      <c r="N995" s="31">
        <v>1008103.02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0</v>
      </c>
      <c r="U995" s="31">
        <v>0</v>
      </c>
      <c r="V995" s="31">
        <v>0</v>
      </c>
      <c r="W995" s="31">
        <v>0</v>
      </c>
      <c r="X995" s="31">
        <v>0</v>
      </c>
      <c r="Y995" s="31">
        <v>0</v>
      </c>
      <c r="Z995" s="31">
        <v>0</v>
      </c>
      <c r="AA995" s="31">
        <v>0</v>
      </c>
      <c r="AB995" s="31">
        <v>0</v>
      </c>
      <c r="AC995" s="31">
        <v>15121.55</v>
      </c>
      <c r="AD995" s="31">
        <v>0</v>
      </c>
      <c r="AE995" s="31">
        <v>0</v>
      </c>
      <c r="AF995" s="345" t="s">
        <v>271</v>
      </c>
      <c r="AG995" s="345">
        <v>2022</v>
      </c>
      <c r="AH995" s="346">
        <v>2022</v>
      </c>
      <c r="AT995" s="20" t="e">
        <f t="shared" si="249"/>
        <v>#N/A</v>
      </c>
      <c r="BZ995" s="71"/>
    </row>
    <row r="996" spans="1:78" ht="61.5" x14ac:dyDescent="0.85">
      <c r="A996" s="20">
        <v>1</v>
      </c>
      <c r="B996" s="66">
        <f>SUBTOTAL(103,$A$994:A996)</f>
        <v>3</v>
      </c>
      <c r="C996" s="24" t="s">
        <v>1082</v>
      </c>
      <c r="D996" s="31">
        <f t="shared" si="253"/>
        <v>2100000</v>
      </c>
      <c r="E996" s="31">
        <v>0</v>
      </c>
      <c r="F996" s="31">
        <v>0</v>
      </c>
      <c r="G996" s="31">
        <v>0</v>
      </c>
      <c r="H996" s="31">
        <v>0</v>
      </c>
      <c r="I996" s="31">
        <v>0</v>
      </c>
      <c r="J996" s="31">
        <v>0</v>
      </c>
      <c r="K996" s="33">
        <v>0</v>
      </c>
      <c r="L996" s="31">
        <v>0</v>
      </c>
      <c r="M996" s="31">
        <v>412</v>
      </c>
      <c r="N996" s="31">
        <v>2068965.52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1">
        <v>0</v>
      </c>
      <c r="X996" s="31">
        <v>0</v>
      </c>
      <c r="Y996" s="31">
        <v>0</v>
      </c>
      <c r="Z996" s="31">
        <v>0</v>
      </c>
      <c r="AA996" s="31">
        <v>0</v>
      </c>
      <c r="AB996" s="31">
        <v>0</v>
      </c>
      <c r="AC996" s="31">
        <v>31034.48</v>
      </c>
      <c r="AD996" s="31">
        <v>0</v>
      </c>
      <c r="AE996" s="31">
        <v>0</v>
      </c>
      <c r="AF996" s="345" t="s">
        <v>271</v>
      </c>
      <c r="AG996" s="345">
        <v>2022</v>
      </c>
      <c r="AH996" s="346">
        <v>2022</v>
      </c>
      <c r="AT996" s="20" t="e">
        <f t="shared" si="249"/>
        <v>#N/A</v>
      </c>
      <c r="BZ996" s="71"/>
    </row>
    <row r="997" spans="1:78" ht="61.5" x14ac:dyDescent="0.85">
      <c r="A997" s="20">
        <v>1</v>
      </c>
      <c r="B997" s="66">
        <f>SUBTOTAL(103,$A$994:A997)</f>
        <v>4</v>
      </c>
      <c r="C997" s="24" t="s">
        <v>577</v>
      </c>
      <c r="D997" s="31">
        <f t="shared" si="253"/>
        <v>3183875.94</v>
      </c>
      <c r="E997" s="31">
        <v>0</v>
      </c>
      <c r="F997" s="31">
        <v>0</v>
      </c>
      <c r="G997" s="31">
        <v>0</v>
      </c>
      <c r="H997" s="31">
        <v>0</v>
      </c>
      <c r="I997" s="31">
        <v>0</v>
      </c>
      <c r="J997" s="31">
        <v>0</v>
      </c>
      <c r="K997" s="33">
        <v>0</v>
      </c>
      <c r="L997" s="31">
        <v>0</v>
      </c>
      <c r="M997" s="31">
        <v>722</v>
      </c>
      <c r="N997" s="31">
        <v>3136823.59</v>
      </c>
      <c r="O997" s="31">
        <v>0</v>
      </c>
      <c r="P997" s="31">
        <v>0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1">
        <v>0</v>
      </c>
      <c r="Z997" s="31">
        <v>0</v>
      </c>
      <c r="AA997" s="31">
        <v>0</v>
      </c>
      <c r="AB997" s="31">
        <v>0</v>
      </c>
      <c r="AC997" s="31">
        <v>47052.35</v>
      </c>
      <c r="AD997" s="31">
        <v>0</v>
      </c>
      <c r="AE997" s="31">
        <v>0</v>
      </c>
      <c r="AF997" s="345" t="s">
        <v>271</v>
      </c>
      <c r="AG997" s="345">
        <v>2022</v>
      </c>
      <c r="AH997" s="346">
        <v>2022</v>
      </c>
      <c r="AT997" s="20" t="e">
        <f t="shared" si="249"/>
        <v>#N/A</v>
      </c>
      <c r="BZ997" s="71"/>
    </row>
    <row r="998" spans="1:78" ht="61.5" x14ac:dyDescent="0.85">
      <c r="A998" s="20">
        <v>1</v>
      </c>
      <c r="B998" s="66">
        <f>SUBTOTAL(103,$A$994:A998)</f>
        <v>5</v>
      </c>
      <c r="C998" s="24" t="s">
        <v>578</v>
      </c>
      <c r="D998" s="31">
        <f t="shared" si="253"/>
        <v>5391207.6599999992</v>
      </c>
      <c r="E998" s="31">
        <v>0</v>
      </c>
      <c r="F998" s="31">
        <v>0</v>
      </c>
      <c r="G998" s="31">
        <v>0</v>
      </c>
      <c r="H998" s="31">
        <v>0</v>
      </c>
      <c r="I998" s="31">
        <v>0</v>
      </c>
      <c r="J998" s="31">
        <v>0</v>
      </c>
      <c r="K998" s="33">
        <v>0</v>
      </c>
      <c r="L998" s="31">
        <v>0</v>
      </c>
      <c r="M998" s="31">
        <v>1200</v>
      </c>
      <c r="N998" s="31">
        <v>5311534.6399999997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31">
        <v>0</v>
      </c>
      <c r="U998" s="31">
        <v>0</v>
      </c>
      <c r="V998" s="31">
        <v>0</v>
      </c>
      <c r="W998" s="31">
        <v>0</v>
      </c>
      <c r="X998" s="31">
        <v>0</v>
      </c>
      <c r="Y998" s="31">
        <v>0</v>
      </c>
      <c r="Z998" s="31">
        <v>0</v>
      </c>
      <c r="AA998" s="31">
        <v>0</v>
      </c>
      <c r="AB998" s="31">
        <v>0</v>
      </c>
      <c r="AC998" s="31">
        <v>79673.02</v>
      </c>
      <c r="AD998" s="31">
        <v>0</v>
      </c>
      <c r="AE998" s="31">
        <v>0</v>
      </c>
      <c r="AF998" s="345" t="s">
        <v>271</v>
      </c>
      <c r="AG998" s="345">
        <v>2022</v>
      </c>
      <c r="AH998" s="346">
        <v>2022</v>
      </c>
      <c r="AT998" s="20" t="e">
        <f t="shared" si="249"/>
        <v>#N/A</v>
      </c>
      <c r="BZ998" s="71"/>
    </row>
    <row r="999" spans="1:78" ht="61.5" x14ac:dyDescent="0.85">
      <c r="A999" s="20">
        <v>1</v>
      </c>
      <c r="B999" s="66">
        <f>SUBTOTAL(103,$A$994:A999)</f>
        <v>6</v>
      </c>
      <c r="C999" s="24" t="s">
        <v>579</v>
      </c>
      <c r="D999" s="31">
        <f t="shared" si="253"/>
        <v>1896320.0799999998</v>
      </c>
      <c r="E999" s="31">
        <v>0</v>
      </c>
      <c r="F999" s="31">
        <v>0</v>
      </c>
      <c r="G999" s="31">
        <v>0</v>
      </c>
      <c r="H999" s="31">
        <v>0</v>
      </c>
      <c r="I999" s="31">
        <v>0</v>
      </c>
      <c r="J999" s="31">
        <v>0</v>
      </c>
      <c r="K999" s="33">
        <v>0</v>
      </c>
      <c r="L999" s="31">
        <v>0</v>
      </c>
      <c r="M999" s="31">
        <v>420</v>
      </c>
      <c r="N999" s="31">
        <v>1868295.65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31">
        <v>0</v>
      </c>
      <c r="U999" s="31">
        <v>0</v>
      </c>
      <c r="V999" s="31">
        <v>0</v>
      </c>
      <c r="W999" s="31">
        <v>0</v>
      </c>
      <c r="X999" s="31">
        <v>0</v>
      </c>
      <c r="Y999" s="31">
        <v>0</v>
      </c>
      <c r="Z999" s="31">
        <v>0</v>
      </c>
      <c r="AA999" s="31">
        <v>0</v>
      </c>
      <c r="AB999" s="31">
        <v>0</v>
      </c>
      <c r="AC999" s="31">
        <v>28024.43</v>
      </c>
      <c r="AD999" s="31">
        <v>0</v>
      </c>
      <c r="AE999" s="31">
        <v>0</v>
      </c>
      <c r="AF999" s="345" t="s">
        <v>271</v>
      </c>
      <c r="AG999" s="345">
        <v>2022</v>
      </c>
      <c r="AH999" s="346">
        <v>2022</v>
      </c>
      <c r="AT999" s="20" t="e">
        <f t="shared" si="249"/>
        <v>#N/A</v>
      </c>
      <c r="BZ999" s="71"/>
    </row>
    <row r="1000" spans="1:78" ht="61.5" x14ac:dyDescent="0.85">
      <c r="A1000" s="20">
        <v>1</v>
      </c>
      <c r="B1000" s="66">
        <f>SUBTOTAL(103,$A$994:A1000)</f>
        <v>7</v>
      </c>
      <c r="C1000" s="24" t="s">
        <v>580</v>
      </c>
      <c r="D1000" s="31">
        <f t="shared" si="253"/>
        <v>2718609.5</v>
      </c>
      <c r="E1000" s="31">
        <v>0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3">
        <v>0</v>
      </c>
      <c r="L1000" s="31">
        <v>0</v>
      </c>
      <c r="M1000" s="31">
        <v>593</v>
      </c>
      <c r="N1000" s="31">
        <v>2678433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1">
        <v>0</v>
      </c>
      <c r="X1000" s="31">
        <v>0</v>
      </c>
      <c r="Y1000" s="31">
        <v>0</v>
      </c>
      <c r="Z1000" s="31">
        <v>0</v>
      </c>
      <c r="AA1000" s="31">
        <v>0</v>
      </c>
      <c r="AB1000" s="31">
        <v>0</v>
      </c>
      <c r="AC1000" s="31">
        <v>40176.5</v>
      </c>
      <c r="AD1000" s="31">
        <v>0</v>
      </c>
      <c r="AE1000" s="31">
        <v>0</v>
      </c>
      <c r="AF1000" s="345" t="s">
        <v>271</v>
      </c>
      <c r="AG1000" s="345">
        <v>2022</v>
      </c>
      <c r="AH1000" s="346">
        <v>2022</v>
      </c>
      <c r="AT1000" s="20" t="e">
        <f t="shared" si="249"/>
        <v>#N/A</v>
      </c>
      <c r="BZ1000" s="71"/>
    </row>
    <row r="1001" spans="1:78" ht="61.5" x14ac:dyDescent="0.85">
      <c r="A1001" s="20">
        <v>1</v>
      </c>
      <c r="B1001" s="66">
        <f>SUBTOTAL(103,$A$994:A1001)</f>
        <v>8</v>
      </c>
      <c r="C1001" s="24" t="s">
        <v>1652</v>
      </c>
      <c r="D1001" s="31">
        <f t="shared" si="253"/>
        <v>2863861.07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3">
        <v>0</v>
      </c>
      <c r="L1001" s="31">
        <v>0</v>
      </c>
      <c r="M1001" s="31">
        <v>559</v>
      </c>
      <c r="N1001" s="31">
        <v>2821538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1">
        <v>0</v>
      </c>
      <c r="X1001" s="31">
        <v>0</v>
      </c>
      <c r="Y1001" s="31">
        <v>0</v>
      </c>
      <c r="Z1001" s="31">
        <v>0</v>
      </c>
      <c r="AA1001" s="31">
        <v>0</v>
      </c>
      <c r="AB1001" s="31">
        <v>0</v>
      </c>
      <c r="AC1001" s="31">
        <v>42323.07</v>
      </c>
      <c r="AD1001" s="31">
        <v>0</v>
      </c>
      <c r="AE1001" s="31">
        <v>0</v>
      </c>
      <c r="AF1001" s="345" t="s">
        <v>271</v>
      </c>
      <c r="AG1001" s="345">
        <v>2022</v>
      </c>
      <c r="AH1001" s="346">
        <v>2022</v>
      </c>
      <c r="BZ1001" s="71"/>
    </row>
    <row r="1002" spans="1:78" ht="61.5" x14ac:dyDescent="0.85">
      <c r="A1002" s="20">
        <v>1</v>
      </c>
      <c r="B1002" s="66">
        <f>SUBTOTAL(103,$A$994:A1002)</f>
        <v>9</v>
      </c>
      <c r="C1002" s="24" t="s">
        <v>581</v>
      </c>
      <c r="D1002" s="31">
        <f t="shared" si="253"/>
        <v>3653990.26</v>
      </c>
      <c r="E1002" s="31">
        <v>0</v>
      </c>
      <c r="F1002" s="31">
        <v>0</v>
      </c>
      <c r="G1002" s="31">
        <v>0</v>
      </c>
      <c r="H1002" s="31">
        <v>0</v>
      </c>
      <c r="I1002" s="31">
        <v>0</v>
      </c>
      <c r="J1002" s="31">
        <v>0</v>
      </c>
      <c r="K1002" s="33">
        <v>0</v>
      </c>
      <c r="L1002" s="31">
        <v>0</v>
      </c>
      <c r="M1002" s="31">
        <v>794</v>
      </c>
      <c r="N1002" s="31">
        <v>3599990.4</v>
      </c>
      <c r="O1002" s="31">
        <v>0</v>
      </c>
      <c r="P1002" s="31">
        <v>0</v>
      </c>
      <c r="Q1002" s="31">
        <v>0</v>
      </c>
      <c r="R1002" s="31">
        <v>0</v>
      </c>
      <c r="S1002" s="31">
        <v>0</v>
      </c>
      <c r="T1002" s="31">
        <v>0</v>
      </c>
      <c r="U1002" s="31">
        <v>0</v>
      </c>
      <c r="V1002" s="31">
        <v>0</v>
      </c>
      <c r="W1002" s="31">
        <v>0</v>
      </c>
      <c r="X1002" s="31">
        <v>0</v>
      </c>
      <c r="Y1002" s="31">
        <v>0</v>
      </c>
      <c r="Z1002" s="31">
        <v>0</v>
      </c>
      <c r="AA1002" s="31">
        <v>0</v>
      </c>
      <c r="AB1002" s="31">
        <v>0</v>
      </c>
      <c r="AC1002" s="31">
        <v>53999.86</v>
      </c>
      <c r="AD1002" s="31">
        <v>0</v>
      </c>
      <c r="AE1002" s="31">
        <v>0</v>
      </c>
      <c r="AF1002" s="345" t="s">
        <v>271</v>
      </c>
      <c r="AG1002" s="345">
        <v>2022</v>
      </c>
      <c r="AH1002" s="346">
        <v>2022</v>
      </c>
      <c r="AT1002" s="20" t="e">
        <f>VLOOKUP(C1002,AW:AX,2,FALSE)</f>
        <v>#N/A</v>
      </c>
      <c r="BZ1002" s="71"/>
    </row>
    <row r="1003" spans="1:78" ht="61.5" x14ac:dyDescent="0.85">
      <c r="A1003" s="20">
        <v>1</v>
      </c>
      <c r="B1003" s="66">
        <f>SUBTOTAL(103,$A$994:A1003)</f>
        <v>10</v>
      </c>
      <c r="C1003" s="24" t="s">
        <v>1653</v>
      </c>
      <c r="D1003" s="31">
        <f t="shared" si="253"/>
        <v>5582500</v>
      </c>
      <c r="E1003" s="31">
        <v>0</v>
      </c>
      <c r="F1003" s="31">
        <v>0</v>
      </c>
      <c r="G1003" s="31">
        <v>0</v>
      </c>
      <c r="H1003" s="31">
        <v>0</v>
      </c>
      <c r="I1003" s="31">
        <v>0</v>
      </c>
      <c r="J1003" s="31">
        <v>0</v>
      </c>
      <c r="K1003" s="33">
        <v>0</v>
      </c>
      <c r="L1003" s="31">
        <v>0</v>
      </c>
      <c r="M1003" s="31">
        <v>1338</v>
      </c>
      <c r="N1003" s="31">
        <v>5500000</v>
      </c>
      <c r="O1003" s="31">
        <v>0</v>
      </c>
      <c r="P1003" s="31">
        <v>0</v>
      </c>
      <c r="Q1003" s="31">
        <v>0</v>
      </c>
      <c r="R1003" s="31">
        <v>0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0</v>
      </c>
      <c r="AA1003" s="31">
        <v>0</v>
      </c>
      <c r="AB1003" s="31">
        <v>0</v>
      </c>
      <c r="AC1003" s="31">
        <v>82500</v>
      </c>
      <c r="AD1003" s="31">
        <v>0</v>
      </c>
      <c r="AE1003" s="31">
        <v>0</v>
      </c>
      <c r="AF1003" s="345" t="s">
        <v>271</v>
      </c>
      <c r="AG1003" s="345">
        <v>2022</v>
      </c>
      <c r="AH1003" s="346">
        <v>2022</v>
      </c>
      <c r="BZ1003" s="71"/>
    </row>
    <row r="1004" spans="1:78" ht="61.5" x14ac:dyDescent="0.85">
      <c r="A1004" s="20">
        <v>1</v>
      </c>
      <c r="B1004" s="66">
        <f>SUBTOTAL(103,$A$994:A1004)</f>
        <v>11</v>
      </c>
      <c r="C1004" s="24" t="s">
        <v>582</v>
      </c>
      <c r="D1004" s="31">
        <f t="shared" si="253"/>
        <v>3493332.35</v>
      </c>
      <c r="E1004" s="31">
        <v>0</v>
      </c>
      <c r="F1004" s="31">
        <v>0</v>
      </c>
      <c r="G1004" s="31">
        <v>0</v>
      </c>
      <c r="H1004" s="31">
        <v>0</v>
      </c>
      <c r="I1004" s="31">
        <v>0</v>
      </c>
      <c r="J1004" s="31">
        <v>0</v>
      </c>
      <c r="K1004" s="33">
        <v>0</v>
      </c>
      <c r="L1004" s="31">
        <v>0</v>
      </c>
      <c r="M1004" s="31">
        <v>760.2</v>
      </c>
      <c r="N1004" s="31">
        <v>3441706.75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  <c r="V1004" s="31">
        <v>0</v>
      </c>
      <c r="W1004" s="31">
        <v>0</v>
      </c>
      <c r="X1004" s="31">
        <v>0</v>
      </c>
      <c r="Y1004" s="31">
        <v>0</v>
      </c>
      <c r="Z1004" s="31">
        <v>0</v>
      </c>
      <c r="AA1004" s="31">
        <v>0</v>
      </c>
      <c r="AB1004" s="31">
        <v>0</v>
      </c>
      <c r="AC1004" s="31">
        <v>51625.599999999999</v>
      </c>
      <c r="AD1004" s="31">
        <v>0</v>
      </c>
      <c r="AE1004" s="31">
        <v>0</v>
      </c>
      <c r="AF1004" s="345" t="s">
        <v>271</v>
      </c>
      <c r="AG1004" s="345">
        <v>2022</v>
      </c>
      <c r="AH1004" s="346">
        <v>2022</v>
      </c>
      <c r="AT1004" s="20" t="e">
        <f>VLOOKUP(C1004,AW:AX,2,FALSE)</f>
        <v>#N/A</v>
      </c>
      <c r="BZ1004" s="71"/>
    </row>
    <row r="1005" spans="1:78" ht="61.5" x14ac:dyDescent="0.85">
      <c r="A1005" s="20">
        <v>1</v>
      </c>
      <c r="B1005" s="66">
        <f>SUBTOTAL(103,$A$994:A1005)</f>
        <v>12</v>
      </c>
      <c r="C1005" s="24" t="s">
        <v>583</v>
      </c>
      <c r="D1005" s="31">
        <f t="shared" si="253"/>
        <v>5751539.1200000001</v>
      </c>
      <c r="E1005" s="31">
        <v>0</v>
      </c>
      <c r="F1005" s="31">
        <v>0</v>
      </c>
      <c r="G1005" s="31">
        <v>0</v>
      </c>
      <c r="H1005" s="31">
        <v>0</v>
      </c>
      <c r="I1005" s="31">
        <v>0</v>
      </c>
      <c r="J1005" s="31">
        <v>0</v>
      </c>
      <c r="K1005" s="33">
        <v>0</v>
      </c>
      <c r="L1005" s="31">
        <v>0</v>
      </c>
      <c r="M1005" s="31">
        <v>1260.4000000000001</v>
      </c>
      <c r="N1005" s="31">
        <v>5666541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0</v>
      </c>
      <c r="Y1005" s="31">
        <v>0</v>
      </c>
      <c r="Z1005" s="31">
        <v>0</v>
      </c>
      <c r="AA1005" s="31">
        <v>0</v>
      </c>
      <c r="AB1005" s="31">
        <v>0</v>
      </c>
      <c r="AC1005" s="31">
        <v>84998.12</v>
      </c>
      <c r="AD1005" s="31">
        <v>0</v>
      </c>
      <c r="AE1005" s="31">
        <v>0</v>
      </c>
      <c r="AF1005" s="345" t="s">
        <v>271</v>
      </c>
      <c r="AG1005" s="345">
        <v>2022</v>
      </c>
      <c r="AH1005" s="346">
        <v>2022</v>
      </c>
      <c r="AT1005" s="20" t="e">
        <f>VLOOKUP(C1005,AW:AX,2,FALSE)</f>
        <v>#N/A</v>
      </c>
      <c r="BZ1005" s="71"/>
    </row>
    <row r="1006" spans="1:78" ht="61.5" x14ac:dyDescent="0.85">
      <c r="A1006" s="20">
        <v>1</v>
      </c>
      <c r="B1006" s="66">
        <f>SUBTOTAL(103,$A$994:A1006)</f>
        <v>13</v>
      </c>
      <c r="C1006" s="24" t="s">
        <v>584</v>
      </c>
      <c r="D1006" s="31">
        <f t="shared" si="253"/>
        <v>5350859.32</v>
      </c>
      <c r="E1006" s="31">
        <v>0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3">
        <v>0</v>
      </c>
      <c r="L1006" s="31">
        <v>0</v>
      </c>
      <c r="M1006" s="31">
        <v>1151</v>
      </c>
      <c r="N1006" s="31">
        <v>5271782.58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1">
        <v>0</v>
      </c>
      <c r="X1006" s="31">
        <v>0</v>
      </c>
      <c r="Y1006" s="31">
        <v>0</v>
      </c>
      <c r="Z1006" s="31">
        <v>0</v>
      </c>
      <c r="AA1006" s="31">
        <v>0</v>
      </c>
      <c r="AB1006" s="31">
        <v>0</v>
      </c>
      <c r="AC1006" s="31">
        <v>79076.740000000005</v>
      </c>
      <c r="AD1006" s="31">
        <v>0</v>
      </c>
      <c r="AE1006" s="31">
        <v>0</v>
      </c>
      <c r="AF1006" s="345" t="s">
        <v>271</v>
      </c>
      <c r="AG1006" s="345">
        <v>2022</v>
      </c>
      <c r="AH1006" s="346">
        <v>2022</v>
      </c>
      <c r="AT1006" s="20" t="e">
        <f>VLOOKUP(C1006,AW:AX,2,FALSE)</f>
        <v>#N/A</v>
      </c>
      <c r="BZ1006" s="71"/>
    </row>
    <row r="1007" spans="1:78" ht="61.5" x14ac:dyDescent="0.85">
      <c r="A1007" s="20">
        <v>1</v>
      </c>
      <c r="B1007" s="66">
        <f>SUBTOTAL(103,$A$994:A1007)</f>
        <v>14</v>
      </c>
      <c r="C1007" s="24" t="s">
        <v>585</v>
      </c>
      <c r="D1007" s="31">
        <f t="shared" si="253"/>
        <v>2108786.08</v>
      </c>
      <c r="E1007" s="31">
        <v>0</v>
      </c>
      <c r="F1007" s="31">
        <v>0</v>
      </c>
      <c r="G1007" s="31">
        <v>0</v>
      </c>
      <c r="H1007" s="31">
        <v>0</v>
      </c>
      <c r="I1007" s="31">
        <v>0</v>
      </c>
      <c r="J1007" s="31">
        <v>0</v>
      </c>
      <c r="K1007" s="33">
        <v>0</v>
      </c>
      <c r="L1007" s="31">
        <v>0</v>
      </c>
      <c r="M1007" s="31">
        <v>464.7</v>
      </c>
      <c r="N1007" s="31">
        <v>2077621.75</v>
      </c>
      <c r="O1007" s="31">
        <v>0</v>
      </c>
      <c r="P1007" s="31">
        <v>0</v>
      </c>
      <c r="Q1007" s="31">
        <v>0</v>
      </c>
      <c r="R1007" s="31">
        <v>0</v>
      </c>
      <c r="S1007" s="31">
        <v>0</v>
      </c>
      <c r="T1007" s="31">
        <v>0</v>
      </c>
      <c r="U1007" s="31">
        <v>0</v>
      </c>
      <c r="V1007" s="31">
        <v>0</v>
      </c>
      <c r="W1007" s="31">
        <v>0</v>
      </c>
      <c r="X1007" s="31">
        <v>0</v>
      </c>
      <c r="Y1007" s="31">
        <v>0</v>
      </c>
      <c r="Z1007" s="31">
        <v>0</v>
      </c>
      <c r="AA1007" s="31">
        <v>0</v>
      </c>
      <c r="AB1007" s="31">
        <v>0</v>
      </c>
      <c r="AC1007" s="31">
        <v>31164.33</v>
      </c>
      <c r="AD1007" s="31">
        <v>0</v>
      </c>
      <c r="AE1007" s="31">
        <v>0</v>
      </c>
      <c r="AF1007" s="345" t="s">
        <v>271</v>
      </c>
      <c r="AG1007" s="345">
        <v>2022</v>
      </c>
      <c r="AH1007" s="346">
        <v>2022</v>
      </c>
      <c r="AT1007" s="20" t="e">
        <f>VLOOKUP(C1007,AW:AX,2,FALSE)</f>
        <v>#N/A</v>
      </c>
      <c r="BZ1007" s="71"/>
    </row>
    <row r="1008" spans="1:78" ht="61.5" x14ac:dyDescent="0.85">
      <c r="A1008" s="20">
        <v>1</v>
      </c>
      <c r="B1008" s="66">
        <f>SUBTOTAL(103,$A$994:A1008)</f>
        <v>15</v>
      </c>
      <c r="C1008" s="24" t="s">
        <v>586</v>
      </c>
      <c r="D1008" s="31">
        <f t="shared" si="253"/>
        <v>2108788.0499999998</v>
      </c>
      <c r="E1008" s="31">
        <v>0</v>
      </c>
      <c r="F1008" s="31">
        <v>0</v>
      </c>
      <c r="G1008" s="31">
        <v>0</v>
      </c>
      <c r="H1008" s="31">
        <v>0</v>
      </c>
      <c r="I1008" s="31">
        <v>0</v>
      </c>
      <c r="J1008" s="31">
        <v>0</v>
      </c>
      <c r="K1008" s="33">
        <v>0</v>
      </c>
      <c r="L1008" s="31">
        <v>0</v>
      </c>
      <c r="M1008" s="31">
        <v>464.68</v>
      </c>
      <c r="N1008" s="31">
        <v>2077623.69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1">
        <v>0</v>
      </c>
      <c r="Y1008" s="31">
        <v>0</v>
      </c>
      <c r="Z1008" s="31">
        <v>0</v>
      </c>
      <c r="AA1008" s="31">
        <v>0</v>
      </c>
      <c r="AB1008" s="31">
        <v>0</v>
      </c>
      <c r="AC1008" s="31">
        <v>31164.36</v>
      </c>
      <c r="AD1008" s="31">
        <v>0</v>
      </c>
      <c r="AE1008" s="31">
        <v>0</v>
      </c>
      <c r="AF1008" s="345" t="s">
        <v>271</v>
      </c>
      <c r="AG1008" s="345">
        <v>2022</v>
      </c>
      <c r="AH1008" s="346">
        <v>2022</v>
      </c>
      <c r="AT1008" s="20" t="e">
        <f>VLOOKUP(C1008,AW:AX,2,FALSE)</f>
        <v>#N/A</v>
      </c>
      <c r="BZ1008" s="71"/>
    </row>
    <row r="1009" spans="1:78" ht="61.5" x14ac:dyDescent="0.85">
      <c r="A1009" s="20">
        <v>1</v>
      </c>
      <c r="B1009" s="66">
        <f>SUBTOTAL(103,$A$994:A1009)</f>
        <v>16</v>
      </c>
      <c r="C1009" s="24" t="s">
        <v>1654</v>
      </c>
      <c r="D1009" s="31">
        <f t="shared" si="253"/>
        <v>4161500</v>
      </c>
      <c r="E1009" s="31">
        <v>0</v>
      </c>
      <c r="F1009" s="31">
        <v>0</v>
      </c>
      <c r="G1009" s="31">
        <v>0</v>
      </c>
      <c r="H1009" s="31">
        <v>0</v>
      </c>
      <c r="I1009" s="31">
        <v>0</v>
      </c>
      <c r="J1009" s="31">
        <v>0</v>
      </c>
      <c r="K1009" s="33">
        <v>0</v>
      </c>
      <c r="L1009" s="31">
        <v>0</v>
      </c>
      <c r="M1009" s="31">
        <v>828</v>
      </c>
      <c r="N1009" s="31">
        <v>4100000</v>
      </c>
      <c r="O1009" s="31">
        <v>0</v>
      </c>
      <c r="P1009" s="31">
        <v>0</v>
      </c>
      <c r="Q1009" s="31">
        <v>0</v>
      </c>
      <c r="R1009" s="31">
        <v>0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1">
        <v>0</v>
      </c>
      <c r="Y1009" s="31">
        <v>0</v>
      </c>
      <c r="Z1009" s="31">
        <v>0</v>
      </c>
      <c r="AA1009" s="31">
        <v>0</v>
      </c>
      <c r="AB1009" s="31">
        <v>0</v>
      </c>
      <c r="AC1009" s="31">
        <v>61500</v>
      </c>
      <c r="AD1009" s="31">
        <v>0</v>
      </c>
      <c r="AE1009" s="31">
        <v>0</v>
      </c>
      <c r="AF1009" s="345" t="s">
        <v>271</v>
      </c>
      <c r="AG1009" s="345">
        <v>2022</v>
      </c>
      <c r="AH1009" s="346">
        <v>2022</v>
      </c>
      <c r="BZ1009" s="71"/>
    </row>
    <row r="1010" spans="1:78" ht="61.5" x14ac:dyDescent="0.85">
      <c r="A1010" s="20">
        <v>1</v>
      </c>
      <c r="B1010" s="66">
        <f>SUBTOTAL(103,$A$994:A1010)</f>
        <v>17</v>
      </c>
      <c r="C1010" s="24" t="s">
        <v>588</v>
      </c>
      <c r="D1010" s="31">
        <f t="shared" si="253"/>
        <v>3514995.2</v>
      </c>
      <c r="E1010" s="31">
        <v>0</v>
      </c>
      <c r="F1010" s="31">
        <v>0</v>
      </c>
      <c r="G1010" s="31">
        <v>0</v>
      </c>
      <c r="H1010" s="31">
        <v>0</v>
      </c>
      <c r="I1010" s="31">
        <v>0</v>
      </c>
      <c r="J1010" s="31">
        <v>0</v>
      </c>
      <c r="K1010" s="33">
        <v>0</v>
      </c>
      <c r="L1010" s="31">
        <v>0</v>
      </c>
      <c r="M1010" s="31">
        <v>775</v>
      </c>
      <c r="N1010" s="31">
        <v>3463049.46</v>
      </c>
      <c r="O1010" s="31">
        <v>0</v>
      </c>
      <c r="P1010" s="31">
        <v>0</v>
      </c>
      <c r="Q1010" s="31">
        <v>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1">
        <v>0</v>
      </c>
      <c r="Y1010" s="31">
        <v>0</v>
      </c>
      <c r="Z1010" s="31">
        <v>0</v>
      </c>
      <c r="AA1010" s="31">
        <v>0</v>
      </c>
      <c r="AB1010" s="31">
        <v>0</v>
      </c>
      <c r="AC1010" s="31">
        <v>51945.74</v>
      </c>
      <c r="AD1010" s="31">
        <v>0</v>
      </c>
      <c r="AE1010" s="31">
        <v>0</v>
      </c>
      <c r="AF1010" s="345" t="s">
        <v>271</v>
      </c>
      <c r="AG1010" s="345">
        <v>2022</v>
      </c>
      <c r="AH1010" s="346">
        <v>2022</v>
      </c>
      <c r="AT1010" s="20" t="e">
        <f t="shared" ref="AT1010:AT1018" si="254">VLOOKUP(C1010,AW:AX,2,FALSE)</f>
        <v>#N/A</v>
      </c>
      <c r="BZ1010" s="71"/>
    </row>
    <row r="1011" spans="1:78" ht="61.5" x14ac:dyDescent="0.85">
      <c r="A1011" s="20">
        <v>1</v>
      </c>
      <c r="B1011" s="66">
        <f>SUBTOTAL(103,$A$994:A1011)</f>
        <v>18</v>
      </c>
      <c r="C1011" s="24" t="s">
        <v>589</v>
      </c>
      <c r="D1011" s="31">
        <f t="shared" si="253"/>
        <v>2547497.35</v>
      </c>
      <c r="E1011" s="31">
        <v>0</v>
      </c>
      <c r="F1011" s="31">
        <v>0</v>
      </c>
      <c r="G1011" s="31">
        <v>0</v>
      </c>
      <c r="H1011" s="31">
        <v>0</v>
      </c>
      <c r="I1011" s="31">
        <v>0</v>
      </c>
      <c r="J1011" s="31">
        <v>0</v>
      </c>
      <c r="K1011" s="33">
        <v>0</v>
      </c>
      <c r="L1011" s="31">
        <v>0</v>
      </c>
      <c r="M1011" s="31">
        <v>557</v>
      </c>
      <c r="N1011" s="31">
        <v>2509849.61</v>
      </c>
      <c r="O1011" s="31">
        <v>0</v>
      </c>
      <c r="P1011" s="31">
        <v>0</v>
      </c>
      <c r="Q1011" s="31">
        <v>0</v>
      </c>
      <c r="R1011" s="31">
        <v>0</v>
      </c>
      <c r="S1011" s="31">
        <v>0</v>
      </c>
      <c r="T1011" s="31">
        <v>0</v>
      </c>
      <c r="U1011" s="31">
        <v>0</v>
      </c>
      <c r="V1011" s="31">
        <v>0</v>
      </c>
      <c r="W1011" s="31">
        <v>0</v>
      </c>
      <c r="X1011" s="31">
        <v>0</v>
      </c>
      <c r="Y1011" s="31">
        <v>0</v>
      </c>
      <c r="Z1011" s="31">
        <v>0</v>
      </c>
      <c r="AA1011" s="31">
        <v>0</v>
      </c>
      <c r="AB1011" s="31">
        <v>0</v>
      </c>
      <c r="AC1011" s="31">
        <v>37647.74</v>
      </c>
      <c r="AD1011" s="31">
        <v>0</v>
      </c>
      <c r="AE1011" s="31">
        <v>0</v>
      </c>
      <c r="AF1011" s="345" t="s">
        <v>271</v>
      </c>
      <c r="AG1011" s="345">
        <v>2022</v>
      </c>
      <c r="AH1011" s="346">
        <v>2022</v>
      </c>
      <c r="AT1011" s="20" t="e">
        <f t="shared" si="254"/>
        <v>#N/A</v>
      </c>
      <c r="BZ1011" s="71"/>
    </row>
    <row r="1012" spans="1:78" ht="61.5" x14ac:dyDescent="0.85">
      <c r="A1012" s="20">
        <v>1</v>
      </c>
      <c r="B1012" s="66">
        <f>SUBTOTAL(103,$A$994:A1012)</f>
        <v>19</v>
      </c>
      <c r="C1012" s="24" t="s">
        <v>590</v>
      </c>
      <c r="D1012" s="31">
        <f t="shared" si="253"/>
        <v>974208.66</v>
      </c>
      <c r="E1012" s="31">
        <v>0</v>
      </c>
      <c r="F1012" s="31">
        <v>0</v>
      </c>
      <c r="G1012" s="31">
        <v>0</v>
      </c>
      <c r="H1012" s="31">
        <v>0</v>
      </c>
      <c r="I1012" s="31">
        <v>0</v>
      </c>
      <c r="J1012" s="31">
        <v>0</v>
      </c>
      <c r="K1012" s="33">
        <v>0</v>
      </c>
      <c r="L1012" s="31">
        <v>0</v>
      </c>
      <c r="M1012" s="31">
        <v>226</v>
      </c>
      <c r="N1012" s="31">
        <v>959811.49</v>
      </c>
      <c r="O1012" s="31">
        <v>0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1">
        <v>0</v>
      </c>
      <c r="Y1012" s="31">
        <v>0</v>
      </c>
      <c r="Z1012" s="31">
        <v>0</v>
      </c>
      <c r="AA1012" s="31">
        <v>0</v>
      </c>
      <c r="AB1012" s="31">
        <v>0</v>
      </c>
      <c r="AC1012" s="31">
        <v>14397.17</v>
      </c>
      <c r="AD1012" s="31">
        <v>0</v>
      </c>
      <c r="AE1012" s="31">
        <v>0</v>
      </c>
      <c r="AF1012" s="345" t="s">
        <v>271</v>
      </c>
      <c r="AG1012" s="345">
        <v>2022</v>
      </c>
      <c r="AH1012" s="346">
        <v>2022</v>
      </c>
      <c r="AT1012" s="20" t="e">
        <f t="shared" si="254"/>
        <v>#N/A</v>
      </c>
      <c r="BZ1012" s="71"/>
    </row>
    <row r="1013" spans="1:78" ht="61.5" x14ac:dyDescent="0.85">
      <c r="A1013" s="20">
        <v>1</v>
      </c>
      <c r="B1013" s="66">
        <f>SUBTOTAL(103,$A$994:A1013)</f>
        <v>20</v>
      </c>
      <c r="C1013" s="24" t="s">
        <v>591</v>
      </c>
      <c r="D1013" s="31">
        <f t="shared" si="253"/>
        <v>2883983.08</v>
      </c>
      <c r="E1013" s="31">
        <v>0</v>
      </c>
      <c r="F1013" s="31">
        <v>0</v>
      </c>
      <c r="G1013" s="31">
        <v>0</v>
      </c>
      <c r="H1013" s="31">
        <v>0</v>
      </c>
      <c r="I1013" s="31">
        <v>0</v>
      </c>
      <c r="J1013" s="31">
        <v>0</v>
      </c>
      <c r="K1013" s="33">
        <v>0</v>
      </c>
      <c r="L1013" s="31">
        <v>0</v>
      </c>
      <c r="M1013" s="31">
        <v>632</v>
      </c>
      <c r="N1013" s="31">
        <v>2841362.64</v>
      </c>
      <c r="O1013" s="31">
        <v>0</v>
      </c>
      <c r="P1013" s="31">
        <v>0</v>
      </c>
      <c r="Q1013" s="31">
        <v>0</v>
      </c>
      <c r="R1013" s="31">
        <v>0</v>
      </c>
      <c r="S1013" s="31">
        <v>0</v>
      </c>
      <c r="T1013" s="31">
        <v>0</v>
      </c>
      <c r="U1013" s="31">
        <v>0</v>
      </c>
      <c r="V1013" s="31">
        <v>0</v>
      </c>
      <c r="W1013" s="31">
        <v>0</v>
      </c>
      <c r="X1013" s="31">
        <v>0</v>
      </c>
      <c r="Y1013" s="31">
        <v>0</v>
      </c>
      <c r="Z1013" s="31">
        <v>0</v>
      </c>
      <c r="AA1013" s="31">
        <v>0</v>
      </c>
      <c r="AB1013" s="31">
        <v>0</v>
      </c>
      <c r="AC1013" s="31">
        <v>42620.44</v>
      </c>
      <c r="AD1013" s="31">
        <v>0</v>
      </c>
      <c r="AE1013" s="31">
        <v>0</v>
      </c>
      <c r="AF1013" s="345" t="s">
        <v>271</v>
      </c>
      <c r="AG1013" s="345">
        <v>2022</v>
      </c>
      <c r="AH1013" s="346">
        <v>2022</v>
      </c>
      <c r="AT1013" s="20" t="e">
        <f t="shared" si="254"/>
        <v>#N/A</v>
      </c>
      <c r="BZ1013" s="71"/>
    </row>
    <row r="1014" spans="1:78" ht="61.5" x14ac:dyDescent="0.85">
      <c r="A1014" s="20">
        <v>1</v>
      </c>
      <c r="B1014" s="66">
        <f>SUBTOTAL(103,$A$994:A1014)</f>
        <v>21</v>
      </c>
      <c r="C1014" s="24" t="s">
        <v>592</v>
      </c>
      <c r="D1014" s="31">
        <f t="shared" si="253"/>
        <v>2883983.08</v>
      </c>
      <c r="E1014" s="31">
        <v>0</v>
      </c>
      <c r="F1014" s="31">
        <v>0</v>
      </c>
      <c r="G1014" s="31">
        <v>0</v>
      </c>
      <c r="H1014" s="31">
        <v>0</v>
      </c>
      <c r="I1014" s="31">
        <v>0</v>
      </c>
      <c r="J1014" s="31">
        <v>0</v>
      </c>
      <c r="K1014" s="33">
        <v>0</v>
      </c>
      <c r="L1014" s="31">
        <v>0</v>
      </c>
      <c r="M1014" s="31">
        <v>632</v>
      </c>
      <c r="N1014" s="31">
        <v>2841362.64</v>
      </c>
      <c r="O1014" s="31">
        <v>0</v>
      </c>
      <c r="P1014" s="31">
        <v>0</v>
      </c>
      <c r="Q1014" s="31">
        <v>0</v>
      </c>
      <c r="R1014" s="31">
        <v>0</v>
      </c>
      <c r="S1014" s="31">
        <v>0</v>
      </c>
      <c r="T1014" s="31">
        <v>0</v>
      </c>
      <c r="U1014" s="31">
        <v>0</v>
      </c>
      <c r="V1014" s="31">
        <v>0</v>
      </c>
      <c r="W1014" s="31">
        <v>0</v>
      </c>
      <c r="X1014" s="31">
        <v>0</v>
      </c>
      <c r="Y1014" s="31">
        <v>0</v>
      </c>
      <c r="Z1014" s="31">
        <v>0</v>
      </c>
      <c r="AA1014" s="31">
        <v>0</v>
      </c>
      <c r="AB1014" s="31">
        <v>0</v>
      </c>
      <c r="AC1014" s="31">
        <v>42620.44</v>
      </c>
      <c r="AD1014" s="31">
        <v>0</v>
      </c>
      <c r="AE1014" s="31">
        <v>0</v>
      </c>
      <c r="AF1014" s="345" t="s">
        <v>271</v>
      </c>
      <c r="AG1014" s="345">
        <v>2022</v>
      </c>
      <c r="AH1014" s="346">
        <v>2022</v>
      </c>
      <c r="AT1014" s="20" t="e">
        <f t="shared" si="254"/>
        <v>#N/A</v>
      </c>
      <c r="BZ1014" s="71"/>
    </row>
    <row r="1015" spans="1:78" ht="61.5" x14ac:dyDescent="0.85">
      <c r="A1015" s="20">
        <v>1</v>
      </c>
      <c r="B1015" s="66">
        <f>SUBTOTAL(103,$A$994:A1015)</f>
        <v>22</v>
      </c>
      <c r="C1015" s="24" t="s">
        <v>593</v>
      </c>
      <c r="D1015" s="31">
        <f t="shared" si="253"/>
        <v>3302263</v>
      </c>
      <c r="E1015" s="31">
        <v>0</v>
      </c>
      <c r="F1015" s="31">
        <v>0</v>
      </c>
      <c r="G1015" s="31">
        <v>0</v>
      </c>
      <c r="H1015" s="31">
        <v>0</v>
      </c>
      <c r="I1015" s="31">
        <v>0</v>
      </c>
      <c r="J1015" s="31">
        <v>0</v>
      </c>
      <c r="K1015" s="33">
        <v>0</v>
      </c>
      <c r="L1015" s="31">
        <v>0</v>
      </c>
      <c r="M1015" s="31">
        <v>720</v>
      </c>
      <c r="N1015" s="31">
        <v>3253461.08</v>
      </c>
      <c r="O1015" s="31">
        <v>0</v>
      </c>
      <c r="P1015" s="31">
        <v>0</v>
      </c>
      <c r="Q1015" s="31">
        <v>0</v>
      </c>
      <c r="R1015" s="31">
        <v>0</v>
      </c>
      <c r="S1015" s="31">
        <v>0</v>
      </c>
      <c r="T1015" s="31">
        <v>0</v>
      </c>
      <c r="U1015" s="31">
        <v>0</v>
      </c>
      <c r="V1015" s="31">
        <v>0</v>
      </c>
      <c r="W1015" s="31">
        <v>0</v>
      </c>
      <c r="X1015" s="31">
        <v>0</v>
      </c>
      <c r="Y1015" s="31">
        <v>0</v>
      </c>
      <c r="Z1015" s="31">
        <v>0</v>
      </c>
      <c r="AA1015" s="31">
        <v>0</v>
      </c>
      <c r="AB1015" s="31">
        <v>0</v>
      </c>
      <c r="AC1015" s="31">
        <v>48801.919999999998</v>
      </c>
      <c r="AD1015" s="31">
        <v>0</v>
      </c>
      <c r="AE1015" s="31">
        <v>0</v>
      </c>
      <c r="AF1015" s="345" t="s">
        <v>271</v>
      </c>
      <c r="AG1015" s="345">
        <v>2022</v>
      </c>
      <c r="AH1015" s="346">
        <v>2022</v>
      </c>
      <c r="AT1015" s="20" t="e">
        <f t="shared" si="254"/>
        <v>#N/A</v>
      </c>
      <c r="BZ1015" s="71"/>
    </row>
    <row r="1016" spans="1:78" ht="61.5" x14ac:dyDescent="0.85">
      <c r="A1016" s="20">
        <v>1</v>
      </c>
      <c r="B1016" s="66">
        <f>SUBTOTAL(103,$A$994:A1016)</f>
        <v>23</v>
      </c>
      <c r="C1016" s="24" t="s">
        <v>594</v>
      </c>
      <c r="D1016" s="31">
        <f t="shared" si="253"/>
        <v>4323303.57</v>
      </c>
      <c r="E1016" s="31">
        <v>0</v>
      </c>
      <c r="F1016" s="31">
        <v>0</v>
      </c>
      <c r="G1016" s="31">
        <v>0</v>
      </c>
      <c r="H1016" s="31">
        <v>0</v>
      </c>
      <c r="I1016" s="31">
        <v>0</v>
      </c>
      <c r="J1016" s="31">
        <v>0</v>
      </c>
      <c r="K1016" s="33">
        <v>0</v>
      </c>
      <c r="L1016" s="31">
        <v>0</v>
      </c>
      <c r="M1016" s="31">
        <v>971</v>
      </c>
      <c r="N1016" s="31">
        <v>4259412.38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  <c r="V1016" s="31">
        <v>0</v>
      </c>
      <c r="W1016" s="31">
        <v>0</v>
      </c>
      <c r="X1016" s="31">
        <v>0</v>
      </c>
      <c r="Y1016" s="31">
        <v>0</v>
      </c>
      <c r="Z1016" s="31">
        <v>0</v>
      </c>
      <c r="AA1016" s="31">
        <v>0</v>
      </c>
      <c r="AB1016" s="31">
        <v>0</v>
      </c>
      <c r="AC1016" s="31">
        <v>63891.19</v>
      </c>
      <c r="AD1016" s="31">
        <v>0</v>
      </c>
      <c r="AE1016" s="31">
        <v>0</v>
      </c>
      <c r="AF1016" s="345" t="s">
        <v>271</v>
      </c>
      <c r="AG1016" s="345">
        <v>2022</v>
      </c>
      <c r="AH1016" s="346">
        <v>2022</v>
      </c>
      <c r="AT1016" s="20" t="e">
        <f t="shared" si="254"/>
        <v>#N/A</v>
      </c>
      <c r="BZ1016" s="71"/>
    </row>
    <row r="1017" spans="1:78" ht="61.5" x14ac:dyDescent="0.85">
      <c r="A1017" s="20">
        <v>1</v>
      </c>
      <c r="B1017" s="66">
        <f>SUBTOTAL(103,$A$994:A1017)</f>
        <v>24</v>
      </c>
      <c r="C1017" s="24" t="s">
        <v>595</v>
      </c>
      <c r="D1017" s="31">
        <f t="shared" si="253"/>
        <v>2249559.61</v>
      </c>
      <c r="E1017" s="31">
        <v>0</v>
      </c>
      <c r="F1017" s="31">
        <v>0</v>
      </c>
      <c r="G1017" s="31">
        <v>0</v>
      </c>
      <c r="H1017" s="31">
        <v>0</v>
      </c>
      <c r="I1017" s="31">
        <v>0</v>
      </c>
      <c r="J1017" s="31">
        <v>0</v>
      </c>
      <c r="K1017" s="33">
        <v>1</v>
      </c>
      <c r="L1017" s="31">
        <v>2249559.61</v>
      </c>
      <c r="M1017" s="31">
        <v>0</v>
      </c>
      <c r="N1017" s="31">
        <v>0</v>
      </c>
      <c r="O1017" s="31">
        <v>0</v>
      </c>
      <c r="P1017" s="31">
        <v>0</v>
      </c>
      <c r="Q1017" s="31">
        <v>0</v>
      </c>
      <c r="R1017" s="31">
        <v>0</v>
      </c>
      <c r="S1017" s="31">
        <v>0</v>
      </c>
      <c r="T1017" s="31">
        <v>0</v>
      </c>
      <c r="U1017" s="31">
        <v>0</v>
      </c>
      <c r="V1017" s="31">
        <v>0</v>
      </c>
      <c r="W1017" s="31">
        <v>0</v>
      </c>
      <c r="X1017" s="31">
        <v>0</v>
      </c>
      <c r="Y1017" s="31">
        <v>0</v>
      </c>
      <c r="Z1017" s="31">
        <v>0</v>
      </c>
      <c r="AA1017" s="31">
        <v>0</v>
      </c>
      <c r="AB1017" s="31">
        <v>0</v>
      </c>
      <c r="AC1017" s="31">
        <v>0</v>
      </c>
      <c r="AD1017" s="31">
        <v>0</v>
      </c>
      <c r="AE1017" s="31">
        <v>0</v>
      </c>
      <c r="AF1017" s="345" t="s">
        <v>271</v>
      </c>
      <c r="AG1017" s="345">
        <v>2022</v>
      </c>
      <c r="AH1017" s="346" t="s">
        <v>271</v>
      </c>
      <c r="AT1017" s="20" t="e">
        <f t="shared" si="254"/>
        <v>#N/A</v>
      </c>
      <c r="BZ1017" s="71"/>
    </row>
    <row r="1018" spans="1:78" ht="61.5" x14ac:dyDescent="0.85">
      <c r="A1018" s="20">
        <v>1</v>
      </c>
      <c r="B1018" s="66">
        <f>SUBTOTAL(103,$A$994:A1018)</f>
        <v>25</v>
      </c>
      <c r="C1018" s="24" t="s">
        <v>596</v>
      </c>
      <c r="D1018" s="31">
        <f t="shared" si="253"/>
        <v>3899114.33</v>
      </c>
      <c r="E1018" s="31">
        <v>0</v>
      </c>
      <c r="F1018" s="31">
        <v>0</v>
      </c>
      <c r="G1018" s="31">
        <v>0</v>
      </c>
      <c r="H1018" s="31">
        <v>0</v>
      </c>
      <c r="I1018" s="31">
        <v>0</v>
      </c>
      <c r="J1018" s="31">
        <v>0</v>
      </c>
      <c r="K1018" s="33">
        <v>0</v>
      </c>
      <c r="L1018" s="31">
        <v>0</v>
      </c>
      <c r="M1018" s="31">
        <v>844</v>
      </c>
      <c r="N1018" s="31">
        <v>3841491.95</v>
      </c>
      <c r="O1018" s="31">
        <v>0</v>
      </c>
      <c r="P1018" s="31">
        <v>0</v>
      </c>
      <c r="Q1018" s="31">
        <v>0</v>
      </c>
      <c r="R1018" s="31">
        <v>0</v>
      </c>
      <c r="S1018" s="31">
        <v>0</v>
      </c>
      <c r="T1018" s="31">
        <v>0</v>
      </c>
      <c r="U1018" s="31">
        <v>0</v>
      </c>
      <c r="V1018" s="31">
        <v>0</v>
      </c>
      <c r="W1018" s="31">
        <v>0</v>
      </c>
      <c r="X1018" s="31">
        <v>0</v>
      </c>
      <c r="Y1018" s="31">
        <v>0</v>
      </c>
      <c r="Z1018" s="31">
        <v>0</v>
      </c>
      <c r="AA1018" s="31">
        <v>0</v>
      </c>
      <c r="AB1018" s="31">
        <v>0</v>
      </c>
      <c r="AC1018" s="31">
        <v>57622.38</v>
      </c>
      <c r="AD1018" s="31">
        <v>0</v>
      </c>
      <c r="AE1018" s="31">
        <v>0</v>
      </c>
      <c r="AF1018" s="345" t="s">
        <v>271</v>
      </c>
      <c r="AG1018" s="345">
        <v>2022</v>
      </c>
      <c r="AH1018" s="346">
        <v>2022</v>
      </c>
      <c r="AT1018" s="20" t="e">
        <f t="shared" si="254"/>
        <v>#N/A</v>
      </c>
      <c r="BZ1018" s="71"/>
    </row>
    <row r="1019" spans="1:78" ht="61.5" x14ac:dyDescent="0.85">
      <c r="A1019" s="20">
        <v>1</v>
      </c>
      <c r="B1019" s="66">
        <f>SUBTOTAL(103,$A$994:A1019)</f>
        <v>26</v>
      </c>
      <c r="C1019" s="24" t="s">
        <v>1655</v>
      </c>
      <c r="D1019" s="31">
        <f t="shared" si="253"/>
        <v>4374650</v>
      </c>
      <c r="E1019" s="31">
        <v>0</v>
      </c>
      <c r="F1019" s="31">
        <v>0</v>
      </c>
      <c r="G1019" s="31">
        <v>0</v>
      </c>
      <c r="H1019" s="31">
        <v>0</v>
      </c>
      <c r="I1019" s="31">
        <v>0</v>
      </c>
      <c r="J1019" s="31">
        <v>0</v>
      </c>
      <c r="K1019" s="33">
        <v>0</v>
      </c>
      <c r="L1019" s="31">
        <v>0</v>
      </c>
      <c r="M1019" s="31">
        <v>960</v>
      </c>
      <c r="N1019" s="31">
        <v>4310000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1">
        <v>0</v>
      </c>
      <c r="U1019" s="31">
        <v>0</v>
      </c>
      <c r="V1019" s="31">
        <v>0</v>
      </c>
      <c r="W1019" s="31">
        <v>0</v>
      </c>
      <c r="X1019" s="31">
        <v>0</v>
      </c>
      <c r="Y1019" s="31">
        <v>0</v>
      </c>
      <c r="Z1019" s="31">
        <v>0</v>
      </c>
      <c r="AA1019" s="31">
        <v>0</v>
      </c>
      <c r="AB1019" s="31">
        <v>0</v>
      </c>
      <c r="AC1019" s="31">
        <v>64650</v>
      </c>
      <c r="AD1019" s="31">
        <v>0</v>
      </c>
      <c r="AE1019" s="31">
        <v>0</v>
      </c>
      <c r="AF1019" s="345" t="s">
        <v>271</v>
      </c>
      <c r="AG1019" s="345">
        <v>2022</v>
      </c>
      <c r="AH1019" s="346">
        <v>2022</v>
      </c>
      <c r="BZ1019" s="71"/>
    </row>
    <row r="1020" spans="1:78" ht="61.5" x14ac:dyDescent="0.85">
      <c r="A1020" s="20">
        <v>1</v>
      </c>
      <c r="B1020" s="66">
        <f>SUBTOTAL(103,$A$994:A1020)</f>
        <v>27</v>
      </c>
      <c r="C1020" s="24" t="s">
        <v>1656</v>
      </c>
      <c r="D1020" s="31">
        <f t="shared" si="253"/>
        <v>5613232.8199999994</v>
      </c>
      <c r="E1020" s="31">
        <v>0</v>
      </c>
      <c r="F1020" s="31">
        <v>0</v>
      </c>
      <c r="G1020" s="31">
        <v>0</v>
      </c>
      <c r="H1020" s="31">
        <v>0</v>
      </c>
      <c r="I1020" s="31">
        <v>0</v>
      </c>
      <c r="J1020" s="31">
        <v>0</v>
      </c>
      <c r="K1020" s="33">
        <v>0</v>
      </c>
      <c r="L1020" s="31">
        <v>0</v>
      </c>
      <c r="M1020" s="31">
        <v>1075</v>
      </c>
      <c r="N1020" s="31">
        <v>5530278.6399999997</v>
      </c>
      <c r="O1020" s="31">
        <v>0</v>
      </c>
      <c r="P1020" s="31">
        <v>0</v>
      </c>
      <c r="Q1020" s="31">
        <v>0</v>
      </c>
      <c r="R1020" s="31">
        <v>0</v>
      </c>
      <c r="S1020" s="31">
        <v>0</v>
      </c>
      <c r="T1020" s="31">
        <v>0</v>
      </c>
      <c r="U1020" s="31">
        <v>0</v>
      </c>
      <c r="V1020" s="31">
        <v>0</v>
      </c>
      <c r="W1020" s="31">
        <v>0</v>
      </c>
      <c r="X1020" s="31">
        <v>0</v>
      </c>
      <c r="Y1020" s="31">
        <v>0</v>
      </c>
      <c r="Z1020" s="31">
        <v>0</v>
      </c>
      <c r="AA1020" s="31">
        <v>0</v>
      </c>
      <c r="AB1020" s="31">
        <v>0</v>
      </c>
      <c r="AC1020" s="31">
        <v>82954.179999999993</v>
      </c>
      <c r="AD1020" s="31">
        <v>0</v>
      </c>
      <c r="AE1020" s="31">
        <v>0</v>
      </c>
      <c r="AF1020" s="345" t="s">
        <v>271</v>
      </c>
      <c r="AG1020" s="345">
        <v>2022</v>
      </c>
      <c r="AH1020" s="346">
        <v>2022</v>
      </c>
      <c r="BZ1020" s="71"/>
    </row>
    <row r="1021" spans="1:78" ht="61.5" x14ac:dyDescent="0.85">
      <c r="A1021" s="20">
        <v>1</v>
      </c>
      <c r="B1021" s="66">
        <f>SUBTOTAL(103,$A$994:A1021)</f>
        <v>28</v>
      </c>
      <c r="C1021" s="24" t="s">
        <v>597</v>
      </c>
      <c r="D1021" s="31">
        <f t="shared" si="253"/>
        <v>3834609.35</v>
      </c>
      <c r="E1021" s="31">
        <v>0</v>
      </c>
      <c r="F1021" s="31">
        <v>0</v>
      </c>
      <c r="G1021" s="31">
        <v>0</v>
      </c>
      <c r="H1021" s="31">
        <v>0</v>
      </c>
      <c r="I1021" s="31">
        <v>0</v>
      </c>
      <c r="J1021" s="31">
        <v>0</v>
      </c>
      <c r="K1021" s="33">
        <v>0</v>
      </c>
      <c r="L1021" s="31">
        <v>0</v>
      </c>
      <c r="M1021" s="31">
        <v>832</v>
      </c>
      <c r="N1021" s="31">
        <v>3777940.25</v>
      </c>
      <c r="O1021" s="31">
        <v>0</v>
      </c>
      <c r="P1021" s="31">
        <v>0</v>
      </c>
      <c r="Q1021" s="31">
        <v>0</v>
      </c>
      <c r="R1021" s="31">
        <v>0</v>
      </c>
      <c r="S1021" s="31">
        <v>0</v>
      </c>
      <c r="T1021" s="31">
        <v>0</v>
      </c>
      <c r="U1021" s="31">
        <v>0</v>
      </c>
      <c r="V1021" s="31">
        <v>0</v>
      </c>
      <c r="W1021" s="31">
        <v>0</v>
      </c>
      <c r="X1021" s="31">
        <v>0</v>
      </c>
      <c r="Y1021" s="31">
        <v>0</v>
      </c>
      <c r="Z1021" s="31">
        <v>0</v>
      </c>
      <c r="AA1021" s="31">
        <v>0</v>
      </c>
      <c r="AB1021" s="31">
        <v>0</v>
      </c>
      <c r="AC1021" s="31">
        <v>56669.1</v>
      </c>
      <c r="AD1021" s="31">
        <v>0</v>
      </c>
      <c r="AE1021" s="31">
        <v>0</v>
      </c>
      <c r="AF1021" s="345" t="s">
        <v>271</v>
      </c>
      <c r="AG1021" s="345">
        <v>2022</v>
      </c>
      <c r="AH1021" s="346">
        <v>2022</v>
      </c>
      <c r="AT1021" s="20" t="e">
        <f t="shared" ref="AT1021:AT1036" si="255">VLOOKUP(C1021,AW:AX,2,FALSE)</f>
        <v>#N/A</v>
      </c>
      <c r="BZ1021" s="71"/>
    </row>
    <row r="1022" spans="1:78" ht="61.5" x14ac:dyDescent="0.85">
      <c r="A1022" s="20">
        <v>1</v>
      </c>
      <c r="B1022" s="66">
        <f>SUBTOTAL(103,$A$994:A1022)</f>
        <v>29</v>
      </c>
      <c r="C1022" s="24" t="s">
        <v>598</v>
      </c>
      <c r="D1022" s="31">
        <f t="shared" si="253"/>
        <v>2834067.58</v>
      </c>
      <c r="E1022" s="31">
        <v>0</v>
      </c>
      <c r="F1022" s="31">
        <v>0</v>
      </c>
      <c r="G1022" s="31">
        <v>0</v>
      </c>
      <c r="H1022" s="31">
        <v>0</v>
      </c>
      <c r="I1022" s="31">
        <v>0</v>
      </c>
      <c r="J1022" s="31">
        <v>0</v>
      </c>
      <c r="K1022" s="33">
        <v>0</v>
      </c>
      <c r="L1022" s="31">
        <v>0</v>
      </c>
      <c r="M1022" s="31">
        <v>621.5</v>
      </c>
      <c r="N1022" s="31">
        <v>2792184.81</v>
      </c>
      <c r="O1022" s="31">
        <v>0</v>
      </c>
      <c r="P1022" s="31">
        <v>0</v>
      </c>
      <c r="Q1022" s="31">
        <v>0</v>
      </c>
      <c r="R1022" s="31">
        <v>0</v>
      </c>
      <c r="S1022" s="31">
        <v>0</v>
      </c>
      <c r="T1022" s="31">
        <v>0</v>
      </c>
      <c r="U1022" s="31">
        <v>0</v>
      </c>
      <c r="V1022" s="31">
        <v>0</v>
      </c>
      <c r="W1022" s="31">
        <v>0</v>
      </c>
      <c r="X1022" s="31">
        <v>0</v>
      </c>
      <c r="Y1022" s="31">
        <v>0</v>
      </c>
      <c r="Z1022" s="31">
        <v>0</v>
      </c>
      <c r="AA1022" s="31">
        <v>0</v>
      </c>
      <c r="AB1022" s="31">
        <v>0</v>
      </c>
      <c r="AC1022" s="31">
        <v>41882.769999999997</v>
      </c>
      <c r="AD1022" s="31">
        <v>0</v>
      </c>
      <c r="AE1022" s="31">
        <v>0</v>
      </c>
      <c r="AF1022" s="345" t="s">
        <v>271</v>
      </c>
      <c r="AG1022" s="345">
        <v>2022</v>
      </c>
      <c r="AH1022" s="346">
        <v>2022</v>
      </c>
      <c r="AT1022" s="20" t="e">
        <f t="shared" si="255"/>
        <v>#N/A</v>
      </c>
      <c r="BZ1022" s="71"/>
    </row>
    <row r="1023" spans="1:78" ht="61.5" x14ac:dyDescent="0.85">
      <c r="A1023" s="20">
        <v>1</v>
      </c>
      <c r="B1023" s="66">
        <f>SUBTOTAL(103,$A$994:A1023)</f>
        <v>30</v>
      </c>
      <c r="C1023" s="24" t="s">
        <v>599</v>
      </c>
      <c r="D1023" s="31">
        <f t="shared" si="253"/>
        <v>6697616.7399999993</v>
      </c>
      <c r="E1023" s="31">
        <v>0</v>
      </c>
      <c r="F1023" s="31">
        <v>0</v>
      </c>
      <c r="G1023" s="31">
        <v>0</v>
      </c>
      <c r="H1023" s="31">
        <v>0</v>
      </c>
      <c r="I1023" s="31">
        <v>0</v>
      </c>
      <c r="J1023" s="31">
        <v>0</v>
      </c>
      <c r="K1023" s="33">
        <v>0</v>
      </c>
      <c r="L1023" s="31">
        <v>0</v>
      </c>
      <c r="M1023" s="31">
        <v>1447</v>
      </c>
      <c r="N1023" s="31">
        <v>6598637.1799999997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1">
        <v>0</v>
      </c>
      <c r="X1023" s="31">
        <v>0</v>
      </c>
      <c r="Y1023" s="31">
        <v>0</v>
      </c>
      <c r="Z1023" s="31">
        <v>0</v>
      </c>
      <c r="AA1023" s="31">
        <v>0</v>
      </c>
      <c r="AB1023" s="31">
        <v>0</v>
      </c>
      <c r="AC1023" s="31">
        <v>98979.56</v>
      </c>
      <c r="AD1023" s="31">
        <v>0</v>
      </c>
      <c r="AE1023" s="31">
        <v>0</v>
      </c>
      <c r="AF1023" s="345" t="s">
        <v>271</v>
      </c>
      <c r="AG1023" s="345">
        <v>2022</v>
      </c>
      <c r="AH1023" s="346">
        <v>2022</v>
      </c>
      <c r="AT1023" s="20" t="e">
        <f t="shared" si="255"/>
        <v>#N/A</v>
      </c>
      <c r="BZ1023" s="71"/>
    </row>
    <row r="1024" spans="1:78" ht="61.5" x14ac:dyDescent="0.85">
      <c r="A1024" s="20">
        <v>1</v>
      </c>
      <c r="B1024" s="66">
        <f>SUBTOTAL(103,$A$994:A1024)</f>
        <v>31</v>
      </c>
      <c r="C1024" s="24" t="s">
        <v>600</v>
      </c>
      <c r="D1024" s="31">
        <f t="shared" si="253"/>
        <v>5163885</v>
      </c>
      <c r="E1024" s="31">
        <v>0</v>
      </c>
      <c r="F1024" s="31">
        <v>0</v>
      </c>
      <c r="G1024" s="31">
        <v>0</v>
      </c>
      <c r="H1024" s="31">
        <v>0</v>
      </c>
      <c r="I1024" s="31">
        <v>0</v>
      </c>
      <c r="J1024" s="31">
        <v>0</v>
      </c>
      <c r="K1024" s="33">
        <v>0</v>
      </c>
      <c r="L1024" s="31">
        <v>0</v>
      </c>
      <c r="M1024" s="31">
        <v>0</v>
      </c>
      <c r="N1024" s="31">
        <v>0</v>
      </c>
      <c r="O1024" s="31">
        <v>0</v>
      </c>
      <c r="P1024" s="31">
        <v>0</v>
      </c>
      <c r="Q1024" s="31">
        <v>1536</v>
      </c>
      <c r="R1024" s="31">
        <v>5087571.43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1">
        <v>0</v>
      </c>
      <c r="Y1024" s="31">
        <v>0</v>
      </c>
      <c r="Z1024" s="31">
        <v>0</v>
      </c>
      <c r="AA1024" s="31">
        <v>0</v>
      </c>
      <c r="AB1024" s="31">
        <v>0</v>
      </c>
      <c r="AC1024" s="31">
        <v>76313.570000000007</v>
      </c>
      <c r="AD1024" s="31">
        <v>0</v>
      </c>
      <c r="AE1024" s="31">
        <v>0</v>
      </c>
      <c r="AF1024" s="345" t="s">
        <v>271</v>
      </c>
      <c r="AG1024" s="345">
        <v>2022</v>
      </c>
      <c r="AH1024" s="346">
        <v>2022</v>
      </c>
      <c r="AT1024" s="20" t="e">
        <f t="shared" si="255"/>
        <v>#N/A</v>
      </c>
      <c r="BZ1024" s="71"/>
    </row>
    <row r="1025" spans="1:78" ht="61.5" x14ac:dyDescent="0.85">
      <c r="A1025" s="20">
        <v>1</v>
      </c>
      <c r="B1025" s="66">
        <f>SUBTOTAL(103,$A$994:A1025)</f>
        <v>32</v>
      </c>
      <c r="C1025" s="24" t="s">
        <v>1723</v>
      </c>
      <c r="D1025" s="31">
        <f t="shared" si="253"/>
        <v>4343671.0699999994</v>
      </c>
      <c r="E1025" s="31">
        <v>0</v>
      </c>
      <c r="F1025" s="31">
        <v>0</v>
      </c>
      <c r="G1025" s="31">
        <v>0</v>
      </c>
      <c r="H1025" s="31">
        <v>0</v>
      </c>
      <c r="I1025" s="31">
        <v>0</v>
      </c>
      <c r="J1025" s="31">
        <v>0</v>
      </c>
      <c r="K1025" s="33">
        <v>0</v>
      </c>
      <c r="L1025" s="31">
        <v>0</v>
      </c>
      <c r="M1025" s="31">
        <v>939.1</v>
      </c>
      <c r="N1025" s="31">
        <v>4279478.8899999997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0</v>
      </c>
      <c r="U1025" s="31">
        <v>0</v>
      </c>
      <c r="V1025" s="31">
        <v>0</v>
      </c>
      <c r="W1025" s="31">
        <v>0</v>
      </c>
      <c r="X1025" s="31">
        <v>0</v>
      </c>
      <c r="Y1025" s="31">
        <v>0</v>
      </c>
      <c r="Z1025" s="31">
        <v>0</v>
      </c>
      <c r="AA1025" s="31">
        <v>0</v>
      </c>
      <c r="AB1025" s="31">
        <v>0</v>
      </c>
      <c r="AC1025" s="31">
        <v>64192.18</v>
      </c>
      <c r="AD1025" s="31">
        <v>0</v>
      </c>
      <c r="AE1025" s="31">
        <v>0</v>
      </c>
      <c r="AF1025" s="345" t="s">
        <v>271</v>
      </c>
      <c r="AG1025" s="345">
        <v>2022</v>
      </c>
      <c r="AH1025" s="346">
        <v>2022</v>
      </c>
      <c r="AT1025" s="20" t="e">
        <f t="shared" si="255"/>
        <v>#N/A</v>
      </c>
      <c r="BZ1025" s="71"/>
    </row>
    <row r="1026" spans="1:78" ht="61.5" x14ac:dyDescent="0.85">
      <c r="A1026" s="20">
        <v>1</v>
      </c>
      <c r="B1026" s="66">
        <f>SUBTOTAL(103,$A$994:A1026)</f>
        <v>33</v>
      </c>
      <c r="C1026" s="24" t="s">
        <v>1724</v>
      </c>
      <c r="D1026" s="31">
        <f t="shared" si="253"/>
        <v>2694844.11</v>
      </c>
      <c r="E1026" s="31">
        <v>0</v>
      </c>
      <c r="F1026" s="31">
        <v>0</v>
      </c>
      <c r="G1026" s="31">
        <v>0</v>
      </c>
      <c r="H1026" s="31">
        <v>0</v>
      </c>
      <c r="I1026" s="31">
        <v>0</v>
      </c>
      <c r="J1026" s="31">
        <v>0</v>
      </c>
      <c r="K1026" s="33">
        <v>0</v>
      </c>
      <c r="L1026" s="31">
        <v>0</v>
      </c>
      <c r="M1026" s="31">
        <v>588</v>
      </c>
      <c r="N1026" s="31">
        <v>2655018.83</v>
      </c>
      <c r="O1026" s="31">
        <v>0</v>
      </c>
      <c r="P1026" s="31">
        <v>0</v>
      </c>
      <c r="Q1026" s="31">
        <v>0</v>
      </c>
      <c r="R1026" s="31">
        <v>0</v>
      </c>
      <c r="S1026" s="31">
        <v>0</v>
      </c>
      <c r="T1026" s="31">
        <v>0</v>
      </c>
      <c r="U1026" s="31">
        <v>0</v>
      </c>
      <c r="V1026" s="31">
        <v>0</v>
      </c>
      <c r="W1026" s="31">
        <v>0</v>
      </c>
      <c r="X1026" s="31">
        <v>0</v>
      </c>
      <c r="Y1026" s="31">
        <v>0</v>
      </c>
      <c r="Z1026" s="31">
        <v>0</v>
      </c>
      <c r="AA1026" s="31">
        <v>0</v>
      </c>
      <c r="AB1026" s="31">
        <v>0</v>
      </c>
      <c r="AC1026" s="31">
        <v>39825.279999999999</v>
      </c>
      <c r="AD1026" s="31">
        <v>0</v>
      </c>
      <c r="AE1026" s="31">
        <v>0</v>
      </c>
      <c r="AF1026" s="345" t="s">
        <v>271</v>
      </c>
      <c r="AG1026" s="345">
        <v>2022</v>
      </c>
      <c r="AH1026" s="346">
        <v>2022</v>
      </c>
      <c r="AT1026" s="20" t="e">
        <f t="shared" si="255"/>
        <v>#N/A</v>
      </c>
      <c r="BZ1026" s="71"/>
    </row>
    <row r="1027" spans="1:78" ht="61.5" x14ac:dyDescent="0.85">
      <c r="A1027" s="20">
        <v>1</v>
      </c>
      <c r="B1027" s="66">
        <f>SUBTOTAL(103,$A$994:A1027)</f>
        <v>34</v>
      </c>
      <c r="C1027" s="24" t="s">
        <v>601</v>
      </c>
      <c r="D1027" s="31">
        <f t="shared" si="253"/>
        <v>4820291</v>
      </c>
      <c r="E1027" s="31">
        <v>0</v>
      </c>
      <c r="F1027" s="31">
        <v>0</v>
      </c>
      <c r="G1027" s="31">
        <v>0</v>
      </c>
      <c r="H1027" s="31">
        <v>0</v>
      </c>
      <c r="I1027" s="31">
        <v>0</v>
      </c>
      <c r="J1027" s="31">
        <v>0</v>
      </c>
      <c r="K1027" s="33">
        <v>0</v>
      </c>
      <c r="L1027" s="31">
        <v>0</v>
      </c>
      <c r="M1027" s="31">
        <v>0</v>
      </c>
      <c r="N1027" s="31">
        <v>0</v>
      </c>
      <c r="O1027" s="31">
        <v>0</v>
      </c>
      <c r="P1027" s="31">
        <v>0</v>
      </c>
      <c r="Q1027" s="31">
        <v>1425</v>
      </c>
      <c r="R1027" s="31">
        <v>4749055</v>
      </c>
      <c r="S1027" s="31">
        <v>0</v>
      </c>
      <c r="T1027" s="31">
        <v>0</v>
      </c>
      <c r="U1027" s="31">
        <v>0</v>
      </c>
      <c r="V1027" s="31">
        <v>0</v>
      </c>
      <c r="W1027" s="31">
        <v>0</v>
      </c>
      <c r="X1027" s="31">
        <v>0</v>
      </c>
      <c r="Y1027" s="31">
        <v>0</v>
      </c>
      <c r="Z1027" s="31">
        <v>0</v>
      </c>
      <c r="AA1027" s="31">
        <v>0</v>
      </c>
      <c r="AB1027" s="31">
        <v>0</v>
      </c>
      <c r="AC1027" s="31">
        <v>71236</v>
      </c>
      <c r="AD1027" s="31">
        <v>0</v>
      </c>
      <c r="AE1027" s="31">
        <v>0</v>
      </c>
      <c r="AF1027" s="345" t="s">
        <v>271</v>
      </c>
      <c r="AG1027" s="345">
        <v>2022</v>
      </c>
      <c r="AH1027" s="346">
        <v>2022</v>
      </c>
      <c r="AT1027" s="20" t="e">
        <f t="shared" si="255"/>
        <v>#N/A</v>
      </c>
      <c r="BZ1027" s="71"/>
    </row>
    <row r="1028" spans="1:78" ht="61.5" x14ac:dyDescent="0.85">
      <c r="A1028" s="20">
        <v>1</v>
      </c>
      <c r="B1028" s="66">
        <f>SUBTOTAL(103,$A$994:A1028)</f>
        <v>35</v>
      </c>
      <c r="C1028" s="24" t="s">
        <v>602</v>
      </c>
      <c r="D1028" s="31">
        <f t="shared" si="253"/>
        <v>2571262.73</v>
      </c>
      <c r="E1028" s="31">
        <v>0</v>
      </c>
      <c r="F1028" s="31">
        <v>0</v>
      </c>
      <c r="G1028" s="31">
        <v>0</v>
      </c>
      <c r="H1028" s="31">
        <v>0</v>
      </c>
      <c r="I1028" s="31">
        <v>0</v>
      </c>
      <c r="J1028" s="31">
        <v>0</v>
      </c>
      <c r="K1028" s="33">
        <v>0</v>
      </c>
      <c r="L1028" s="31">
        <v>0</v>
      </c>
      <c r="M1028" s="31">
        <v>562</v>
      </c>
      <c r="N1028" s="31">
        <v>2533263.77</v>
      </c>
      <c r="O1028" s="31">
        <v>0</v>
      </c>
      <c r="P1028" s="31">
        <v>0</v>
      </c>
      <c r="Q1028" s="31">
        <v>0</v>
      </c>
      <c r="R1028" s="31">
        <v>0</v>
      </c>
      <c r="S1028" s="31">
        <v>0</v>
      </c>
      <c r="T1028" s="31">
        <v>0</v>
      </c>
      <c r="U1028" s="31">
        <v>0</v>
      </c>
      <c r="V1028" s="31">
        <v>0</v>
      </c>
      <c r="W1028" s="31">
        <v>0</v>
      </c>
      <c r="X1028" s="31">
        <v>0</v>
      </c>
      <c r="Y1028" s="31">
        <v>0</v>
      </c>
      <c r="Z1028" s="31">
        <v>0</v>
      </c>
      <c r="AA1028" s="31">
        <v>0</v>
      </c>
      <c r="AB1028" s="31">
        <v>0</v>
      </c>
      <c r="AC1028" s="31">
        <v>37998.959999999999</v>
      </c>
      <c r="AD1028" s="31">
        <v>0</v>
      </c>
      <c r="AE1028" s="31">
        <v>0</v>
      </c>
      <c r="AF1028" s="345" t="s">
        <v>271</v>
      </c>
      <c r="AG1028" s="345">
        <v>2022</v>
      </c>
      <c r="AH1028" s="346">
        <v>2022</v>
      </c>
      <c r="AT1028" s="20" t="e">
        <f t="shared" si="255"/>
        <v>#N/A</v>
      </c>
      <c r="BZ1028" s="71"/>
    </row>
    <row r="1029" spans="1:78" ht="61.5" x14ac:dyDescent="0.85">
      <c r="A1029" s="20">
        <v>1</v>
      </c>
      <c r="B1029" s="66">
        <f>SUBTOTAL(103,$A$994:A1029)</f>
        <v>36</v>
      </c>
      <c r="C1029" s="24" t="s">
        <v>603</v>
      </c>
      <c r="D1029" s="31">
        <f t="shared" si="253"/>
        <v>1989100.53</v>
      </c>
      <c r="E1029" s="31">
        <v>0</v>
      </c>
      <c r="F1029" s="31">
        <v>0</v>
      </c>
      <c r="G1029" s="31">
        <v>0</v>
      </c>
      <c r="H1029" s="31">
        <v>0</v>
      </c>
      <c r="I1029" s="31">
        <v>0</v>
      </c>
      <c r="J1029" s="31">
        <v>0</v>
      </c>
      <c r="K1029" s="33">
        <v>0</v>
      </c>
      <c r="L1029" s="31">
        <v>0</v>
      </c>
      <c r="M1029" s="31">
        <v>0</v>
      </c>
      <c r="N1029" s="31">
        <v>0</v>
      </c>
      <c r="O1029" s="31">
        <v>0</v>
      </c>
      <c r="P1029" s="31">
        <v>0</v>
      </c>
      <c r="Q1029" s="31">
        <v>400</v>
      </c>
      <c r="R1029" s="31">
        <v>1959704.96</v>
      </c>
      <c r="S1029" s="31">
        <v>0</v>
      </c>
      <c r="T1029" s="31">
        <v>0</v>
      </c>
      <c r="U1029" s="31">
        <v>0</v>
      </c>
      <c r="V1029" s="31">
        <v>0</v>
      </c>
      <c r="W1029" s="31">
        <v>0</v>
      </c>
      <c r="X1029" s="31">
        <v>0</v>
      </c>
      <c r="Y1029" s="31">
        <v>0</v>
      </c>
      <c r="Z1029" s="31">
        <v>0</v>
      </c>
      <c r="AA1029" s="31">
        <v>0</v>
      </c>
      <c r="AB1029" s="31">
        <v>0</v>
      </c>
      <c r="AC1029" s="31">
        <v>29395.57</v>
      </c>
      <c r="AD1029" s="31">
        <v>0</v>
      </c>
      <c r="AE1029" s="31">
        <v>0</v>
      </c>
      <c r="AF1029" s="345" t="s">
        <v>271</v>
      </c>
      <c r="AG1029" s="345">
        <v>2022</v>
      </c>
      <c r="AH1029" s="346">
        <v>2022</v>
      </c>
      <c r="AT1029" s="20" t="e">
        <f t="shared" si="255"/>
        <v>#N/A</v>
      </c>
      <c r="BZ1029" s="71"/>
    </row>
    <row r="1030" spans="1:78" ht="61.5" x14ac:dyDescent="0.85">
      <c r="A1030" s="20">
        <v>1</v>
      </c>
      <c r="B1030" s="66">
        <f>SUBTOTAL(103,$A$994:A1030)</f>
        <v>37</v>
      </c>
      <c r="C1030" s="24" t="s">
        <v>604</v>
      </c>
      <c r="D1030" s="31">
        <f t="shared" si="253"/>
        <v>4272967.33</v>
      </c>
      <c r="E1030" s="31">
        <v>0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3">
        <v>0</v>
      </c>
      <c r="L1030" s="31">
        <v>0</v>
      </c>
      <c r="M1030" s="31">
        <v>960</v>
      </c>
      <c r="N1030" s="31">
        <v>4209820.03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1">
        <v>0</v>
      </c>
      <c r="Y1030" s="31">
        <v>0</v>
      </c>
      <c r="Z1030" s="31">
        <v>0</v>
      </c>
      <c r="AA1030" s="31">
        <v>0</v>
      </c>
      <c r="AB1030" s="31">
        <v>0</v>
      </c>
      <c r="AC1030" s="31">
        <v>63147.3</v>
      </c>
      <c r="AD1030" s="31">
        <v>0</v>
      </c>
      <c r="AE1030" s="31">
        <v>0</v>
      </c>
      <c r="AF1030" s="345" t="s">
        <v>271</v>
      </c>
      <c r="AG1030" s="345">
        <v>2022</v>
      </c>
      <c r="AH1030" s="346">
        <v>2022</v>
      </c>
      <c r="AT1030" s="20" t="e">
        <f t="shared" si="255"/>
        <v>#N/A</v>
      </c>
      <c r="BZ1030" s="71"/>
    </row>
    <row r="1031" spans="1:78" ht="61.5" x14ac:dyDescent="0.85">
      <c r="A1031" s="20">
        <v>1</v>
      </c>
      <c r="B1031" s="66">
        <f>SUBTOTAL(103,$A$994:A1031)</f>
        <v>38</v>
      </c>
      <c r="C1031" s="24" t="s">
        <v>605</v>
      </c>
      <c r="D1031" s="31">
        <f t="shared" si="253"/>
        <v>4272967.33</v>
      </c>
      <c r="E1031" s="31">
        <v>0</v>
      </c>
      <c r="F1031" s="31">
        <v>0</v>
      </c>
      <c r="G1031" s="31">
        <v>0</v>
      </c>
      <c r="H1031" s="31">
        <v>0</v>
      </c>
      <c r="I1031" s="31">
        <v>0</v>
      </c>
      <c r="J1031" s="31">
        <v>0</v>
      </c>
      <c r="K1031" s="33">
        <v>0</v>
      </c>
      <c r="L1031" s="31">
        <v>0</v>
      </c>
      <c r="M1031" s="31">
        <v>960</v>
      </c>
      <c r="N1031" s="31">
        <v>4209820.03</v>
      </c>
      <c r="O1031" s="31">
        <v>0</v>
      </c>
      <c r="P1031" s="31">
        <v>0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1">
        <v>0</v>
      </c>
      <c r="W1031" s="31">
        <v>0</v>
      </c>
      <c r="X1031" s="31">
        <v>0</v>
      </c>
      <c r="Y1031" s="31">
        <v>0</v>
      </c>
      <c r="Z1031" s="31">
        <v>0</v>
      </c>
      <c r="AA1031" s="31">
        <v>0</v>
      </c>
      <c r="AB1031" s="31">
        <v>0</v>
      </c>
      <c r="AC1031" s="31">
        <v>63147.3</v>
      </c>
      <c r="AD1031" s="31">
        <v>0</v>
      </c>
      <c r="AE1031" s="31">
        <v>0</v>
      </c>
      <c r="AF1031" s="345" t="s">
        <v>271</v>
      </c>
      <c r="AG1031" s="345">
        <v>2022</v>
      </c>
      <c r="AH1031" s="346">
        <v>2022</v>
      </c>
      <c r="AT1031" s="20" t="e">
        <f t="shared" si="255"/>
        <v>#N/A</v>
      </c>
      <c r="BZ1031" s="71"/>
    </row>
    <row r="1032" spans="1:78" ht="61.5" x14ac:dyDescent="0.85">
      <c r="A1032" s="20">
        <v>1</v>
      </c>
      <c r="B1032" s="66">
        <f>SUBTOTAL(103,$A$994:A1032)</f>
        <v>39</v>
      </c>
      <c r="C1032" s="24" t="s">
        <v>606</v>
      </c>
      <c r="D1032" s="31">
        <f t="shared" si="253"/>
        <v>1633943.5899999999</v>
      </c>
      <c r="E1032" s="31">
        <v>0</v>
      </c>
      <c r="F1032" s="31">
        <v>0</v>
      </c>
      <c r="G1032" s="31">
        <v>0</v>
      </c>
      <c r="H1032" s="31">
        <v>0</v>
      </c>
      <c r="I1032" s="31">
        <v>0</v>
      </c>
      <c r="J1032" s="31">
        <v>0</v>
      </c>
      <c r="K1032" s="33">
        <v>0</v>
      </c>
      <c r="L1032" s="31">
        <v>0</v>
      </c>
      <c r="M1032" s="31">
        <v>364.8</v>
      </c>
      <c r="N1032" s="31">
        <v>1609796.64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1">
        <v>0</v>
      </c>
      <c r="X1032" s="31">
        <v>0</v>
      </c>
      <c r="Y1032" s="31">
        <v>0</v>
      </c>
      <c r="Z1032" s="31">
        <v>0</v>
      </c>
      <c r="AA1032" s="31">
        <v>0</v>
      </c>
      <c r="AB1032" s="31">
        <v>0</v>
      </c>
      <c r="AC1032" s="31">
        <v>24146.95</v>
      </c>
      <c r="AD1032" s="31">
        <v>0</v>
      </c>
      <c r="AE1032" s="31">
        <v>0</v>
      </c>
      <c r="AF1032" s="345" t="s">
        <v>271</v>
      </c>
      <c r="AG1032" s="345">
        <v>2022</v>
      </c>
      <c r="AH1032" s="346">
        <v>2022</v>
      </c>
      <c r="AT1032" s="20" t="e">
        <f t="shared" si="255"/>
        <v>#N/A</v>
      </c>
      <c r="BZ1032" s="71"/>
    </row>
    <row r="1033" spans="1:78" ht="61.5" x14ac:dyDescent="0.85">
      <c r="A1033" s="20">
        <v>1</v>
      </c>
      <c r="B1033" s="66">
        <f>SUBTOTAL(103,$A$994:A1033)</f>
        <v>40</v>
      </c>
      <c r="C1033" s="24" t="s">
        <v>607</v>
      </c>
      <c r="D1033" s="31">
        <f t="shared" si="253"/>
        <v>4272967.33</v>
      </c>
      <c r="E1033" s="31">
        <v>0</v>
      </c>
      <c r="F1033" s="31">
        <v>0</v>
      </c>
      <c r="G1033" s="31">
        <v>0</v>
      </c>
      <c r="H1033" s="31">
        <v>0</v>
      </c>
      <c r="I1033" s="31">
        <v>0</v>
      </c>
      <c r="J1033" s="31">
        <v>0</v>
      </c>
      <c r="K1033" s="33">
        <v>0</v>
      </c>
      <c r="L1033" s="31">
        <v>0</v>
      </c>
      <c r="M1033" s="31">
        <v>960</v>
      </c>
      <c r="N1033" s="31">
        <v>4209820.03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1">
        <v>0</v>
      </c>
      <c r="X1033" s="31">
        <v>0</v>
      </c>
      <c r="Y1033" s="31">
        <v>0</v>
      </c>
      <c r="Z1033" s="31">
        <v>0</v>
      </c>
      <c r="AA1033" s="31">
        <v>0</v>
      </c>
      <c r="AB1033" s="31">
        <v>0</v>
      </c>
      <c r="AC1033" s="31">
        <v>63147.3</v>
      </c>
      <c r="AD1033" s="31">
        <v>0</v>
      </c>
      <c r="AE1033" s="31">
        <v>0</v>
      </c>
      <c r="AF1033" s="345" t="s">
        <v>271</v>
      </c>
      <c r="AG1033" s="345">
        <v>2022</v>
      </c>
      <c r="AH1033" s="346">
        <v>2022</v>
      </c>
      <c r="AT1033" s="20" t="e">
        <f t="shared" si="255"/>
        <v>#N/A</v>
      </c>
      <c r="BZ1033" s="71"/>
    </row>
    <row r="1034" spans="1:78" ht="61.5" x14ac:dyDescent="0.85">
      <c r="A1034" s="20">
        <v>1</v>
      </c>
      <c r="B1034" s="66">
        <f>SUBTOTAL(103,$A$994:A1034)</f>
        <v>41</v>
      </c>
      <c r="C1034" s="24" t="s">
        <v>608</v>
      </c>
      <c r="D1034" s="31">
        <f t="shared" si="253"/>
        <v>3064601.1799999997</v>
      </c>
      <c r="E1034" s="31">
        <v>0</v>
      </c>
      <c r="F1034" s="31">
        <v>0</v>
      </c>
      <c r="G1034" s="31">
        <v>0</v>
      </c>
      <c r="H1034" s="31">
        <v>0</v>
      </c>
      <c r="I1034" s="31">
        <v>0</v>
      </c>
      <c r="J1034" s="31">
        <v>0</v>
      </c>
      <c r="K1034" s="33">
        <v>0</v>
      </c>
      <c r="L1034" s="31">
        <v>0</v>
      </c>
      <c r="M1034" s="31">
        <v>670</v>
      </c>
      <c r="N1034" s="31">
        <v>3019311.51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0</v>
      </c>
      <c r="U1034" s="31">
        <v>0</v>
      </c>
      <c r="V1034" s="31">
        <v>0</v>
      </c>
      <c r="W1034" s="31">
        <v>0</v>
      </c>
      <c r="X1034" s="31">
        <v>0</v>
      </c>
      <c r="Y1034" s="31">
        <v>0</v>
      </c>
      <c r="Z1034" s="31">
        <v>0</v>
      </c>
      <c r="AA1034" s="31">
        <v>0</v>
      </c>
      <c r="AB1034" s="31">
        <v>0</v>
      </c>
      <c r="AC1034" s="31">
        <v>45289.67</v>
      </c>
      <c r="AD1034" s="31">
        <v>0</v>
      </c>
      <c r="AE1034" s="31">
        <v>0</v>
      </c>
      <c r="AF1034" s="345" t="s">
        <v>271</v>
      </c>
      <c r="AG1034" s="345">
        <v>2022</v>
      </c>
      <c r="AH1034" s="346">
        <v>2022</v>
      </c>
      <c r="AT1034" s="20" t="e">
        <f t="shared" si="255"/>
        <v>#N/A</v>
      </c>
      <c r="BZ1034" s="71"/>
    </row>
    <row r="1035" spans="1:78" ht="61.5" x14ac:dyDescent="0.85">
      <c r="A1035" s="20">
        <v>1</v>
      </c>
      <c r="B1035" s="66">
        <f>SUBTOTAL(103,$A$994:A1035)</f>
        <v>42</v>
      </c>
      <c r="C1035" s="24" t="s">
        <v>609</v>
      </c>
      <c r="D1035" s="31">
        <f t="shared" si="253"/>
        <v>1046986.94</v>
      </c>
      <c r="E1035" s="31">
        <v>0</v>
      </c>
      <c r="F1035" s="31">
        <v>0</v>
      </c>
      <c r="G1035" s="31">
        <v>0</v>
      </c>
      <c r="H1035" s="31">
        <v>0</v>
      </c>
      <c r="I1035" s="31">
        <v>0</v>
      </c>
      <c r="J1035" s="31">
        <v>0</v>
      </c>
      <c r="K1035" s="33">
        <v>0</v>
      </c>
      <c r="L1035" s="31">
        <v>0</v>
      </c>
      <c r="M1035" s="31">
        <v>235</v>
      </c>
      <c r="N1035" s="31">
        <v>1031514.23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31">
        <v>0</v>
      </c>
      <c r="U1035" s="31">
        <v>0</v>
      </c>
      <c r="V1035" s="31">
        <v>0</v>
      </c>
      <c r="W1035" s="31">
        <v>0</v>
      </c>
      <c r="X1035" s="31">
        <v>0</v>
      </c>
      <c r="Y1035" s="31">
        <v>0</v>
      </c>
      <c r="Z1035" s="31">
        <v>0</v>
      </c>
      <c r="AA1035" s="31">
        <v>0</v>
      </c>
      <c r="AB1035" s="31">
        <v>0</v>
      </c>
      <c r="AC1035" s="31">
        <v>15472.71</v>
      </c>
      <c r="AD1035" s="31">
        <v>0</v>
      </c>
      <c r="AE1035" s="31">
        <v>0</v>
      </c>
      <c r="AF1035" s="345" t="s">
        <v>271</v>
      </c>
      <c r="AG1035" s="345">
        <v>2022</v>
      </c>
      <c r="AH1035" s="346">
        <v>2022</v>
      </c>
      <c r="AT1035" s="20" t="e">
        <f t="shared" si="255"/>
        <v>#N/A</v>
      </c>
      <c r="BZ1035" s="71"/>
    </row>
    <row r="1036" spans="1:78" ht="61.5" x14ac:dyDescent="0.85">
      <c r="A1036" s="20">
        <v>1</v>
      </c>
      <c r="B1036" s="66">
        <f>SUBTOTAL(103,$A$994:A1036)</f>
        <v>43</v>
      </c>
      <c r="C1036" s="24" t="s">
        <v>610</v>
      </c>
      <c r="D1036" s="31">
        <f t="shared" si="253"/>
        <v>3516149.44</v>
      </c>
      <c r="E1036" s="31">
        <v>0</v>
      </c>
      <c r="F1036" s="31">
        <v>0</v>
      </c>
      <c r="G1036" s="31">
        <v>0</v>
      </c>
      <c r="H1036" s="31">
        <v>0</v>
      </c>
      <c r="I1036" s="31">
        <v>0</v>
      </c>
      <c r="J1036" s="31">
        <v>0</v>
      </c>
      <c r="K1036" s="33">
        <v>0</v>
      </c>
      <c r="L1036" s="31">
        <v>0</v>
      </c>
      <c r="M1036" s="31">
        <v>765</v>
      </c>
      <c r="N1036" s="31">
        <v>3464186.64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1">
        <v>0</v>
      </c>
      <c r="X1036" s="31">
        <v>0</v>
      </c>
      <c r="Y1036" s="31">
        <v>0</v>
      </c>
      <c r="Z1036" s="31">
        <v>0</v>
      </c>
      <c r="AA1036" s="31">
        <v>0</v>
      </c>
      <c r="AB1036" s="31">
        <v>0</v>
      </c>
      <c r="AC1036" s="31">
        <v>51962.8</v>
      </c>
      <c r="AD1036" s="31">
        <v>0</v>
      </c>
      <c r="AE1036" s="31">
        <v>0</v>
      </c>
      <c r="AF1036" s="345" t="s">
        <v>271</v>
      </c>
      <c r="AG1036" s="345">
        <v>2022</v>
      </c>
      <c r="AH1036" s="346">
        <v>2022</v>
      </c>
      <c r="AT1036" s="20" t="e">
        <f t="shared" si="255"/>
        <v>#N/A</v>
      </c>
      <c r="BZ1036" s="71"/>
    </row>
    <row r="1037" spans="1:78" ht="61.5" x14ac:dyDescent="0.85">
      <c r="A1037" s="20">
        <v>1</v>
      </c>
      <c r="B1037" s="66">
        <f>SUBTOTAL(103,$A$994:A1037)</f>
        <v>44</v>
      </c>
      <c r="C1037" s="24" t="s">
        <v>1397</v>
      </c>
      <c r="D1037" s="31">
        <f t="shared" si="253"/>
        <v>7840331.7599999998</v>
      </c>
      <c r="E1037" s="31">
        <v>0</v>
      </c>
      <c r="F1037" s="31">
        <v>0</v>
      </c>
      <c r="G1037" s="31">
        <v>0</v>
      </c>
      <c r="H1037" s="31">
        <v>0</v>
      </c>
      <c r="I1037" s="31">
        <v>0</v>
      </c>
      <c r="J1037" s="31">
        <v>0</v>
      </c>
      <c r="K1037" s="33">
        <v>0</v>
      </c>
      <c r="L1037" s="31">
        <v>0</v>
      </c>
      <c r="M1037" s="31">
        <v>2314</v>
      </c>
      <c r="N1037" s="31">
        <v>7724464.79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1">
        <v>0</v>
      </c>
      <c r="X1037" s="31">
        <v>0</v>
      </c>
      <c r="Y1037" s="31">
        <v>0</v>
      </c>
      <c r="Z1037" s="31">
        <v>0</v>
      </c>
      <c r="AA1037" s="31">
        <v>0</v>
      </c>
      <c r="AB1037" s="31">
        <v>0</v>
      </c>
      <c r="AC1037" s="31">
        <v>115866.97</v>
      </c>
      <c r="AD1037" s="31">
        <v>0</v>
      </c>
      <c r="AE1037" s="31">
        <v>0</v>
      </c>
      <c r="AF1037" s="345" t="s">
        <v>271</v>
      </c>
      <c r="AG1037" s="345">
        <v>2022</v>
      </c>
      <c r="AH1037" s="346">
        <v>2022</v>
      </c>
      <c r="BZ1037" s="71"/>
    </row>
    <row r="1038" spans="1:78" ht="61.5" x14ac:dyDescent="0.85">
      <c r="A1038" s="20">
        <v>1</v>
      </c>
      <c r="B1038" s="66">
        <f>SUBTOTAL(103,$A$994:A1038)</f>
        <v>45</v>
      </c>
      <c r="C1038" s="24" t="s">
        <v>1657</v>
      </c>
      <c r="D1038" s="31">
        <f t="shared" si="253"/>
        <v>5836250</v>
      </c>
      <c r="E1038" s="31">
        <v>0</v>
      </c>
      <c r="F1038" s="31">
        <v>0</v>
      </c>
      <c r="G1038" s="31">
        <v>0</v>
      </c>
      <c r="H1038" s="31">
        <v>0</v>
      </c>
      <c r="I1038" s="31">
        <v>0</v>
      </c>
      <c r="J1038" s="31">
        <v>0</v>
      </c>
      <c r="K1038" s="33">
        <v>0</v>
      </c>
      <c r="L1038" s="31">
        <v>0</v>
      </c>
      <c r="M1038" s="31">
        <v>1196</v>
      </c>
      <c r="N1038" s="31">
        <v>5750000</v>
      </c>
      <c r="O1038" s="31">
        <v>0</v>
      </c>
      <c r="P1038" s="31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1">
        <v>0</v>
      </c>
      <c r="W1038" s="31">
        <v>0</v>
      </c>
      <c r="X1038" s="31">
        <v>0</v>
      </c>
      <c r="Y1038" s="31">
        <v>0</v>
      </c>
      <c r="Z1038" s="31">
        <v>0</v>
      </c>
      <c r="AA1038" s="31">
        <v>0</v>
      </c>
      <c r="AB1038" s="31">
        <v>0</v>
      </c>
      <c r="AC1038" s="31">
        <v>86250</v>
      </c>
      <c r="AD1038" s="31">
        <v>0</v>
      </c>
      <c r="AE1038" s="31">
        <v>0</v>
      </c>
      <c r="AF1038" s="345" t="s">
        <v>271</v>
      </c>
      <c r="AG1038" s="345">
        <v>2022</v>
      </c>
      <c r="AH1038" s="346">
        <v>2022</v>
      </c>
      <c r="BZ1038" s="71"/>
    </row>
    <row r="1039" spans="1:78" ht="61.5" x14ac:dyDescent="0.85">
      <c r="A1039" s="20">
        <v>1</v>
      </c>
      <c r="B1039" s="66">
        <f>SUBTOTAL(103,$A$994:A1039)</f>
        <v>46</v>
      </c>
      <c r="C1039" s="24" t="s">
        <v>1658</v>
      </c>
      <c r="D1039" s="31">
        <f t="shared" si="253"/>
        <v>2840502.02</v>
      </c>
      <c r="E1039" s="31">
        <v>0</v>
      </c>
      <c r="F1039" s="31">
        <v>0</v>
      </c>
      <c r="G1039" s="31">
        <v>0</v>
      </c>
      <c r="H1039" s="31">
        <v>0</v>
      </c>
      <c r="I1039" s="31">
        <v>0</v>
      </c>
      <c r="J1039" s="31">
        <v>0</v>
      </c>
      <c r="K1039" s="33">
        <v>0</v>
      </c>
      <c r="L1039" s="31">
        <v>0</v>
      </c>
      <c r="M1039" s="31">
        <v>587</v>
      </c>
      <c r="N1039" s="31">
        <v>2798524.16</v>
      </c>
      <c r="O1039" s="31">
        <v>0</v>
      </c>
      <c r="P1039" s="31">
        <v>0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0</v>
      </c>
      <c r="X1039" s="31">
        <v>0</v>
      </c>
      <c r="Y1039" s="31">
        <v>0</v>
      </c>
      <c r="Z1039" s="31">
        <v>0</v>
      </c>
      <c r="AA1039" s="31">
        <v>0</v>
      </c>
      <c r="AB1039" s="31">
        <v>0</v>
      </c>
      <c r="AC1039" s="31">
        <v>41977.86</v>
      </c>
      <c r="AD1039" s="31">
        <v>0</v>
      </c>
      <c r="AE1039" s="31">
        <v>0</v>
      </c>
      <c r="AF1039" s="345" t="s">
        <v>271</v>
      </c>
      <c r="AG1039" s="345">
        <v>2022</v>
      </c>
      <c r="AH1039" s="346">
        <v>2022</v>
      </c>
      <c r="BZ1039" s="71"/>
    </row>
    <row r="1040" spans="1:78" ht="61.5" x14ac:dyDescent="0.85">
      <c r="A1040" s="20">
        <v>1</v>
      </c>
      <c r="B1040" s="66">
        <f>SUBTOTAL(103,$A$994:A1040)</f>
        <v>47</v>
      </c>
      <c r="C1040" s="24" t="s">
        <v>611</v>
      </c>
      <c r="D1040" s="31">
        <f t="shared" si="253"/>
        <v>4404985.5199999996</v>
      </c>
      <c r="E1040" s="31">
        <v>0</v>
      </c>
      <c r="F1040" s="31">
        <v>0</v>
      </c>
      <c r="G1040" s="31">
        <v>0</v>
      </c>
      <c r="H1040" s="31">
        <v>0</v>
      </c>
      <c r="I1040" s="31">
        <v>0</v>
      </c>
      <c r="J1040" s="31">
        <v>0</v>
      </c>
      <c r="K1040" s="33">
        <v>0</v>
      </c>
      <c r="L1040" s="31">
        <v>0</v>
      </c>
      <c r="M1040" s="31">
        <v>952</v>
      </c>
      <c r="N1040" s="31">
        <v>4339887.21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  <c r="V1040" s="31">
        <v>0</v>
      </c>
      <c r="W1040" s="31">
        <v>0</v>
      </c>
      <c r="X1040" s="31">
        <v>0</v>
      </c>
      <c r="Y1040" s="31">
        <v>0</v>
      </c>
      <c r="Z1040" s="31">
        <v>0</v>
      </c>
      <c r="AA1040" s="31">
        <v>0</v>
      </c>
      <c r="AB1040" s="31">
        <v>0</v>
      </c>
      <c r="AC1040" s="31">
        <v>65098.31</v>
      </c>
      <c r="AD1040" s="31">
        <v>0</v>
      </c>
      <c r="AE1040" s="31">
        <v>0</v>
      </c>
      <c r="AF1040" s="345" t="s">
        <v>271</v>
      </c>
      <c r="AG1040" s="345">
        <v>2022</v>
      </c>
      <c r="AH1040" s="346">
        <v>2022</v>
      </c>
      <c r="AT1040" s="20" t="e">
        <f>VLOOKUP(C1040,AW:AX,2,FALSE)</f>
        <v>#N/A</v>
      </c>
      <c r="BZ1040" s="71"/>
    </row>
    <row r="1041" spans="1:82" ht="61.5" x14ac:dyDescent="0.85">
      <c r="A1041" s="20">
        <v>1</v>
      </c>
      <c r="B1041" s="66">
        <f>SUBTOTAL(103,$A$994:A1041)</f>
        <v>48</v>
      </c>
      <c r="C1041" s="24" t="s">
        <v>1640</v>
      </c>
      <c r="D1041" s="31">
        <f t="shared" si="253"/>
        <v>7371186.2199999997</v>
      </c>
      <c r="E1041" s="31">
        <v>0</v>
      </c>
      <c r="F1041" s="31">
        <v>0</v>
      </c>
      <c r="G1041" s="31">
        <v>0</v>
      </c>
      <c r="H1041" s="31">
        <v>0</v>
      </c>
      <c r="I1041" s="31">
        <v>0</v>
      </c>
      <c r="J1041" s="31">
        <v>0</v>
      </c>
      <c r="K1041" s="33">
        <v>0</v>
      </c>
      <c r="L1041" s="31">
        <v>0</v>
      </c>
      <c r="M1041" s="31">
        <v>1626.8</v>
      </c>
      <c r="N1041" s="31">
        <v>7262252.4299999997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1">
        <v>0</v>
      </c>
      <c r="Z1041" s="31">
        <v>0</v>
      </c>
      <c r="AA1041" s="31">
        <v>0</v>
      </c>
      <c r="AB1041" s="31">
        <v>0</v>
      </c>
      <c r="AC1041" s="31">
        <v>108933.79</v>
      </c>
      <c r="AD1041" s="31">
        <v>0</v>
      </c>
      <c r="AE1041" s="31">
        <v>0</v>
      </c>
      <c r="AF1041" s="345" t="s">
        <v>271</v>
      </c>
      <c r="AG1041" s="345">
        <v>2022</v>
      </c>
      <c r="AH1041" s="346">
        <v>2022</v>
      </c>
      <c r="BZ1041" s="71"/>
    </row>
    <row r="1042" spans="1:82" ht="61.5" x14ac:dyDescent="0.85">
      <c r="A1042" s="20">
        <v>1</v>
      </c>
      <c r="B1042" s="66">
        <f>SUBTOTAL(103,$A$994:A1042)</f>
        <v>49</v>
      </c>
      <c r="C1042" s="24" t="s">
        <v>612</v>
      </c>
      <c r="D1042" s="31">
        <f t="shared" si="253"/>
        <v>3550462.6100000003</v>
      </c>
      <c r="E1042" s="31">
        <v>0</v>
      </c>
      <c r="F1042" s="31">
        <v>0</v>
      </c>
      <c r="G1042" s="31">
        <v>0</v>
      </c>
      <c r="H1042" s="31">
        <v>0</v>
      </c>
      <c r="I1042" s="31">
        <v>0</v>
      </c>
      <c r="J1042" s="31">
        <v>0</v>
      </c>
      <c r="K1042" s="33">
        <v>0</v>
      </c>
      <c r="L1042" s="31">
        <v>0</v>
      </c>
      <c r="M1042" s="31">
        <v>807.01</v>
      </c>
      <c r="N1042" s="31">
        <v>3497992.72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31">
        <v>0</v>
      </c>
      <c r="AC1042" s="31">
        <v>52469.89</v>
      </c>
      <c r="AD1042" s="31">
        <v>0</v>
      </c>
      <c r="AE1042" s="31">
        <v>0</v>
      </c>
      <c r="AF1042" s="345" t="s">
        <v>271</v>
      </c>
      <c r="AG1042" s="345">
        <v>2022</v>
      </c>
      <c r="AH1042" s="346">
        <v>2022</v>
      </c>
      <c r="AT1042" s="20" t="e">
        <f t="shared" ref="AT1042:AT1052" si="256">VLOOKUP(C1042,AW:AX,2,FALSE)</f>
        <v>#N/A</v>
      </c>
      <c r="BZ1042" s="71"/>
    </row>
    <row r="1043" spans="1:82" ht="61.5" x14ac:dyDescent="0.85">
      <c r="A1043" s="20">
        <v>1</v>
      </c>
      <c r="B1043" s="66">
        <f>SUBTOTAL(103,$A$994:A1043)</f>
        <v>50</v>
      </c>
      <c r="C1043" s="24" t="s">
        <v>613</v>
      </c>
      <c r="D1043" s="31">
        <f t="shared" si="253"/>
        <v>4265711.66</v>
      </c>
      <c r="E1043" s="31">
        <v>0</v>
      </c>
      <c r="F1043" s="31">
        <v>0</v>
      </c>
      <c r="G1043" s="31">
        <v>0</v>
      </c>
      <c r="H1043" s="31">
        <v>0</v>
      </c>
      <c r="I1043" s="31">
        <v>0</v>
      </c>
      <c r="J1043" s="31">
        <v>0</v>
      </c>
      <c r="K1043" s="33">
        <v>0</v>
      </c>
      <c r="L1043" s="31">
        <v>0</v>
      </c>
      <c r="M1043" s="31">
        <v>975</v>
      </c>
      <c r="N1043" s="31">
        <v>4202671.59</v>
      </c>
      <c r="O1043" s="31">
        <v>0</v>
      </c>
      <c r="P1043" s="31">
        <v>0</v>
      </c>
      <c r="Q1043" s="31">
        <v>0</v>
      </c>
      <c r="R1043" s="31">
        <v>0</v>
      </c>
      <c r="S1043" s="31">
        <v>0</v>
      </c>
      <c r="T1043" s="31">
        <v>0</v>
      </c>
      <c r="U1043" s="31">
        <v>0</v>
      </c>
      <c r="V1043" s="31">
        <v>0</v>
      </c>
      <c r="W1043" s="31">
        <v>0</v>
      </c>
      <c r="X1043" s="31">
        <v>0</v>
      </c>
      <c r="Y1043" s="31">
        <v>0</v>
      </c>
      <c r="Z1043" s="31">
        <v>0</v>
      </c>
      <c r="AA1043" s="31">
        <v>0</v>
      </c>
      <c r="AB1043" s="31">
        <v>0</v>
      </c>
      <c r="AC1043" s="31">
        <v>63040.07</v>
      </c>
      <c r="AD1043" s="31">
        <v>0</v>
      </c>
      <c r="AE1043" s="31">
        <v>0</v>
      </c>
      <c r="AF1043" s="345" t="s">
        <v>271</v>
      </c>
      <c r="AG1043" s="345">
        <v>2022</v>
      </c>
      <c r="AH1043" s="346">
        <v>2022</v>
      </c>
      <c r="AT1043" s="20" t="e">
        <f t="shared" si="256"/>
        <v>#N/A</v>
      </c>
      <c r="BZ1043" s="71"/>
    </row>
    <row r="1044" spans="1:82" ht="61.5" x14ac:dyDescent="0.85">
      <c r="A1044" s="20">
        <v>1</v>
      </c>
      <c r="B1044" s="66">
        <f>SUBTOTAL(103,$A$994:A1044)</f>
        <v>51</v>
      </c>
      <c r="C1044" s="24" t="s">
        <v>614</v>
      </c>
      <c r="D1044" s="31">
        <f t="shared" si="253"/>
        <v>3545858.66</v>
      </c>
      <c r="E1044" s="31">
        <v>0</v>
      </c>
      <c r="F1044" s="31">
        <v>0</v>
      </c>
      <c r="G1044" s="31">
        <v>0</v>
      </c>
      <c r="H1044" s="31">
        <v>0</v>
      </c>
      <c r="I1044" s="31">
        <v>0</v>
      </c>
      <c r="J1044" s="31">
        <v>0</v>
      </c>
      <c r="K1044" s="33">
        <v>0</v>
      </c>
      <c r="L1044" s="31">
        <v>0</v>
      </c>
      <c r="M1044" s="31">
        <v>771.25</v>
      </c>
      <c r="N1044" s="31">
        <v>3493456.81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1">
        <v>52401.85</v>
      </c>
      <c r="AD1044" s="31">
        <v>0</v>
      </c>
      <c r="AE1044" s="31">
        <v>0</v>
      </c>
      <c r="AF1044" s="345" t="s">
        <v>271</v>
      </c>
      <c r="AG1044" s="345">
        <v>2022</v>
      </c>
      <c r="AH1044" s="346">
        <v>2022</v>
      </c>
      <c r="AT1044" s="20" t="e">
        <f t="shared" si="256"/>
        <v>#N/A</v>
      </c>
      <c r="BZ1044" s="71"/>
    </row>
    <row r="1045" spans="1:82" ht="61.5" x14ac:dyDescent="0.85">
      <c r="A1045" s="20">
        <v>1</v>
      </c>
      <c r="B1045" s="66">
        <f>SUBTOTAL(103,$A$994:A1045)</f>
        <v>52</v>
      </c>
      <c r="C1045" s="24" t="s">
        <v>615</v>
      </c>
      <c r="D1045" s="31">
        <f t="shared" si="253"/>
        <v>4460834.87</v>
      </c>
      <c r="E1045" s="31">
        <v>0</v>
      </c>
      <c r="F1045" s="31">
        <v>0</v>
      </c>
      <c r="G1045" s="31">
        <v>0</v>
      </c>
      <c r="H1045" s="31">
        <v>0</v>
      </c>
      <c r="I1045" s="31">
        <v>0</v>
      </c>
      <c r="J1045" s="31">
        <v>0</v>
      </c>
      <c r="K1045" s="33">
        <v>0</v>
      </c>
      <c r="L1045" s="31">
        <v>0</v>
      </c>
      <c r="M1045" s="31">
        <v>963.75</v>
      </c>
      <c r="N1045" s="31">
        <v>4394911.2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1">
        <v>0</v>
      </c>
      <c r="Y1045" s="31">
        <v>0</v>
      </c>
      <c r="Z1045" s="31">
        <v>0</v>
      </c>
      <c r="AA1045" s="31">
        <v>0</v>
      </c>
      <c r="AB1045" s="31">
        <v>0</v>
      </c>
      <c r="AC1045" s="31">
        <v>65923.67</v>
      </c>
      <c r="AD1045" s="31">
        <v>0</v>
      </c>
      <c r="AE1045" s="31">
        <v>0</v>
      </c>
      <c r="AF1045" s="345" t="s">
        <v>271</v>
      </c>
      <c r="AG1045" s="345">
        <v>2022</v>
      </c>
      <c r="AH1045" s="346">
        <v>2022</v>
      </c>
      <c r="AT1045" s="20" t="e">
        <f t="shared" si="256"/>
        <v>#N/A</v>
      </c>
      <c r="BZ1045" s="71"/>
    </row>
    <row r="1046" spans="1:82" ht="61.5" x14ac:dyDescent="0.85">
      <c r="A1046" s="20">
        <v>1</v>
      </c>
      <c r="B1046" s="66">
        <f>SUBTOTAL(103,$A$994:A1046)</f>
        <v>53</v>
      </c>
      <c r="C1046" s="24" t="s">
        <v>502</v>
      </c>
      <c r="D1046" s="31">
        <f>E1046+F1046+G1046+H1046+I1046+J1046+L1046+N1046+P1046+R1046+T1046+U1046+V1046+W1046+X1046+Y1046+Z1046+AA1046+AB1046+AC1046+AD1046+AE1046</f>
        <v>2100000</v>
      </c>
      <c r="E1046" s="31">
        <v>0</v>
      </c>
      <c r="F1046" s="31">
        <v>0</v>
      </c>
      <c r="G1046" s="31">
        <v>0</v>
      </c>
      <c r="H1046" s="31">
        <v>0</v>
      </c>
      <c r="I1046" s="31">
        <v>0</v>
      </c>
      <c r="J1046" s="31">
        <v>0</v>
      </c>
      <c r="K1046" s="33">
        <v>1</v>
      </c>
      <c r="L1046" s="31">
        <v>2100000</v>
      </c>
      <c r="M1046" s="31">
        <v>0</v>
      </c>
      <c r="N1046" s="31">
        <v>0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31">
        <v>0</v>
      </c>
      <c r="AC1046" s="31">
        <v>0</v>
      </c>
      <c r="AD1046" s="31">
        <v>0</v>
      </c>
      <c r="AE1046" s="31">
        <v>0</v>
      </c>
      <c r="AF1046" s="345" t="s">
        <v>271</v>
      </c>
      <c r="AG1046" s="345">
        <v>2022</v>
      </c>
      <c r="AH1046" s="346" t="s">
        <v>271</v>
      </c>
      <c r="AT1046" s="20" t="e">
        <f t="shared" si="256"/>
        <v>#N/A</v>
      </c>
      <c r="BZ1046" s="71"/>
    </row>
    <row r="1047" spans="1:82" ht="61.5" x14ac:dyDescent="0.85">
      <c r="A1047" s="20">
        <v>1</v>
      </c>
      <c r="B1047" s="66">
        <f>SUBTOTAL(103,$A$994:A1047)</f>
        <v>54</v>
      </c>
      <c r="C1047" s="24" t="s">
        <v>1083</v>
      </c>
      <c r="D1047" s="31">
        <f>E1047+F1047+G1047+H1047+I1047+J1047+L1047+N1047+P1047+R1047+T1047+U1047+V1047+W1047+X1047+Y1047+Z1047+AA1047+AB1047+AC1047+AD1047+AE1047</f>
        <v>6300000</v>
      </c>
      <c r="E1047" s="31">
        <v>0</v>
      </c>
      <c r="F1047" s="31">
        <v>0</v>
      </c>
      <c r="G1047" s="31">
        <v>0</v>
      </c>
      <c r="H1047" s="31">
        <v>0</v>
      </c>
      <c r="I1047" s="31">
        <v>0</v>
      </c>
      <c r="J1047" s="31">
        <v>0</v>
      </c>
      <c r="K1047" s="33">
        <v>3</v>
      </c>
      <c r="L1047" s="31">
        <v>6300000</v>
      </c>
      <c r="M1047" s="31">
        <v>0</v>
      </c>
      <c r="N1047" s="31">
        <v>0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0</v>
      </c>
      <c r="U1047" s="31">
        <v>0</v>
      </c>
      <c r="V1047" s="31">
        <v>0</v>
      </c>
      <c r="W1047" s="31">
        <v>0</v>
      </c>
      <c r="X1047" s="31">
        <v>0</v>
      </c>
      <c r="Y1047" s="31">
        <v>0</v>
      </c>
      <c r="Z1047" s="31">
        <v>0</v>
      </c>
      <c r="AA1047" s="31">
        <v>0</v>
      </c>
      <c r="AB1047" s="31">
        <v>0</v>
      </c>
      <c r="AC1047" s="31">
        <v>0</v>
      </c>
      <c r="AD1047" s="31">
        <v>0</v>
      </c>
      <c r="AE1047" s="31">
        <v>0</v>
      </c>
      <c r="AF1047" s="345" t="s">
        <v>271</v>
      </c>
      <c r="AG1047" s="345">
        <v>2022</v>
      </c>
      <c r="AH1047" s="346" t="s">
        <v>271</v>
      </c>
      <c r="AT1047" s="20" t="e">
        <f t="shared" si="256"/>
        <v>#N/A</v>
      </c>
      <c r="BZ1047" s="71"/>
    </row>
    <row r="1048" spans="1:82" s="134" customFormat="1" ht="61.5" x14ac:dyDescent="0.85">
      <c r="A1048" s="134">
        <v>1</v>
      </c>
      <c r="B1048" s="66">
        <f>SUBTOTAL(103,$A$994:A1048)</f>
        <v>55</v>
      </c>
      <c r="C1048" s="24" t="s">
        <v>1709</v>
      </c>
      <c r="D1048" s="31">
        <f t="shared" si="253"/>
        <v>5062636.5</v>
      </c>
      <c r="E1048" s="31">
        <v>0</v>
      </c>
      <c r="F1048" s="31">
        <v>0</v>
      </c>
      <c r="G1048" s="31">
        <v>0</v>
      </c>
      <c r="H1048" s="31">
        <v>0</v>
      </c>
      <c r="I1048" s="31">
        <v>0</v>
      </c>
      <c r="J1048" s="31">
        <v>0</v>
      </c>
      <c r="K1048" s="33">
        <v>0</v>
      </c>
      <c r="L1048" s="31">
        <v>0</v>
      </c>
      <c r="M1048" s="31">
        <v>1234</v>
      </c>
      <c r="N1048" s="31">
        <v>4987819.21</v>
      </c>
      <c r="O1048" s="31">
        <v>0</v>
      </c>
      <c r="P1048" s="31">
        <v>0</v>
      </c>
      <c r="Q1048" s="31">
        <v>0</v>
      </c>
      <c r="R1048" s="31">
        <v>0</v>
      </c>
      <c r="S1048" s="31">
        <v>0</v>
      </c>
      <c r="T1048" s="31">
        <v>0</v>
      </c>
      <c r="U1048" s="31">
        <v>0</v>
      </c>
      <c r="V1048" s="31">
        <v>0</v>
      </c>
      <c r="W1048" s="31">
        <v>0</v>
      </c>
      <c r="X1048" s="31">
        <v>0</v>
      </c>
      <c r="Y1048" s="31">
        <v>0</v>
      </c>
      <c r="Z1048" s="31">
        <v>0</v>
      </c>
      <c r="AA1048" s="31">
        <v>0</v>
      </c>
      <c r="AB1048" s="31">
        <v>0</v>
      </c>
      <c r="AC1048" s="31">
        <v>74817.289999999994</v>
      </c>
      <c r="AD1048" s="31">
        <v>0</v>
      </c>
      <c r="AE1048" s="31">
        <v>0</v>
      </c>
      <c r="AF1048" s="345" t="s">
        <v>271</v>
      </c>
      <c r="AG1048" s="345">
        <v>2022</v>
      </c>
      <c r="AH1048" s="346">
        <v>2022</v>
      </c>
      <c r="AI1048" s="20"/>
      <c r="AJ1048" s="20"/>
      <c r="AK1048" s="20"/>
      <c r="AL1048" s="20"/>
      <c r="AT1048" s="134" t="e">
        <f t="shared" si="256"/>
        <v>#N/A</v>
      </c>
      <c r="BZ1048" s="135"/>
    </row>
    <row r="1049" spans="1:82" s="134" customFormat="1" ht="61.5" x14ac:dyDescent="0.85">
      <c r="A1049" s="134">
        <v>1</v>
      </c>
      <c r="B1049" s="66">
        <f>SUBTOTAL(103,$A$994:A1049)</f>
        <v>56</v>
      </c>
      <c r="C1049" s="24" t="s">
        <v>1710</v>
      </c>
      <c r="D1049" s="31">
        <f t="shared" ref="D1049" si="257">E1049+F1049+G1049+H1049+I1049+J1049+L1049+N1049+P1049+R1049+T1049+U1049+V1049+W1049+X1049+Y1049+Z1049+AA1049+AB1049+AC1049+AD1049+AE1049</f>
        <v>4800259.8</v>
      </c>
      <c r="E1049" s="31">
        <v>0</v>
      </c>
      <c r="F1049" s="31">
        <v>0</v>
      </c>
      <c r="G1049" s="31">
        <v>0</v>
      </c>
      <c r="H1049" s="31">
        <v>0</v>
      </c>
      <c r="I1049" s="31">
        <v>0</v>
      </c>
      <c r="J1049" s="31">
        <v>0</v>
      </c>
      <c r="K1049" s="33">
        <v>0</v>
      </c>
      <c r="L1049" s="31">
        <v>0</v>
      </c>
      <c r="M1049" s="31">
        <v>1200</v>
      </c>
      <c r="N1049" s="31">
        <v>4729320</v>
      </c>
      <c r="O1049" s="31">
        <v>0</v>
      </c>
      <c r="P1049" s="31">
        <v>0</v>
      </c>
      <c r="Q1049" s="31">
        <v>0</v>
      </c>
      <c r="R1049" s="31">
        <v>0</v>
      </c>
      <c r="S1049" s="31">
        <v>0</v>
      </c>
      <c r="T1049" s="31">
        <v>0</v>
      </c>
      <c r="U1049" s="31">
        <v>0</v>
      </c>
      <c r="V1049" s="31">
        <v>0</v>
      </c>
      <c r="W1049" s="31">
        <v>0</v>
      </c>
      <c r="X1049" s="31">
        <v>0</v>
      </c>
      <c r="Y1049" s="31">
        <v>0</v>
      </c>
      <c r="Z1049" s="31">
        <v>0</v>
      </c>
      <c r="AA1049" s="31">
        <v>0</v>
      </c>
      <c r="AB1049" s="31">
        <v>0</v>
      </c>
      <c r="AC1049" s="31">
        <v>70939.8</v>
      </c>
      <c r="AD1049" s="31">
        <v>0</v>
      </c>
      <c r="AE1049" s="31">
        <v>0</v>
      </c>
      <c r="AF1049" s="345" t="s">
        <v>271</v>
      </c>
      <c r="AG1049" s="345">
        <v>2022</v>
      </c>
      <c r="AH1049" s="346">
        <v>2022</v>
      </c>
      <c r="AI1049" s="20"/>
      <c r="AJ1049" s="20"/>
      <c r="AK1049" s="20"/>
      <c r="AL1049" s="20"/>
      <c r="AT1049" s="134" t="e">
        <f t="shared" si="256"/>
        <v>#N/A</v>
      </c>
      <c r="BZ1049" s="135"/>
    </row>
    <row r="1050" spans="1:82" ht="61.5" x14ac:dyDescent="0.85">
      <c r="A1050" s="20">
        <v>1</v>
      </c>
      <c r="B1050" s="66">
        <f>SUBTOTAL(103,$A$994:A1050)</f>
        <v>57</v>
      </c>
      <c r="C1050" s="24" t="s">
        <v>547</v>
      </c>
      <c r="D1050" s="31">
        <f>E1050+F1050+G1050+H1050+I1050+J1050+L1050+N1050+P1050+R1050+T1050+U1050+V1050+W1050+X1050+Y1050+Z1050+AA1050+AB1050+AC1050+AD1050+AE1050</f>
        <v>3129425.65</v>
      </c>
      <c r="E1050" s="31">
        <v>0</v>
      </c>
      <c r="F1050" s="31">
        <v>0</v>
      </c>
      <c r="G1050" s="31">
        <v>0</v>
      </c>
      <c r="H1050" s="31">
        <v>0</v>
      </c>
      <c r="I1050" s="31">
        <v>0</v>
      </c>
      <c r="J1050" s="31">
        <v>0</v>
      </c>
      <c r="K1050" s="33">
        <v>0</v>
      </c>
      <c r="L1050" s="31">
        <v>0</v>
      </c>
      <c r="M1050" s="31">
        <v>650</v>
      </c>
      <c r="N1050" s="31">
        <v>3083177.98</v>
      </c>
      <c r="O1050" s="31">
        <v>0</v>
      </c>
      <c r="P1050" s="31">
        <v>0</v>
      </c>
      <c r="Q1050" s="31">
        <v>0</v>
      </c>
      <c r="R1050" s="31">
        <v>0</v>
      </c>
      <c r="S1050" s="31">
        <v>0</v>
      </c>
      <c r="T1050" s="31">
        <v>0</v>
      </c>
      <c r="U1050" s="31">
        <v>0</v>
      </c>
      <c r="V1050" s="31">
        <v>0</v>
      </c>
      <c r="W1050" s="31">
        <v>0</v>
      </c>
      <c r="X1050" s="31">
        <v>0</v>
      </c>
      <c r="Y1050" s="31">
        <v>0</v>
      </c>
      <c r="Z1050" s="31">
        <v>0</v>
      </c>
      <c r="AA1050" s="31">
        <v>0</v>
      </c>
      <c r="AB1050" s="31">
        <v>0</v>
      </c>
      <c r="AC1050" s="31">
        <v>46247.67</v>
      </c>
      <c r="AD1050" s="31">
        <v>0</v>
      </c>
      <c r="AE1050" s="31">
        <v>0</v>
      </c>
      <c r="AF1050" s="345" t="s">
        <v>271</v>
      </c>
      <c r="AG1050" s="345">
        <v>2022</v>
      </c>
      <c r="AH1050" s="346">
        <v>2022</v>
      </c>
      <c r="AT1050" s="20" t="e">
        <f t="shared" si="256"/>
        <v>#N/A</v>
      </c>
      <c r="BZ1050" s="71"/>
      <c r="CD1050" s="20" t="e">
        <f>VLOOKUP(C1050,CE:CF,2,FALSE)</f>
        <v>#N/A</v>
      </c>
    </row>
    <row r="1051" spans="1:82" ht="61.5" x14ac:dyDescent="0.85">
      <c r="A1051" s="20">
        <v>1</v>
      </c>
      <c r="B1051" s="66">
        <f>SUBTOTAL(103,$A$994:A1051)</f>
        <v>58</v>
      </c>
      <c r="C1051" s="24" t="s">
        <v>550</v>
      </c>
      <c r="D1051" s="31">
        <f>E1051+F1051+G1051+H1051+I1051+J1051+L1051+N1051+P1051+R1051+T1051+U1051+V1051+W1051+X1051+Y1051+Z1051+AA1051+AB1051+AC1051+AD1051+AE1051</f>
        <v>4417275.3499999996</v>
      </c>
      <c r="E1051" s="31">
        <v>0</v>
      </c>
      <c r="F1051" s="31">
        <v>0</v>
      </c>
      <c r="G1051" s="31">
        <v>0</v>
      </c>
      <c r="H1051" s="31">
        <v>0</v>
      </c>
      <c r="I1051" s="31">
        <v>0</v>
      </c>
      <c r="J1051" s="31">
        <v>0</v>
      </c>
      <c r="K1051" s="33">
        <v>0</v>
      </c>
      <c r="L1051" s="31">
        <v>0</v>
      </c>
      <c r="M1051" s="31">
        <v>980</v>
      </c>
      <c r="N1051" s="31">
        <v>4351995.42</v>
      </c>
      <c r="O1051" s="31">
        <v>0</v>
      </c>
      <c r="P1051" s="31">
        <v>0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1">
        <v>0</v>
      </c>
      <c r="X1051" s="31">
        <v>0</v>
      </c>
      <c r="Y1051" s="31">
        <v>0</v>
      </c>
      <c r="Z1051" s="31">
        <v>0</v>
      </c>
      <c r="AA1051" s="31">
        <v>0</v>
      </c>
      <c r="AB1051" s="31">
        <v>0</v>
      </c>
      <c r="AC1051" s="31">
        <v>65279.93</v>
      </c>
      <c r="AD1051" s="31">
        <v>0</v>
      </c>
      <c r="AE1051" s="31">
        <v>0</v>
      </c>
      <c r="AF1051" s="345" t="s">
        <v>271</v>
      </c>
      <c r="AG1051" s="345">
        <v>2022</v>
      </c>
      <c r="AH1051" s="346">
        <v>2022</v>
      </c>
      <c r="AT1051" s="20" t="e">
        <f t="shared" si="256"/>
        <v>#N/A</v>
      </c>
      <c r="BZ1051" s="71"/>
      <c r="CD1051" s="20" t="e">
        <f>VLOOKUP(C1051,CE:CF,2,FALSE)</f>
        <v>#N/A</v>
      </c>
    </row>
    <row r="1052" spans="1:82" ht="61.5" x14ac:dyDescent="0.85">
      <c r="A1052" s="20">
        <v>1</v>
      </c>
      <c r="B1052" s="66">
        <f>SUBTOTAL(103,$A$994:A1052)</f>
        <v>59</v>
      </c>
      <c r="C1052" s="24" t="s">
        <v>534</v>
      </c>
      <c r="D1052" s="31">
        <f t="shared" ref="D1052" si="258">E1052+F1052+G1052+H1052+I1052+J1052+L1052+N1052+P1052+R1052+T1052+U1052+V1052+W1052+X1052+Y1052+Z1052+AA1052+AB1052+AC1052+AD1052+AE1052</f>
        <v>4525631.57</v>
      </c>
      <c r="E1052" s="31">
        <v>0</v>
      </c>
      <c r="F1052" s="31">
        <v>0</v>
      </c>
      <c r="G1052" s="31">
        <v>0</v>
      </c>
      <c r="H1052" s="31">
        <v>0</v>
      </c>
      <c r="I1052" s="31">
        <v>0</v>
      </c>
      <c r="J1052" s="31">
        <v>0</v>
      </c>
      <c r="K1052" s="33">
        <v>0</v>
      </c>
      <c r="L1052" s="31">
        <v>0</v>
      </c>
      <c r="M1052" s="31">
        <v>940</v>
      </c>
      <c r="N1052" s="31">
        <v>4458750.32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  <c r="V1052" s="31">
        <v>0</v>
      </c>
      <c r="W1052" s="31">
        <v>0</v>
      </c>
      <c r="X1052" s="31">
        <v>0</v>
      </c>
      <c r="Y1052" s="31">
        <v>0</v>
      </c>
      <c r="Z1052" s="31">
        <v>0</v>
      </c>
      <c r="AA1052" s="31">
        <v>0</v>
      </c>
      <c r="AB1052" s="31">
        <v>0</v>
      </c>
      <c r="AC1052" s="31">
        <v>66881.25</v>
      </c>
      <c r="AD1052" s="31">
        <v>0</v>
      </c>
      <c r="AE1052" s="31">
        <v>0</v>
      </c>
      <c r="AF1052" s="345" t="s">
        <v>271</v>
      </c>
      <c r="AG1052" s="345">
        <v>2022</v>
      </c>
      <c r="AH1052" s="346">
        <v>2022</v>
      </c>
      <c r="AT1052" s="20" t="e">
        <f t="shared" si="256"/>
        <v>#N/A</v>
      </c>
      <c r="BZ1052" s="71"/>
      <c r="CD1052" s="20" t="e">
        <f>VLOOKUP(C1052,CE:CF,2,FALSE)</f>
        <v>#N/A</v>
      </c>
    </row>
    <row r="1053" spans="1:82" ht="61.5" x14ac:dyDescent="0.85">
      <c r="A1053" s="20">
        <v>1</v>
      </c>
      <c r="B1053" s="66">
        <f>SUBTOTAL(103,$A$994:A1053)</f>
        <v>60</v>
      </c>
      <c r="C1053" s="24" t="s">
        <v>540</v>
      </c>
      <c r="D1053" s="31">
        <f>E1053+F1053+G1053+H1053+I1053+J1053+L1053+N1053+P1053+R1053+T1053+U1053+V1053+W1053+X1053+Y1053+Z1053+AA1053+AB1053+AC1053+AD1053+AE1053</f>
        <v>4542018.24</v>
      </c>
      <c r="E1053" s="31">
        <v>0</v>
      </c>
      <c r="F1053" s="31">
        <v>0</v>
      </c>
      <c r="G1053" s="31">
        <v>0</v>
      </c>
      <c r="H1053" s="31">
        <v>0</v>
      </c>
      <c r="I1053" s="31">
        <v>0</v>
      </c>
      <c r="J1053" s="31">
        <v>0</v>
      </c>
      <c r="K1053" s="33">
        <v>0</v>
      </c>
      <c r="L1053" s="31">
        <v>0</v>
      </c>
      <c r="M1053" s="31">
        <v>980</v>
      </c>
      <c r="N1053" s="31">
        <v>4474894.82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0</v>
      </c>
      <c r="U1053" s="31">
        <v>0</v>
      </c>
      <c r="V1053" s="31">
        <v>0</v>
      </c>
      <c r="W1053" s="31">
        <v>0</v>
      </c>
      <c r="X1053" s="31">
        <v>0</v>
      </c>
      <c r="Y1053" s="31">
        <v>0</v>
      </c>
      <c r="Z1053" s="31">
        <v>0</v>
      </c>
      <c r="AA1053" s="31">
        <v>0</v>
      </c>
      <c r="AB1053" s="31">
        <v>0</v>
      </c>
      <c r="AC1053" s="31">
        <v>67123.42</v>
      </c>
      <c r="AD1053" s="31">
        <v>0</v>
      </c>
      <c r="AE1053" s="31">
        <v>0</v>
      </c>
      <c r="AF1053" s="345" t="s">
        <v>271</v>
      </c>
      <c r="AG1053" s="345">
        <v>2022</v>
      </c>
      <c r="AH1053" s="346">
        <v>2022</v>
      </c>
      <c r="BZ1053" s="71"/>
      <c r="CD1053" s="20" t="e">
        <f>VLOOKUP(C1053,CE:CF,2,FALSE)</f>
        <v>#N/A</v>
      </c>
    </row>
    <row r="1054" spans="1:82" ht="61.5" x14ac:dyDescent="0.85">
      <c r="A1054" s="20">
        <v>1</v>
      </c>
      <c r="B1054" s="66">
        <f>SUBTOTAL(103,$A$994:A1054)</f>
        <v>61</v>
      </c>
      <c r="C1054" s="24" t="s">
        <v>558</v>
      </c>
      <c r="D1054" s="31">
        <f>E1054+F1054+G1054+H1054+I1054+J1054+L1054+N1054+P1054+R1054+T1054+U1054+V1054+W1054+X1054+Y1054+Z1054+AA1054+AB1054+AC1054+AD1054+AE1054</f>
        <v>4262836.3</v>
      </c>
      <c r="E1054" s="31">
        <v>0</v>
      </c>
      <c r="F1054" s="31">
        <v>0</v>
      </c>
      <c r="G1054" s="31">
        <v>0</v>
      </c>
      <c r="H1054" s="31">
        <v>0</v>
      </c>
      <c r="I1054" s="31">
        <v>0</v>
      </c>
      <c r="J1054" s="31">
        <v>0</v>
      </c>
      <c r="K1054" s="33">
        <v>0</v>
      </c>
      <c r="L1054" s="31">
        <v>0</v>
      </c>
      <c r="M1054" s="31">
        <v>897.3</v>
      </c>
      <c r="N1054" s="31">
        <v>4199838.72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1">
        <v>0</v>
      </c>
      <c r="Y1054" s="31">
        <v>0</v>
      </c>
      <c r="Z1054" s="31">
        <v>0</v>
      </c>
      <c r="AA1054" s="31">
        <v>0</v>
      </c>
      <c r="AB1054" s="31">
        <v>0</v>
      </c>
      <c r="AC1054" s="31">
        <v>62997.58</v>
      </c>
      <c r="AD1054" s="31">
        <v>0</v>
      </c>
      <c r="AE1054" s="31">
        <v>0</v>
      </c>
      <c r="AF1054" s="345" t="s">
        <v>271</v>
      </c>
      <c r="AG1054" s="345">
        <v>2022</v>
      </c>
      <c r="AH1054" s="346">
        <v>2022</v>
      </c>
      <c r="AT1054" s="20" t="e">
        <f t="shared" ref="AT1054:AT1068" si="259">VLOOKUP(C1054,AW:AX,2,FALSE)</f>
        <v>#N/A</v>
      </c>
      <c r="BZ1054" s="71"/>
      <c r="CD1054" s="20" t="e">
        <f>VLOOKUP(C1054,CE:CF,2,FALSE)</f>
        <v>#N/A</v>
      </c>
    </row>
    <row r="1055" spans="1:82" ht="61.5" x14ac:dyDescent="0.85">
      <c r="B1055" s="24" t="s">
        <v>769</v>
      </c>
      <c r="C1055" s="114"/>
      <c r="D1055" s="31">
        <f>SUM(D1056:D1069)</f>
        <v>44764760.649999999</v>
      </c>
      <c r="E1055" s="31">
        <f t="shared" ref="E1055:AE1055" si="260">SUM(E1056:E1069)</f>
        <v>0</v>
      </c>
      <c r="F1055" s="31">
        <f t="shared" si="260"/>
        <v>0</v>
      </c>
      <c r="G1055" s="31">
        <f t="shared" si="260"/>
        <v>0</v>
      </c>
      <c r="H1055" s="31">
        <f t="shared" si="260"/>
        <v>415281.24</v>
      </c>
      <c r="I1055" s="31">
        <f t="shared" si="260"/>
        <v>0</v>
      </c>
      <c r="J1055" s="31">
        <f t="shared" si="260"/>
        <v>0</v>
      </c>
      <c r="K1055" s="33">
        <f t="shared" si="260"/>
        <v>0</v>
      </c>
      <c r="L1055" s="31">
        <f t="shared" si="260"/>
        <v>0</v>
      </c>
      <c r="M1055" s="31">
        <f t="shared" si="260"/>
        <v>7727.4100000000008</v>
      </c>
      <c r="N1055" s="31">
        <f t="shared" si="260"/>
        <v>41638670.140000008</v>
      </c>
      <c r="O1055" s="31">
        <f t="shared" si="260"/>
        <v>0</v>
      </c>
      <c r="P1055" s="31">
        <f t="shared" si="260"/>
        <v>0</v>
      </c>
      <c r="Q1055" s="31">
        <f t="shared" si="260"/>
        <v>0</v>
      </c>
      <c r="R1055" s="31">
        <f t="shared" si="260"/>
        <v>0</v>
      </c>
      <c r="S1055" s="31">
        <f t="shared" si="260"/>
        <v>0</v>
      </c>
      <c r="T1055" s="31">
        <f t="shared" si="260"/>
        <v>0</v>
      </c>
      <c r="U1055" s="31">
        <f t="shared" si="260"/>
        <v>0</v>
      </c>
      <c r="V1055" s="31">
        <f t="shared" si="260"/>
        <v>0</v>
      </c>
      <c r="W1055" s="31">
        <f t="shared" si="260"/>
        <v>0</v>
      </c>
      <c r="X1055" s="31">
        <f t="shared" si="260"/>
        <v>0</v>
      </c>
      <c r="Y1055" s="31">
        <f t="shared" si="260"/>
        <v>0</v>
      </c>
      <c r="Z1055" s="31">
        <f t="shared" si="260"/>
        <v>0</v>
      </c>
      <c r="AA1055" s="31">
        <f t="shared" si="260"/>
        <v>0</v>
      </c>
      <c r="AB1055" s="31">
        <f t="shared" si="260"/>
        <v>0</v>
      </c>
      <c r="AC1055" s="31">
        <f t="shared" si="260"/>
        <v>630809.27</v>
      </c>
      <c r="AD1055" s="31">
        <f t="shared" si="260"/>
        <v>1960000</v>
      </c>
      <c r="AE1055" s="31">
        <f t="shared" si="260"/>
        <v>120000</v>
      </c>
      <c r="AF1055" s="343" t="s">
        <v>764</v>
      </c>
      <c r="AG1055" s="343" t="s">
        <v>764</v>
      </c>
      <c r="AH1055" s="344" t="s">
        <v>764</v>
      </c>
      <c r="AT1055" s="20" t="e">
        <f t="shared" si="259"/>
        <v>#N/A</v>
      </c>
      <c r="BZ1055" s="31">
        <v>45048314.759999998</v>
      </c>
      <c r="CA1055" s="31"/>
      <c r="CB1055" s="31">
        <f>BZ1055-D1055</f>
        <v>283554.1099999994</v>
      </c>
    </row>
    <row r="1056" spans="1:82" ht="61.5" x14ac:dyDescent="0.85">
      <c r="A1056" s="20">
        <v>1</v>
      </c>
      <c r="B1056" s="66">
        <f>SUBTOTAL(103,$A$994:A1056)</f>
        <v>62</v>
      </c>
      <c r="C1056" s="24" t="s">
        <v>472</v>
      </c>
      <c r="D1056" s="31">
        <f t="shared" ref="D1056:D1069" si="261">E1056+F1056+G1056+H1056+I1056+J1056+L1056+N1056+P1056+R1056+T1056+U1056+V1056+W1056+X1056+Y1056+Z1056+AA1056+AB1056+AC1056+AD1056+AE1056</f>
        <v>3951259.39</v>
      </c>
      <c r="E1056" s="32">
        <v>0</v>
      </c>
      <c r="F1056" s="32">
        <v>0</v>
      </c>
      <c r="G1056" s="32">
        <v>0</v>
      </c>
      <c r="H1056" s="32">
        <v>0</v>
      </c>
      <c r="I1056" s="32">
        <v>0</v>
      </c>
      <c r="J1056" s="32">
        <v>0</v>
      </c>
      <c r="K1056" s="84">
        <v>0</v>
      </c>
      <c r="L1056" s="32">
        <v>0</v>
      </c>
      <c r="M1056" s="31">
        <v>648.4</v>
      </c>
      <c r="N1056" s="31">
        <v>3745083.14</v>
      </c>
      <c r="O1056" s="32">
        <v>0</v>
      </c>
      <c r="P1056" s="32">
        <v>0</v>
      </c>
      <c r="Q1056" s="32">
        <v>0</v>
      </c>
      <c r="R1056" s="32">
        <v>0</v>
      </c>
      <c r="S1056" s="32">
        <v>0</v>
      </c>
      <c r="T1056" s="32">
        <v>0</v>
      </c>
      <c r="U1056" s="32">
        <v>0</v>
      </c>
      <c r="V1056" s="32">
        <v>0</v>
      </c>
      <c r="W1056" s="32">
        <v>0</v>
      </c>
      <c r="X1056" s="32">
        <v>0</v>
      </c>
      <c r="Y1056" s="32">
        <v>0</v>
      </c>
      <c r="Z1056" s="32">
        <v>0</v>
      </c>
      <c r="AA1056" s="31">
        <v>0</v>
      </c>
      <c r="AB1056" s="31">
        <v>0</v>
      </c>
      <c r="AC1056" s="31">
        <f>ROUND(N1056*1.5%,2)</f>
        <v>56176.25</v>
      </c>
      <c r="AD1056" s="31">
        <v>150000</v>
      </c>
      <c r="AE1056" s="31">
        <v>0</v>
      </c>
      <c r="AF1056" s="345">
        <v>2022</v>
      </c>
      <c r="AG1056" s="345">
        <v>2022</v>
      </c>
      <c r="AH1056" s="346">
        <v>2022</v>
      </c>
      <c r="AT1056" s="20" t="e">
        <f t="shared" si="259"/>
        <v>#N/A</v>
      </c>
      <c r="BZ1056" s="71"/>
    </row>
    <row r="1057" spans="1:78" ht="61.5" x14ac:dyDescent="0.85">
      <c r="A1057" s="20">
        <v>1</v>
      </c>
      <c r="B1057" s="66">
        <f>SUBTOTAL(103,$A$994:A1057)</f>
        <v>63</v>
      </c>
      <c r="C1057" s="24" t="s">
        <v>473</v>
      </c>
      <c r="D1057" s="31">
        <f t="shared" si="261"/>
        <v>2999201</v>
      </c>
      <c r="E1057" s="32">
        <v>0</v>
      </c>
      <c r="F1057" s="32">
        <v>0</v>
      </c>
      <c r="G1057" s="32">
        <v>0</v>
      </c>
      <c r="H1057" s="32">
        <v>0</v>
      </c>
      <c r="I1057" s="32">
        <v>0</v>
      </c>
      <c r="J1057" s="32">
        <v>0</v>
      </c>
      <c r="K1057" s="84">
        <v>0</v>
      </c>
      <c r="L1057" s="32">
        <v>0</v>
      </c>
      <c r="M1057" s="31">
        <v>547</v>
      </c>
      <c r="N1057" s="31">
        <v>2807094.58</v>
      </c>
      <c r="O1057" s="32">
        <v>0</v>
      </c>
      <c r="P1057" s="32">
        <v>0</v>
      </c>
      <c r="Q1057" s="32">
        <v>0</v>
      </c>
      <c r="R1057" s="32">
        <v>0</v>
      </c>
      <c r="S1057" s="32">
        <v>0</v>
      </c>
      <c r="T1057" s="32">
        <v>0</v>
      </c>
      <c r="U1057" s="32">
        <v>0</v>
      </c>
      <c r="V1057" s="32">
        <v>0</v>
      </c>
      <c r="W1057" s="32">
        <v>0</v>
      </c>
      <c r="X1057" s="32">
        <v>0</v>
      </c>
      <c r="Y1057" s="32">
        <v>0</v>
      </c>
      <c r="Z1057" s="32">
        <v>0</v>
      </c>
      <c r="AA1057" s="31">
        <v>0</v>
      </c>
      <c r="AB1057" s="31">
        <v>0</v>
      </c>
      <c r="AC1057" s="31">
        <f>ROUND(N1057*1.5%,2)</f>
        <v>42106.42</v>
      </c>
      <c r="AD1057" s="31">
        <v>150000</v>
      </c>
      <c r="AE1057" s="31">
        <v>0</v>
      </c>
      <c r="AF1057" s="345">
        <v>2022</v>
      </c>
      <c r="AG1057" s="345">
        <v>2022</v>
      </c>
      <c r="AH1057" s="346">
        <v>2022</v>
      </c>
      <c r="AT1057" s="20" t="e">
        <f t="shared" si="259"/>
        <v>#N/A</v>
      </c>
      <c r="BZ1057" s="71"/>
    </row>
    <row r="1058" spans="1:78" ht="61.5" x14ac:dyDescent="0.85">
      <c r="A1058" s="20">
        <v>1</v>
      </c>
      <c r="B1058" s="66">
        <f>SUBTOTAL(103,$A$994:A1058)</f>
        <v>64</v>
      </c>
      <c r="C1058" s="24" t="s">
        <v>474</v>
      </c>
      <c r="D1058" s="31">
        <f t="shared" si="261"/>
        <v>2584541.12</v>
      </c>
      <c r="E1058" s="32">
        <v>0</v>
      </c>
      <c r="F1058" s="32">
        <v>0</v>
      </c>
      <c r="G1058" s="32">
        <v>0</v>
      </c>
      <c r="H1058" s="32">
        <v>0</v>
      </c>
      <c r="I1058" s="32">
        <v>0</v>
      </c>
      <c r="J1058" s="32">
        <v>0</v>
      </c>
      <c r="K1058" s="84">
        <v>0</v>
      </c>
      <c r="L1058" s="32">
        <v>0</v>
      </c>
      <c r="M1058" s="31">
        <v>493.2</v>
      </c>
      <c r="N1058" s="31">
        <v>2428119.33</v>
      </c>
      <c r="O1058" s="32">
        <v>0</v>
      </c>
      <c r="P1058" s="32">
        <v>0</v>
      </c>
      <c r="Q1058" s="32">
        <v>0</v>
      </c>
      <c r="R1058" s="32">
        <v>0</v>
      </c>
      <c r="S1058" s="32">
        <v>0</v>
      </c>
      <c r="T1058" s="32">
        <v>0</v>
      </c>
      <c r="U1058" s="32">
        <v>0</v>
      </c>
      <c r="V1058" s="32">
        <v>0</v>
      </c>
      <c r="W1058" s="32">
        <v>0</v>
      </c>
      <c r="X1058" s="32">
        <v>0</v>
      </c>
      <c r="Y1058" s="32">
        <v>0</v>
      </c>
      <c r="Z1058" s="32">
        <v>0</v>
      </c>
      <c r="AA1058" s="31">
        <v>0</v>
      </c>
      <c r="AB1058" s="31">
        <v>0</v>
      </c>
      <c r="AC1058" s="31">
        <f>ROUND(N1058*1.5%,2)</f>
        <v>36421.79</v>
      </c>
      <c r="AD1058" s="31">
        <v>120000</v>
      </c>
      <c r="AE1058" s="31">
        <v>0</v>
      </c>
      <c r="AF1058" s="345">
        <v>2022</v>
      </c>
      <c r="AG1058" s="345">
        <v>2022</v>
      </c>
      <c r="AH1058" s="346">
        <v>2022</v>
      </c>
      <c r="AT1058" s="20" t="e">
        <f t="shared" si="259"/>
        <v>#N/A</v>
      </c>
      <c r="BZ1058" s="71"/>
    </row>
    <row r="1059" spans="1:78" ht="61.5" x14ac:dyDescent="0.85">
      <c r="A1059" s="20">
        <v>1</v>
      </c>
      <c r="B1059" s="66">
        <f>SUBTOTAL(103,$A$994:A1059)</f>
        <v>65</v>
      </c>
      <c r="C1059" s="24" t="s">
        <v>475</v>
      </c>
      <c r="D1059" s="31">
        <f t="shared" si="261"/>
        <v>6581549.3999999994</v>
      </c>
      <c r="E1059" s="32">
        <v>0</v>
      </c>
      <c r="F1059" s="32">
        <v>0</v>
      </c>
      <c r="G1059" s="32">
        <v>0</v>
      </c>
      <c r="H1059" s="32">
        <v>0</v>
      </c>
      <c r="I1059" s="32">
        <v>0</v>
      </c>
      <c r="J1059" s="32">
        <v>0</v>
      </c>
      <c r="K1059" s="84">
        <v>0</v>
      </c>
      <c r="L1059" s="32">
        <v>0</v>
      </c>
      <c r="M1059" s="31">
        <v>1130</v>
      </c>
      <c r="N1059" s="31">
        <v>6306945.2199999997</v>
      </c>
      <c r="O1059" s="32">
        <v>0</v>
      </c>
      <c r="P1059" s="32">
        <v>0</v>
      </c>
      <c r="Q1059" s="32">
        <v>0</v>
      </c>
      <c r="R1059" s="32">
        <v>0</v>
      </c>
      <c r="S1059" s="32">
        <v>0</v>
      </c>
      <c r="T1059" s="32">
        <v>0</v>
      </c>
      <c r="U1059" s="32">
        <v>0</v>
      </c>
      <c r="V1059" s="32">
        <v>0</v>
      </c>
      <c r="W1059" s="32">
        <v>0</v>
      </c>
      <c r="X1059" s="32">
        <v>0</v>
      </c>
      <c r="Y1059" s="32">
        <v>0</v>
      </c>
      <c r="Z1059" s="32">
        <v>0</v>
      </c>
      <c r="AA1059" s="31">
        <v>0</v>
      </c>
      <c r="AB1059" s="31">
        <v>0</v>
      </c>
      <c r="AC1059" s="31">
        <f>ROUND(N1059*1.5%,2)</f>
        <v>94604.18</v>
      </c>
      <c r="AD1059" s="31">
        <v>180000</v>
      </c>
      <c r="AE1059" s="31">
        <v>0</v>
      </c>
      <c r="AF1059" s="345">
        <v>2022</v>
      </c>
      <c r="AG1059" s="345">
        <v>2022</v>
      </c>
      <c r="AH1059" s="346">
        <v>2022</v>
      </c>
      <c r="AT1059" s="20" t="e">
        <f t="shared" si="259"/>
        <v>#N/A</v>
      </c>
      <c r="BZ1059" s="71"/>
    </row>
    <row r="1060" spans="1:78" ht="61.5" x14ac:dyDescent="0.85">
      <c r="A1060" s="20">
        <v>1</v>
      </c>
      <c r="B1060" s="66">
        <f>SUBTOTAL(103,$A$994:A1060)</f>
        <v>66</v>
      </c>
      <c r="C1060" s="24" t="s">
        <v>476</v>
      </c>
      <c r="D1060" s="31">
        <f t="shared" si="261"/>
        <v>4737312</v>
      </c>
      <c r="E1060" s="32">
        <v>0</v>
      </c>
      <c r="F1060" s="32">
        <v>0</v>
      </c>
      <c r="G1060" s="32">
        <v>0</v>
      </c>
      <c r="H1060" s="32">
        <v>0</v>
      </c>
      <c r="I1060" s="32">
        <v>0</v>
      </c>
      <c r="J1060" s="32">
        <v>0</v>
      </c>
      <c r="K1060" s="84">
        <v>0</v>
      </c>
      <c r="L1060" s="32">
        <v>0</v>
      </c>
      <c r="M1060" s="31">
        <v>864</v>
      </c>
      <c r="N1060" s="31">
        <v>4519519.21</v>
      </c>
      <c r="O1060" s="32">
        <v>0</v>
      </c>
      <c r="P1060" s="32">
        <v>0</v>
      </c>
      <c r="Q1060" s="32">
        <v>0</v>
      </c>
      <c r="R1060" s="32">
        <v>0</v>
      </c>
      <c r="S1060" s="32">
        <v>0</v>
      </c>
      <c r="T1060" s="32">
        <v>0</v>
      </c>
      <c r="U1060" s="32">
        <v>0</v>
      </c>
      <c r="V1060" s="32">
        <v>0</v>
      </c>
      <c r="W1060" s="32">
        <v>0</v>
      </c>
      <c r="X1060" s="32">
        <v>0</v>
      </c>
      <c r="Y1060" s="32">
        <v>0</v>
      </c>
      <c r="Z1060" s="32">
        <v>0</v>
      </c>
      <c r="AA1060" s="31">
        <v>0</v>
      </c>
      <c r="AB1060" s="31">
        <v>0</v>
      </c>
      <c r="AC1060" s="31">
        <f>ROUND(N1060*1.5%,2)</f>
        <v>67792.789999999994</v>
      </c>
      <c r="AD1060" s="31">
        <v>150000</v>
      </c>
      <c r="AE1060" s="31">
        <v>0</v>
      </c>
      <c r="AF1060" s="345">
        <v>2022</v>
      </c>
      <c r="AG1060" s="345">
        <v>2022</v>
      </c>
      <c r="AH1060" s="346">
        <v>2022</v>
      </c>
      <c r="AT1060" s="20" t="e">
        <f t="shared" si="259"/>
        <v>#N/A</v>
      </c>
      <c r="BZ1060" s="71"/>
    </row>
    <row r="1061" spans="1:78" ht="61.5" x14ac:dyDescent="0.85">
      <c r="A1061" s="20">
        <v>1</v>
      </c>
      <c r="B1061" s="66">
        <f>SUBTOTAL(103,$A$994:A1061)</f>
        <v>67</v>
      </c>
      <c r="C1061" s="24" t="s">
        <v>477</v>
      </c>
      <c r="D1061" s="31">
        <f t="shared" si="261"/>
        <v>491510.45999999996</v>
      </c>
      <c r="E1061" s="32">
        <v>0</v>
      </c>
      <c r="F1061" s="32">
        <v>0</v>
      </c>
      <c r="G1061" s="32">
        <v>0</v>
      </c>
      <c r="H1061" s="31">
        <v>415281.24</v>
      </c>
      <c r="I1061" s="32">
        <v>0</v>
      </c>
      <c r="J1061" s="32">
        <v>0</v>
      </c>
      <c r="K1061" s="84">
        <v>0</v>
      </c>
      <c r="L1061" s="32">
        <v>0</v>
      </c>
      <c r="M1061" s="31">
        <v>0</v>
      </c>
      <c r="N1061" s="31">
        <v>0</v>
      </c>
      <c r="O1061" s="32">
        <v>0</v>
      </c>
      <c r="P1061" s="32">
        <v>0</v>
      </c>
      <c r="Q1061" s="32">
        <v>0</v>
      </c>
      <c r="R1061" s="32">
        <v>0</v>
      </c>
      <c r="S1061" s="32">
        <v>0</v>
      </c>
      <c r="T1061" s="32">
        <v>0</v>
      </c>
      <c r="U1061" s="32">
        <v>0</v>
      </c>
      <c r="V1061" s="32">
        <v>0</v>
      </c>
      <c r="W1061" s="32">
        <v>0</v>
      </c>
      <c r="X1061" s="32">
        <v>0</v>
      </c>
      <c r="Y1061" s="32">
        <v>0</v>
      </c>
      <c r="Z1061" s="32">
        <v>0</v>
      </c>
      <c r="AA1061" s="31">
        <v>0</v>
      </c>
      <c r="AB1061" s="31">
        <v>0</v>
      </c>
      <c r="AC1061" s="31">
        <f>ROUND((E1061+F1061+G1061+H1061+I1061+J1061)*1.5%,2)</f>
        <v>6229.22</v>
      </c>
      <c r="AD1061" s="31">
        <v>70000</v>
      </c>
      <c r="AE1061" s="31">
        <v>0</v>
      </c>
      <c r="AF1061" s="345">
        <v>2022</v>
      </c>
      <c r="AG1061" s="345">
        <v>2022</v>
      </c>
      <c r="AH1061" s="346">
        <v>2022</v>
      </c>
      <c r="AT1061" s="20" t="e">
        <f t="shared" si="259"/>
        <v>#N/A</v>
      </c>
      <c r="BZ1061" s="71"/>
    </row>
    <row r="1062" spans="1:78" ht="61.5" x14ac:dyDescent="0.85">
      <c r="A1062" s="20">
        <v>1</v>
      </c>
      <c r="B1062" s="66">
        <f>SUBTOTAL(103,$A$994:A1062)</f>
        <v>68</v>
      </c>
      <c r="C1062" s="24" t="s">
        <v>478</v>
      </c>
      <c r="D1062" s="31">
        <f t="shared" si="261"/>
        <v>3422817.5799999996</v>
      </c>
      <c r="E1062" s="32">
        <v>0</v>
      </c>
      <c r="F1062" s="32">
        <v>0</v>
      </c>
      <c r="G1062" s="32">
        <v>0</v>
      </c>
      <c r="H1062" s="32">
        <v>0</v>
      </c>
      <c r="I1062" s="32">
        <v>0</v>
      </c>
      <c r="J1062" s="32">
        <v>0</v>
      </c>
      <c r="K1062" s="84">
        <v>0</v>
      </c>
      <c r="L1062" s="32">
        <v>0</v>
      </c>
      <c r="M1062" s="31">
        <v>624.26</v>
      </c>
      <c r="N1062" s="31">
        <v>3224450.82</v>
      </c>
      <c r="O1062" s="32">
        <v>0</v>
      </c>
      <c r="P1062" s="32">
        <v>0</v>
      </c>
      <c r="Q1062" s="32">
        <v>0</v>
      </c>
      <c r="R1062" s="32">
        <v>0</v>
      </c>
      <c r="S1062" s="32">
        <v>0</v>
      </c>
      <c r="T1062" s="32">
        <v>0</v>
      </c>
      <c r="U1062" s="32">
        <v>0</v>
      </c>
      <c r="V1062" s="32">
        <v>0</v>
      </c>
      <c r="W1062" s="32">
        <v>0</v>
      </c>
      <c r="X1062" s="32">
        <v>0</v>
      </c>
      <c r="Y1062" s="32">
        <v>0</v>
      </c>
      <c r="Z1062" s="32">
        <v>0</v>
      </c>
      <c r="AA1062" s="31">
        <v>0</v>
      </c>
      <c r="AB1062" s="31">
        <v>0</v>
      </c>
      <c r="AC1062" s="31">
        <f t="shared" ref="AC1062:AC1067" si="262">ROUND(N1062*1.5%,2)</f>
        <v>48366.76</v>
      </c>
      <c r="AD1062" s="31">
        <v>150000</v>
      </c>
      <c r="AE1062" s="31">
        <v>0</v>
      </c>
      <c r="AF1062" s="345">
        <v>2022</v>
      </c>
      <c r="AG1062" s="345">
        <v>2022</v>
      </c>
      <c r="AH1062" s="346">
        <v>2022</v>
      </c>
      <c r="AT1062" s="20" t="e">
        <f t="shared" si="259"/>
        <v>#N/A</v>
      </c>
      <c r="BZ1062" s="71"/>
    </row>
    <row r="1063" spans="1:78" ht="61.5" x14ac:dyDescent="0.85">
      <c r="A1063" s="20">
        <v>1</v>
      </c>
      <c r="B1063" s="66">
        <f>SUBTOTAL(103,$A$994:A1063)</f>
        <v>69</v>
      </c>
      <c r="C1063" s="24" t="s">
        <v>479</v>
      </c>
      <c r="D1063" s="31">
        <f t="shared" si="261"/>
        <v>2888444.4</v>
      </c>
      <c r="E1063" s="32">
        <v>0</v>
      </c>
      <c r="F1063" s="32">
        <v>0</v>
      </c>
      <c r="G1063" s="32">
        <v>0</v>
      </c>
      <c r="H1063" s="32">
        <v>0</v>
      </c>
      <c r="I1063" s="32">
        <v>0</v>
      </c>
      <c r="J1063" s="32">
        <v>0</v>
      </c>
      <c r="K1063" s="84">
        <v>0</v>
      </c>
      <c r="L1063" s="32">
        <v>0</v>
      </c>
      <c r="M1063" s="31">
        <v>526.79999999999995</v>
      </c>
      <c r="N1063" s="31">
        <v>2697974.78</v>
      </c>
      <c r="O1063" s="32">
        <v>0</v>
      </c>
      <c r="P1063" s="32">
        <v>0</v>
      </c>
      <c r="Q1063" s="32">
        <v>0</v>
      </c>
      <c r="R1063" s="32">
        <v>0</v>
      </c>
      <c r="S1063" s="32">
        <v>0</v>
      </c>
      <c r="T1063" s="32">
        <v>0</v>
      </c>
      <c r="U1063" s="32">
        <v>0</v>
      </c>
      <c r="V1063" s="32">
        <v>0</v>
      </c>
      <c r="W1063" s="32">
        <v>0</v>
      </c>
      <c r="X1063" s="32">
        <v>0</v>
      </c>
      <c r="Y1063" s="32">
        <v>0</v>
      </c>
      <c r="Z1063" s="32">
        <v>0</v>
      </c>
      <c r="AA1063" s="31">
        <v>0</v>
      </c>
      <c r="AB1063" s="31">
        <v>0</v>
      </c>
      <c r="AC1063" s="31">
        <f t="shared" si="262"/>
        <v>40469.620000000003</v>
      </c>
      <c r="AD1063" s="31">
        <v>150000</v>
      </c>
      <c r="AE1063" s="31">
        <v>0</v>
      </c>
      <c r="AF1063" s="345">
        <v>2022</v>
      </c>
      <c r="AG1063" s="345">
        <v>2022</v>
      </c>
      <c r="AH1063" s="346">
        <v>2022</v>
      </c>
      <c r="AT1063" s="20" t="e">
        <f t="shared" si="259"/>
        <v>#N/A</v>
      </c>
      <c r="BZ1063" s="71"/>
    </row>
    <row r="1064" spans="1:78" ht="61.5" x14ac:dyDescent="0.85">
      <c r="A1064" s="20">
        <v>1</v>
      </c>
      <c r="B1064" s="66">
        <f>SUBTOTAL(103,$A$994:A1064)</f>
        <v>70</v>
      </c>
      <c r="C1064" s="24" t="s">
        <v>480</v>
      </c>
      <c r="D1064" s="31">
        <f t="shared" si="261"/>
        <v>3422817.5799999996</v>
      </c>
      <c r="E1064" s="32">
        <v>0</v>
      </c>
      <c r="F1064" s="32">
        <v>0</v>
      </c>
      <c r="G1064" s="32">
        <v>0</v>
      </c>
      <c r="H1064" s="32">
        <v>0</v>
      </c>
      <c r="I1064" s="32">
        <v>0</v>
      </c>
      <c r="J1064" s="32">
        <v>0</v>
      </c>
      <c r="K1064" s="84">
        <v>0</v>
      </c>
      <c r="L1064" s="32">
        <v>0</v>
      </c>
      <c r="M1064" s="31">
        <v>624.26</v>
      </c>
      <c r="N1064" s="31">
        <v>3224450.82</v>
      </c>
      <c r="O1064" s="32">
        <v>0</v>
      </c>
      <c r="P1064" s="32">
        <v>0</v>
      </c>
      <c r="Q1064" s="32">
        <v>0</v>
      </c>
      <c r="R1064" s="32">
        <v>0</v>
      </c>
      <c r="S1064" s="32">
        <v>0</v>
      </c>
      <c r="T1064" s="32">
        <v>0</v>
      </c>
      <c r="U1064" s="32">
        <v>0</v>
      </c>
      <c r="V1064" s="32">
        <v>0</v>
      </c>
      <c r="W1064" s="32">
        <v>0</v>
      </c>
      <c r="X1064" s="32">
        <v>0</v>
      </c>
      <c r="Y1064" s="32">
        <v>0</v>
      </c>
      <c r="Z1064" s="32">
        <v>0</v>
      </c>
      <c r="AA1064" s="31">
        <v>0</v>
      </c>
      <c r="AB1064" s="31">
        <v>0</v>
      </c>
      <c r="AC1064" s="31">
        <f t="shared" si="262"/>
        <v>48366.76</v>
      </c>
      <c r="AD1064" s="31">
        <v>150000</v>
      </c>
      <c r="AE1064" s="31">
        <v>0</v>
      </c>
      <c r="AF1064" s="345">
        <v>2022</v>
      </c>
      <c r="AG1064" s="345">
        <v>2022</v>
      </c>
      <c r="AH1064" s="346">
        <v>2022</v>
      </c>
      <c r="AT1064" s="20" t="e">
        <f t="shared" si="259"/>
        <v>#N/A</v>
      </c>
      <c r="BZ1064" s="71"/>
    </row>
    <row r="1065" spans="1:78" ht="61.5" x14ac:dyDescent="0.85">
      <c r="A1065" s="20">
        <v>1</v>
      </c>
      <c r="B1065" s="66">
        <f>SUBTOTAL(103,$A$994:A1065)</f>
        <v>71</v>
      </c>
      <c r="C1065" s="24" t="s">
        <v>481</v>
      </c>
      <c r="D1065" s="31">
        <f t="shared" si="261"/>
        <v>3106903.4</v>
      </c>
      <c r="E1065" s="32">
        <v>0</v>
      </c>
      <c r="F1065" s="32">
        <v>0</v>
      </c>
      <c r="G1065" s="32">
        <v>0</v>
      </c>
      <c r="H1065" s="32">
        <v>0</v>
      </c>
      <c r="I1065" s="32">
        <v>0</v>
      </c>
      <c r="J1065" s="32">
        <v>0</v>
      </c>
      <c r="K1065" s="84">
        <v>0</v>
      </c>
      <c r="L1065" s="32">
        <v>0</v>
      </c>
      <c r="M1065" s="31">
        <v>544.85</v>
      </c>
      <c r="N1065" s="31">
        <f>2664960.76+248244.56</f>
        <v>2913205.32</v>
      </c>
      <c r="O1065" s="32">
        <v>0</v>
      </c>
      <c r="P1065" s="32">
        <v>0</v>
      </c>
      <c r="Q1065" s="32">
        <v>0</v>
      </c>
      <c r="R1065" s="32">
        <v>0</v>
      </c>
      <c r="S1065" s="32">
        <v>0</v>
      </c>
      <c r="T1065" s="32">
        <v>0</v>
      </c>
      <c r="U1065" s="32">
        <v>0</v>
      </c>
      <c r="V1065" s="32">
        <v>0</v>
      </c>
      <c r="W1065" s="32">
        <v>0</v>
      </c>
      <c r="X1065" s="32">
        <v>0</v>
      </c>
      <c r="Y1065" s="32">
        <v>0</v>
      </c>
      <c r="Z1065" s="32">
        <v>0</v>
      </c>
      <c r="AA1065" s="31">
        <v>0</v>
      </c>
      <c r="AB1065" s="31">
        <v>0</v>
      </c>
      <c r="AC1065" s="31">
        <f t="shared" si="262"/>
        <v>43698.080000000002</v>
      </c>
      <c r="AD1065" s="31">
        <v>150000</v>
      </c>
      <c r="AE1065" s="31">
        <v>0</v>
      </c>
      <c r="AF1065" s="345">
        <v>2022</v>
      </c>
      <c r="AG1065" s="345">
        <v>2022</v>
      </c>
      <c r="AH1065" s="346">
        <v>2022</v>
      </c>
      <c r="AT1065" s="20" t="e">
        <f t="shared" si="259"/>
        <v>#N/A</v>
      </c>
      <c r="BZ1065" s="71"/>
    </row>
    <row r="1066" spans="1:78" ht="61.5" x14ac:dyDescent="0.85">
      <c r="A1066" s="20">
        <v>1</v>
      </c>
      <c r="B1066" s="66">
        <f>SUBTOTAL(103,$A$994:A1066)</f>
        <v>72</v>
      </c>
      <c r="C1066" s="24" t="s">
        <v>1720</v>
      </c>
      <c r="D1066" s="31">
        <f t="shared" si="261"/>
        <v>2564145.2799999998</v>
      </c>
      <c r="E1066" s="30">
        <v>0</v>
      </c>
      <c r="F1066" s="32">
        <v>0</v>
      </c>
      <c r="G1066" s="30">
        <v>0</v>
      </c>
      <c r="H1066" s="32">
        <v>0</v>
      </c>
      <c r="I1066" s="32">
        <v>0</v>
      </c>
      <c r="J1066" s="32">
        <v>0</v>
      </c>
      <c r="K1066" s="84">
        <v>0</v>
      </c>
      <c r="L1066" s="32">
        <v>0</v>
      </c>
      <c r="M1066" s="31">
        <v>375</v>
      </c>
      <c r="N1066" s="31">
        <v>2378468.2599999998</v>
      </c>
      <c r="O1066" s="32">
        <v>0</v>
      </c>
      <c r="P1066" s="32">
        <v>0</v>
      </c>
      <c r="Q1066" s="32">
        <v>0</v>
      </c>
      <c r="R1066" s="32">
        <v>0</v>
      </c>
      <c r="S1066" s="32">
        <v>0</v>
      </c>
      <c r="T1066" s="32">
        <v>0</v>
      </c>
      <c r="U1066" s="32">
        <v>0</v>
      </c>
      <c r="V1066" s="32">
        <v>0</v>
      </c>
      <c r="W1066" s="32">
        <v>0</v>
      </c>
      <c r="X1066" s="32">
        <v>0</v>
      </c>
      <c r="Y1066" s="32">
        <v>0</v>
      </c>
      <c r="Z1066" s="32">
        <v>0</v>
      </c>
      <c r="AA1066" s="31">
        <v>0</v>
      </c>
      <c r="AB1066" s="31">
        <v>0</v>
      </c>
      <c r="AC1066" s="31">
        <f t="shared" si="262"/>
        <v>35677.019999999997</v>
      </c>
      <c r="AD1066" s="31">
        <v>150000</v>
      </c>
      <c r="AE1066" s="31">
        <v>0</v>
      </c>
      <c r="AF1066" s="345">
        <v>2022</v>
      </c>
      <c r="AG1066" s="345">
        <v>2022</v>
      </c>
      <c r="AH1066" s="346">
        <v>2022</v>
      </c>
      <c r="AT1066" s="20" t="e">
        <f t="shared" si="259"/>
        <v>#N/A</v>
      </c>
      <c r="BZ1066" s="71"/>
    </row>
    <row r="1067" spans="1:78" ht="61.5" x14ac:dyDescent="0.85">
      <c r="A1067" s="20">
        <v>1</v>
      </c>
      <c r="B1067" s="66">
        <f>SUBTOTAL(103,$A$994:A1067)</f>
        <v>73</v>
      </c>
      <c r="C1067" s="24" t="s">
        <v>483</v>
      </c>
      <c r="D1067" s="31">
        <f t="shared" si="261"/>
        <v>3110189.0700000003</v>
      </c>
      <c r="E1067" s="32">
        <v>0</v>
      </c>
      <c r="F1067" s="32">
        <v>0</v>
      </c>
      <c r="G1067" s="32">
        <v>0</v>
      </c>
      <c r="H1067" s="32">
        <v>0</v>
      </c>
      <c r="I1067" s="32">
        <v>0</v>
      </c>
      <c r="J1067" s="32">
        <v>0</v>
      </c>
      <c r="K1067" s="84">
        <v>0</v>
      </c>
      <c r="L1067" s="32">
        <v>0</v>
      </c>
      <c r="M1067" s="31">
        <v>547</v>
      </c>
      <c r="N1067" s="31">
        <f>2667213.48+249224.14+4.81</f>
        <v>2916442.43</v>
      </c>
      <c r="O1067" s="32">
        <v>0</v>
      </c>
      <c r="P1067" s="32">
        <v>0</v>
      </c>
      <c r="Q1067" s="32">
        <v>0</v>
      </c>
      <c r="R1067" s="32">
        <v>0</v>
      </c>
      <c r="S1067" s="32">
        <v>0</v>
      </c>
      <c r="T1067" s="31">
        <v>0</v>
      </c>
      <c r="U1067" s="32">
        <v>0</v>
      </c>
      <c r="V1067" s="32">
        <v>0</v>
      </c>
      <c r="W1067" s="32">
        <v>0</v>
      </c>
      <c r="X1067" s="32">
        <v>0</v>
      </c>
      <c r="Y1067" s="32">
        <v>0</v>
      </c>
      <c r="Z1067" s="32">
        <v>0</v>
      </c>
      <c r="AA1067" s="31">
        <v>0</v>
      </c>
      <c r="AB1067" s="31">
        <v>0</v>
      </c>
      <c r="AC1067" s="31">
        <f t="shared" si="262"/>
        <v>43746.64</v>
      </c>
      <c r="AD1067" s="31">
        <v>150000</v>
      </c>
      <c r="AE1067" s="31">
        <v>0</v>
      </c>
      <c r="AF1067" s="345">
        <v>2022</v>
      </c>
      <c r="AG1067" s="345">
        <v>2022</v>
      </c>
      <c r="AH1067" s="346">
        <v>2022</v>
      </c>
      <c r="AT1067" s="20" t="e">
        <f t="shared" si="259"/>
        <v>#N/A</v>
      </c>
      <c r="BZ1067" s="71"/>
    </row>
    <row r="1068" spans="1:78" ht="61.5" x14ac:dyDescent="0.85">
      <c r="A1068" s="20">
        <v>1</v>
      </c>
      <c r="B1068" s="66">
        <f>SUBTOTAL(103,$A$994:A1068)</f>
        <v>74</v>
      </c>
      <c r="C1068" s="24" t="s">
        <v>484</v>
      </c>
      <c r="D1068" s="31">
        <f t="shared" si="261"/>
        <v>2521758.64</v>
      </c>
      <c r="E1068" s="32">
        <v>0</v>
      </c>
      <c r="F1068" s="32">
        <v>0</v>
      </c>
      <c r="G1068" s="32">
        <v>0</v>
      </c>
      <c r="H1068" s="32">
        <v>0</v>
      </c>
      <c r="I1068" s="32">
        <v>0</v>
      </c>
      <c r="J1068" s="32">
        <v>0</v>
      </c>
      <c r="K1068" s="84">
        <v>0</v>
      </c>
      <c r="L1068" s="32">
        <v>0</v>
      </c>
      <c r="M1068" s="31">
        <v>398.44</v>
      </c>
      <c r="N1068" s="31">
        <v>2366264.67</v>
      </c>
      <c r="O1068" s="32">
        <v>0</v>
      </c>
      <c r="P1068" s="32">
        <v>0</v>
      </c>
      <c r="Q1068" s="32">
        <v>0</v>
      </c>
      <c r="R1068" s="32">
        <v>0</v>
      </c>
      <c r="S1068" s="32">
        <v>0</v>
      </c>
      <c r="T1068" s="32">
        <v>0</v>
      </c>
      <c r="U1068" s="32">
        <v>0</v>
      </c>
      <c r="V1068" s="32">
        <v>0</v>
      </c>
      <c r="W1068" s="32">
        <v>0</v>
      </c>
      <c r="X1068" s="32">
        <v>0</v>
      </c>
      <c r="Y1068" s="32">
        <v>0</v>
      </c>
      <c r="Z1068" s="32">
        <v>0</v>
      </c>
      <c r="AA1068" s="31">
        <v>0</v>
      </c>
      <c r="AB1068" s="31">
        <v>0</v>
      </c>
      <c r="AC1068" s="31">
        <f>ROUND(N1068*1.5%,2)</f>
        <v>35493.97</v>
      </c>
      <c r="AD1068" s="31">
        <v>120000</v>
      </c>
      <c r="AE1068" s="31">
        <v>0</v>
      </c>
      <c r="AF1068" s="345">
        <v>2022</v>
      </c>
      <c r="AG1068" s="345">
        <v>2022</v>
      </c>
      <c r="AH1068" s="346">
        <v>2022</v>
      </c>
      <c r="AT1068" s="20" t="e">
        <f t="shared" si="259"/>
        <v>#N/A</v>
      </c>
      <c r="BZ1068" s="71"/>
    </row>
    <row r="1069" spans="1:78" ht="61.5" x14ac:dyDescent="0.85">
      <c r="A1069" s="20">
        <v>1</v>
      </c>
      <c r="B1069" s="66">
        <f>SUBTOTAL(103,$A$994:A1069)</f>
        <v>75</v>
      </c>
      <c r="C1069" s="24" t="s">
        <v>1615</v>
      </c>
      <c r="D1069" s="31">
        <f t="shared" si="261"/>
        <v>2382311.33</v>
      </c>
      <c r="E1069" s="32">
        <v>0</v>
      </c>
      <c r="F1069" s="32">
        <v>0</v>
      </c>
      <c r="G1069" s="32">
        <v>0</v>
      </c>
      <c r="H1069" s="32">
        <v>0</v>
      </c>
      <c r="I1069" s="32">
        <v>0</v>
      </c>
      <c r="J1069" s="32">
        <v>0</v>
      </c>
      <c r="K1069" s="84">
        <v>0</v>
      </c>
      <c r="L1069" s="32">
        <v>0</v>
      </c>
      <c r="M1069" s="31">
        <v>404.2</v>
      </c>
      <c r="N1069" s="31">
        <v>2110651.56</v>
      </c>
      <c r="O1069" s="32">
        <v>0</v>
      </c>
      <c r="P1069" s="32">
        <v>0</v>
      </c>
      <c r="Q1069" s="32">
        <v>0</v>
      </c>
      <c r="R1069" s="32">
        <v>0</v>
      </c>
      <c r="S1069" s="32">
        <v>0</v>
      </c>
      <c r="T1069" s="32">
        <v>0</v>
      </c>
      <c r="U1069" s="32">
        <v>0</v>
      </c>
      <c r="V1069" s="32">
        <v>0</v>
      </c>
      <c r="W1069" s="32">
        <v>0</v>
      </c>
      <c r="X1069" s="32">
        <v>0</v>
      </c>
      <c r="Y1069" s="32">
        <v>0</v>
      </c>
      <c r="Z1069" s="32">
        <v>0</v>
      </c>
      <c r="AA1069" s="31">
        <v>0</v>
      </c>
      <c r="AB1069" s="31">
        <v>0</v>
      </c>
      <c r="AC1069" s="31">
        <f>ROUND(N1069*1.5%,2)</f>
        <v>31659.77</v>
      </c>
      <c r="AD1069" s="31">
        <v>120000</v>
      </c>
      <c r="AE1069" s="31">
        <v>120000</v>
      </c>
      <c r="AF1069" s="345">
        <v>2022</v>
      </c>
      <c r="AG1069" s="345">
        <v>2022</v>
      </c>
      <c r="AH1069" s="346">
        <v>2022</v>
      </c>
      <c r="BZ1069" s="71"/>
    </row>
    <row r="1070" spans="1:78" ht="61.5" x14ac:dyDescent="0.85">
      <c r="B1070" s="24" t="s">
        <v>770</v>
      </c>
      <c r="C1070" s="114"/>
      <c r="D1070" s="31">
        <f t="shared" ref="D1070:AE1070" si="263">SUM(D1071:D1096)</f>
        <v>87295266.429999992</v>
      </c>
      <c r="E1070" s="31">
        <f t="shared" si="263"/>
        <v>0</v>
      </c>
      <c r="F1070" s="31">
        <f t="shared" si="263"/>
        <v>0</v>
      </c>
      <c r="G1070" s="31">
        <f t="shared" si="263"/>
        <v>0</v>
      </c>
      <c r="H1070" s="31">
        <f t="shared" si="263"/>
        <v>0</v>
      </c>
      <c r="I1070" s="31">
        <f t="shared" si="263"/>
        <v>1794795.08</v>
      </c>
      <c r="J1070" s="31">
        <f t="shared" si="263"/>
        <v>0</v>
      </c>
      <c r="K1070" s="33">
        <f t="shared" si="263"/>
        <v>5</v>
      </c>
      <c r="L1070" s="31">
        <f t="shared" si="263"/>
        <v>10631631.530000001</v>
      </c>
      <c r="M1070" s="31">
        <f t="shared" si="263"/>
        <v>14798</v>
      </c>
      <c r="N1070" s="31">
        <f t="shared" si="263"/>
        <v>67952677.739999995</v>
      </c>
      <c r="O1070" s="31">
        <f t="shared" si="263"/>
        <v>0</v>
      </c>
      <c r="P1070" s="31">
        <f t="shared" si="263"/>
        <v>0</v>
      </c>
      <c r="Q1070" s="31">
        <f t="shared" si="263"/>
        <v>1050</v>
      </c>
      <c r="R1070" s="31">
        <f t="shared" si="263"/>
        <v>5664975.3700000001</v>
      </c>
      <c r="S1070" s="31">
        <f t="shared" si="263"/>
        <v>0</v>
      </c>
      <c r="T1070" s="31">
        <f t="shared" si="263"/>
        <v>0</v>
      </c>
      <c r="U1070" s="31">
        <f t="shared" si="263"/>
        <v>0</v>
      </c>
      <c r="V1070" s="31">
        <f t="shared" si="263"/>
        <v>0</v>
      </c>
      <c r="W1070" s="31">
        <f t="shared" si="263"/>
        <v>0</v>
      </c>
      <c r="X1070" s="31">
        <f t="shared" si="263"/>
        <v>0</v>
      </c>
      <c r="Y1070" s="31">
        <f t="shared" si="263"/>
        <v>0</v>
      </c>
      <c r="Z1070" s="31">
        <f t="shared" si="263"/>
        <v>0</v>
      </c>
      <c r="AA1070" s="31">
        <f t="shared" si="263"/>
        <v>0</v>
      </c>
      <c r="AB1070" s="31">
        <f t="shared" si="263"/>
        <v>0</v>
      </c>
      <c r="AC1070" s="31">
        <f t="shared" si="263"/>
        <v>1131186.71</v>
      </c>
      <c r="AD1070" s="31">
        <f t="shared" si="263"/>
        <v>0</v>
      </c>
      <c r="AE1070" s="31">
        <f t="shared" si="263"/>
        <v>120000</v>
      </c>
      <c r="AF1070" s="343" t="s">
        <v>764</v>
      </c>
      <c r="AG1070" s="343" t="s">
        <v>764</v>
      </c>
      <c r="AH1070" s="344" t="s">
        <v>764</v>
      </c>
      <c r="AT1070" s="20" t="e">
        <f t="shared" ref="AT1070:AT1107" si="264">VLOOKUP(C1070,AW:AX,2,FALSE)</f>
        <v>#N/A</v>
      </c>
      <c r="BZ1070" s="71">
        <v>91626897.959999993</v>
      </c>
    </row>
    <row r="1071" spans="1:78" ht="61.5" x14ac:dyDescent="0.85">
      <c r="A1071" s="20">
        <v>1</v>
      </c>
      <c r="B1071" s="66">
        <f>SUBTOTAL(103,$A$994:A1071)</f>
        <v>76</v>
      </c>
      <c r="C1071" s="24" t="s">
        <v>429</v>
      </c>
      <c r="D1071" s="31">
        <f t="shared" ref="D1071:D1096" si="265">E1071+F1071+G1071+H1071+I1071+J1071+L1071+N1071+P1071+R1071+T1071+U1071+V1071+W1071+X1071+Y1071+Z1071+AA1071+AB1071+AC1071+AD1071+AE1071</f>
        <v>4337224.8899999997</v>
      </c>
      <c r="E1071" s="31">
        <v>0</v>
      </c>
      <c r="F1071" s="31">
        <v>0</v>
      </c>
      <c r="G1071" s="31">
        <v>0</v>
      </c>
      <c r="H1071" s="31">
        <v>0</v>
      </c>
      <c r="I1071" s="31">
        <v>0</v>
      </c>
      <c r="J1071" s="31">
        <v>0</v>
      </c>
      <c r="K1071" s="33">
        <v>0</v>
      </c>
      <c r="L1071" s="31">
        <v>0</v>
      </c>
      <c r="M1071" s="31">
        <v>930</v>
      </c>
      <c r="N1071" s="31">
        <v>4273127.97</v>
      </c>
      <c r="O1071" s="31">
        <v>0</v>
      </c>
      <c r="P1071" s="31">
        <v>0</v>
      </c>
      <c r="Q1071" s="31">
        <v>0</v>
      </c>
      <c r="R1071" s="31">
        <v>0</v>
      </c>
      <c r="S1071" s="31">
        <v>0</v>
      </c>
      <c r="T1071" s="31">
        <v>0</v>
      </c>
      <c r="U1071" s="31">
        <v>0</v>
      </c>
      <c r="V1071" s="31">
        <v>0</v>
      </c>
      <c r="W1071" s="31">
        <v>0</v>
      </c>
      <c r="X1071" s="31">
        <v>0</v>
      </c>
      <c r="Y1071" s="31">
        <v>0</v>
      </c>
      <c r="Z1071" s="31">
        <v>0</v>
      </c>
      <c r="AA1071" s="31">
        <v>0</v>
      </c>
      <c r="AB1071" s="31">
        <v>0</v>
      </c>
      <c r="AC1071" s="31">
        <f>ROUND(N1071*1.5%,2)</f>
        <v>64096.92</v>
      </c>
      <c r="AD1071" s="31">
        <v>0</v>
      </c>
      <c r="AE1071" s="31">
        <v>0</v>
      </c>
      <c r="AF1071" s="345" t="s">
        <v>271</v>
      </c>
      <c r="AG1071" s="345">
        <v>2022</v>
      </c>
      <c r="AH1071" s="346">
        <v>2022</v>
      </c>
      <c r="AT1071" s="20" t="e">
        <f t="shared" si="264"/>
        <v>#N/A</v>
      </c>
      <c r="BZ1071" s="71"/>
    </row>
    <row r="1072" spans="1:78" ht="61.5" x14ac:dyDescent="0.85">
      <c r="A1072" s="20">
        <v>1</v>
      </c>
      <c r="B1072" s="66">
        <f>SUBTOTAL(103,$A$994:A1072)</f>
        <v>77</v>
      </c>
      <c r="C1072" s="24" t="s">
        <v>430</v>
      </c>
      <c r="D1072" s="31">
        <f t="shared" si="265"/>
        <v>2714283.9</v>
      </c>
      <c r="E1072" s="31">
        <v>0</v>
      </c>
      <c r="F1072" s="31">
        <v>0</v>
      </c>
      <c r="G1072" s="31">
        <v>0</v>
      </c>
      <c r="H1072" s="31">
        <v>0</v>
      </c>
      <c r="I1072" s="31">
        <v>0</v>
      </c>
      <c r="J1072" s="31">
        <v>0</v>
      </c>
      <c r="K1072" s="33">
        <v>0</v>
      </c>
      <c r="L1072" s="31">
        <v>0</v>
      </c>
      <c r="M1072" s="31">
        <v>594</v>
      </c>
      <c r="N1072" s="31">
        <v>2674171.33</v>
      </c>
      <c r="O1072" s="31">
        <v>0</v>
      </c>
      <c r="P1072" s="31">
        <v>0</v>
      </c>
      <c r="Q1072" s="31">
        <v>0</v>
      </c>
      <c r="R1072" s="31">
        <v>0</v>
      </c>
      <c r="S1072" s="31">
        <v>0</v>
      </c>
      <c r="T1072" s="31">
        <v>0</v>
      </c>
      <c r="U1072" s="31">
        <v>0</v>
      </c>
      <c r="V1072" s="31">
        <v>0</v>
      </c>
      <c r="W1072" s="31">
        <v>0</v>
      </c>
      <c r="X1072" s="31">
        <v>0</v>
      </c>
      <c r="Y1072" s="31">
        <v>0</v>
      </c>
      <c r="Z1072" s="31">
        <v>0</v>
      </c>
      <c r="AA1072" s="31">
        <v>0</v>
      </c>
      <c r="AB1072" s="31">
        <v>0</v>
      </c>
      <c r="AC1072" s="31">
        <f>ROUND(N1072*1.5%,2)</f>
        <v>40112.57</v>
      </c>
      <c r="AD1072" s="31">
        <v>0</v>
      </c>
      <c r="AE1072" s="31">
        <v>0</v>
      </c>
      <c r="AF1072" s="345" t="s">
        <v>271</v>
      </c>
      <c r="AG1072" s="345">
        <v>2022</v>
      </c>
      <c r="AH1072" s="346">
        <v>2022</v>
      </c>
      <c r="AT1072" s="20" t="e">
        <f t="shared" si="264"/>
        <v>#N/A</v>
      </c>
      <c r="BZ1072" s="71"/>
    </row>
    <row r="1073" spans="1:78" ht="61.5" x14ac:dyDescent="0.85">
      <c r="A1073" s="20">
        <v>1</v>
      </c>
      <c r="B1073" s="66">
        <f>SUBTOTAL(103,$A$994:A1073)</f>
        <v>78</v>
      </c>
      <c r="C1073" s="24" t="s">
        <v>431</v>
      </c>
      <c r="D1073" s="31">
        <f t="shared" si="265"/>
        <v>5214319.6899999995</v>
      </c>
      <c r="E1073" s="31">
        <v>0</v>
      </c>
      <c r="F1073" s="31">
        <v>0</v>
      </c>
      <c r="G1073" s="31">
        <v>0</v>
      </c>
      <c r="H1073" s="31">
        <v>0</v>
      </c>
      <c r="I1073" s="31">
        <v>0</v>
      </c>
      <c r="J1073" s="31">
        <v>0</v>
      </c>
      <c r="K1073" s="33">
        <v>0</v>
      </c>
      <c r="L1073" s="31">
        <v>0</v>
      </c>
      <c r="M1073" s="31">
        <v>1118</v>
      </c>
      <c r="N1073" s="31">
        <v>5137260.7799999993</v>
      </c>
      <c r="O1073" s="31">
        <v>0</v>
      </c>
      <c r="P1073" s="31">
        <v>0</v>
      </c>
      <c r="Q1073" s="31">
        <v>0</v>
      </c>
      <c r="R1073" s="31">
        <v>0</v>
      </c>
      <c r="S1073" s="31">
        <v>0</v>
      </c>
      <c r="T1073" s="31">
        <v>0</v>
      </c>
      <c r="U1073" s="31">
        <v>0</v>
      </c>
      <c r="V1073" s="31">
        <v>0</v>
      </c>
      <c r="W1073" s="31">
        <v>0</v>
      </c>
      <c r="X1073" s="31">
        <v>0</v>
      </c>
      <c r="Y1073" s="31">
        <v>0</v>
      </c>
      <c r="Z1073" s="31">
        <v>0</v>
      </c>
      <c r="AA1073" s="31">
        <v>0</v>
      </c>
      <c r="AB1073" s="31">
        <v>0</v>
      </c>
      <c r="AC1073" s="31">
        <f>ROUND(N1073*1.5%,2)</f>
        <v>77058.91</v>
      </c>
      <c r="AD1073" s="31">
        <v>0</v>
      </c>
      <c r="AE1073" s="31">
        <v>0</v>
      </c>
      <c r="AF1073" s="345" t="s">
        <v>271</v>
      </c>
      <c r="AG1073" s="345">
        <v>2022</v>
      </c>
      <c r="AH1073" s="346">
        <v>2022</v>
      </c>
      <c r="AT1073" s="20" t="e">
        <f t="shared" si="264"/>
        <v>#N/A</v>
      </c>
      <c r="BZ1073" s="71"/>
    </row>
    <row r="1074" spans="1:78" ht="61.5" x14ac:dyDescent="0.85">
      <c r="A1074" s="20">
        <v>1</v>
      </c>
      <c r="B1074" s="66">
        <f>SUBTOTAL(103,$A$994:A1074)</f>
        <v>79</v>
      </c>
      <c r="C1074" s="24" t="s">
        <v>432</v>
      </c>
      <c r="D1074" s="31">
        <f t="shared" si="265"/>
        <v>5749950</v>
      </c>
      <c r="E1074" s="31">
        <v>0</v>
      </c>
      <c r="F1074" s="31">
        <v>0</v>
      </c>
      <c r="G1074" s="31">
        <v>0</v>
      </c>
      <c r="H1074" s="31">
        <v>0</v>
      </c>
      <c r="I1074" s="31">
        <v>0</v>
      </c>
      <c r="J1074" s="31">
        <v>0</v>
      </c>
      <c r="K1074" s="33">
        <v>0</v>
      </c>
      <c r="L1074" s="31">
        <v>0</v>
      </c>
      <c r="M1074" s="31">
        <v>0</v>
      </c>
      <c r="N1074" s="31">
        <v>0</v>
      </c>
      <c r="O1074" s="31">
        <v>0</v>
      </c>
      <c r="P1074" s="31">
        <v>0</v>
      </c>
      <c r="Q1074" s="31">
        <v>1050</v>
      </c>
      <c r="R1074" s="31">
        <v>5664975.3700000001</v>
      </c>
      <c r="S1074" s="31">
        <v>0</v>
      </c>
      <c r="T1074" s="31">
        <v>0</v>
      </c>
      <c r="U1074" s="31">
        <v>0</v>
      </c>
      <c r="V1074" s="31">
        <v>0</v>
      </c>
      <c r="W1074" s="31">
        <v>0</v>
      </c>
      <c r="X1074" s="31">
        <v>0</v>
      </c>
      <c r="Y1074" s="31">
        <v>0</v>
      </c>
      <c r="Z1074" s="31">
        <v>0</v>
      </c>
      <c r="AA1074" s="31">
        <v>0</v>
      </c>
      <c r="AB1074" s="31">
        <v>0</v>
      </c>
      <c r="AC1074" s="31">
        <f>ROUND(R1074*1.5%,2)</f>
        <v>84974.63</v>
      </c>
      <c r="AD1074" s="31">
        <v>0</v>
      </c>
      <c r="AE1074" s="31">
        <v>0</v>
      </c>
      <c r="AF1074" s="345" t="s">
        <v>271</v>
      </c>
      <c r="AG1074" s="345">
        <v>2022</v>
      </c>
      <c r="AH1074" s="346">
        <v>2022</v>
      </c>
      <c r="AT1074" s="20" t="e">
        <f t="shared" si="264"/>
        <v>#N/A</v>
      </c>
      <c r="BZ1074" s="71"/>
    </row>
    <row r="1075" spans="1:78" ht="61.5" x14ac:dyDescent="0.85">
      <c r="A1075" s="20">
        <v>1</v>
      </c>
      <c r="B1075" s="66">
        <f>SUBTOTAL(103,$A$994:A1075)</f>
        <v>80</v>
      </c>
      <c r="C1075" s="24" t="s">
        <v>433</v>
      </c>
      <c r="D1075" s="31">
        <f t="shared" si="265"/>
        <v>3391530.1000000006</v>
      </c>
      <c r="E1075" s="31">
        <v>0</v>
      </c>
      <c r="F1075" s="31">
        <v>0</v>
      </c>
      <c r="G1075" s="31">
        <v>0</v>
      </c>
      <c r="H1075" s="31">
        <v>0</v>
      </c>
      <c r="I1075" s="31">
        <v>0</v>
      </c>
      <c r="J1075" s="31">
        <v>0</v>
      </c>
      <c r="K1075" s="33">
        <v>0</v>
      </c>
      <c r="L1075" s="31">
        <v>0</v>
      </c>
      <c r="M1075" s="31">
        <v>734</v>
      </c>
      <c r="N1075" s="31">
        <f>3341408.97-118226.61</f>
        <v>3223182.3600000003</v>
      </c>
      <c r="O1075" s="31">
        <v>0</v>
      </c>
      <c r="P1075" s="31">
        <v>0</v>
      </c>
      <c r="Q1075" s="31">
        <v>0</v>
      </c>
      <c r="R1075" s="31">
        <v>0</v>
      </c>
      <c r="S1075" s="31">
        <v>0</v>
      </c>
      <c r="T1075" s="31">
        <v>0</v>
      </c>
      <c r="U1075" s="31">
        <v>0</v>
      </c>
      <c r="V1075" s="31">
        <v>0</v>
      </c>
      <c r="W1075" s="31">
        <v>0</v>
      </c>
      <c r="X1075" s="31">
        <v>0</v>
      </c>
      <c r="Y1075" s="31">
        <v>0</v>
      </c>
      <c r="Z1075" s="31">
        <v>0</v>
      </c>
      <c r="AA1075" s="31">
        <v>0</v>
      </c>
      <c r="AB1075" s="31">
        <v>0</v>
      </c>
      <c r="AC1075" s="31">
        <f>ROUND(N1075*1.5%,2)</f>
        <v>48347.74</v>
      </c>
      <c r="AD1075" s="31">
        <v>0</v>
      </c>
      <c r="AE1075" s="31">
        <v>120000</v>
      </c>
      <c r="AF1075" s="345" t="s">
        <v>271</v>
      </c>
      <c r="AG1075" s="345">
        <v>2022</v>
      </c>
      <c r="AH1075" s="346">
        <v>2022</v>
      </c>
      <c r="AT1075" s="20" t="e">
        <f t="shared" si="264"/>
        <v>#N/A</v>
      </c>
      <c r="BZ1075" s="71"/>
    </row>
    <row r="1076" spans="1:78" ht="61.5" x14ac:dyDescent="0.85">
      <c r="A1076" s="20">
        <v>1</v>
      </c>
      <c r="B1076" s="66">
        <f>SUBTOTAL(103,$A$994:A1076)</f>
        <v>81</v>
      </c>
      <c r="C1076" s="24" t="s">
        <v>434</v>
      </c>
      <c r="D1076" s="31">
        <f t="shared" si="265"/>
        <v>8090003.5300000003</v>
      </c>
      <c r="E1076" s="31">
        <v>0</v>
      </c>
      <c r="F1076" s="31">
        <v>0</v>
      </c>
      <c r="G1076" s="31">
        <v>0</v>
      </c>
      <c r="H1076" s="31">
        <v>0</v>
      </c>
      <c r="I1076" s="31">
        <v>0</v>
      </c>
      <c r="J1076" s="31">
        <v>0</v>
      </c>
      <c r="K1076" s="33">
        <v>0</v>
      </c>
      <c r="L1076" s="31">
        <v>0</v>
      </c>
      <c r="M1076" s="31">
        <v>1714</v>
      </c>
      <c r="N1076" s="31">
        <v>7970446.8300000001</v>
      </c>
      <c r="O1076" s="31">
        <v>0</v>
      </c>
      <c r="P1076" s="31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1">
        <v>0</v>
      </c>
      <c r="Z1076" s="31">
        <v>0</v>
      </c>
      <c r="AA1076" s="31">
        <v>0</v>
      </c>
      <c r="AB1076" s="31">
        <v>0</v>
      </c>
      <c r="AC1076" s="31">
        <f>ROUND(N1076*1.5%,2)</f>
        <v>119556.7</v>
      </c>
      <c r="AD1076" s="31">
        <v>0</v>
      </c>
      <c r="AE1076" s="31">
        <v>0</v>
      </c>
      <c r="AF1076" s="345" t="s">
        <v>271</v>
      </c>
      <c r="AG1076" s="345">
        <v>2022</v>
      </c>
      <c r="AH1076" s="346">
        <v>2022</v>
      </c>
      <c r="AT1076" s="20" t="e">
        <f t="shared" si="264"/>
        <v>#N/A</v>
      </c>
      <c r="BZ1076" s="71"/>
    </row>
    <row r="1077" spans="1:78" ht="61.5" x14ac:dyDescent="0.85">
      <c r="A1077" s="20">
        <v>1</v>
      </c>
      <c r="B1077" s="66">
        <f>SUBTOTAL(103,$A$994:A1077)</f>
        <v>82</v>
      </c>
      <c r="C1077" s="24" t="s">
        <v>435</v>
      </c>
      <c r="D1077" s="31">
        <f t="shared" si="265"/>
        <v>2744983.73</v>
      </c>
      <c r="E1077" s="31">
        <v>0</v>
      </c>
      <c r="F1077" s="31">
        <v>0</v>
      </c>
      <c r="G1077" s="31">
        <v>0</v>
      </c>
      <c r="H1077" s="31">
        <v>0</v>
      </c>
      <c r="I1077" s="31">
        <v>0</v>
      </c>
      <c r="J1077" s="31">
        <v>0</v>
      </c>
      <c r="K1077" s="33">
        <v>0</v>
      </c>
      <c r="L1077" s="31">
        <v>0</v>
      </c>
      <c r="M1077" s="31">
        <v>600</v>
      </c>
      <c r="N1077" s="31">
        <v>2704417.47</v>
      </c>
      <c r="O1077" s="31">
        <v>0</v>
      </c>
      <c r="P1077" s="31">
        <v>0</v>
      </c>
      <c r="Q1077" s="31">
        <v>0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1">
        <v>0</v>
      </c>
      <c r="Z1077" s="31">
        <v>0</v>
      </c>
      <c r="AA1077" s="31">
        <v>0</v>
      </c>
      <c r="AB1077" s="31">
        <v>0</v>
      </c>
      <c r="AC1077" s="31">
        <f>ROUND(N1077*1.5%,2)</f>
        <v>40566.26</v>
      </c>
      <c r="AD1077" s="31">
        <v>0</v>
      </c>
      <c r="AE1077" s="31">
        <v>0</v>
      </c>
      <c r="AF1077" s="345" t="s">
        <v>271</v>
      </c>
      <c r="AG1077" s="345">
        <v>2022</v>
      </c>
      <c r="AH1077" s="346">
        <v>2022</v>
      </c>
      <c r="AT1077" s="20" t="e">
        <f t="shared" si="264"/>
        <v>#N/A</v>
      </c>
      <c r="BZ1077" s="71"/>
    </row>
    <row r="1078" spans="1:78" ht="61.5" x14ac:dyDescent="0.85">
      <c r="A1078" s="20">
        <v>1</v>
      </c>
      <c r="B1078" s="66">
        <f>SUBTOTAL(103,$A$994:A1078)</f>
        <v>83</v>
      </c>
      <c r="C1078" s="24" t="s">
        <v>1725</v>
      </c>
      <c r="D1078" s="31">
        <f t="shared" si="265"/>
        <v>1568740.5100000002</v>
      </c>
      <c r="E1078" s="31">
        <v>0</v>
      </c>
      <c r="F1078" s="31">
        <v>0</v>
      </c>
      <c r="G1078" s="31">
        <v>0</v>
      </c>
      <c r="H1078" s="31">
        <v>0</v>
      </c>
      <c r="I1078" s="31">
        <v>0</v>
      </c>
      <c r="J1078" s="31">
        <v>0</v>
      </c>
      <c r="K1078" s="33">
        <v>0</v>
      </c>
      <c r="L1078" s="31">
        <v>0</v>
      </c>
      <c r="M1078" s="31">
        <v>350</v>
      </c>
      <c r="N1078" s="31">
        <v>1545557.1500000001</v>
      </c>
      <c r="O1078" s="31">
        <v>0</v>
      </c>
      <c r="P1078" s="31">
        <v>0</v>
      </c>
      <c r="Q1078" s="31">
        <v>0</v>
      </c>
      <c r="R1078" s="31">
        <v>0</v>
      </c>
      <c r="S1078" s="31">
        <v>0</v>
      </c>
      <c r="T1078" s="31">
        <v>0</v>
      </c>
      <c r="U1078" s="31">
        <v>0</v>
      </c>
      <c r="V1078" s="31">
        <v>0</v>
      </c>
      <c r="W1078" s="31">
        <v>0</v>
      </c>
      <c r="X1078" s="31">
        <v>0</v>
      </c>
      <c r="Y1078" s="31">
        <v>0</v>
      </c>
      <c r="Z1078" s="31">
        <v>0</v>
      </c>
      <c r="AA1078" s="31">
        <v>0</v>
      </c>
      <c r="AB1078" s="31">
        <v>0</v>
      </c>
      <c r="AC1078" s="31">
        <f>ROUND(N1078*1.5%,2)</f>
        <v>23183.360000000001</v>
      </c>
      <c r="AD1078" s="31">
        <v>0</v>
      </c>
      <c r="AE1078" s="31">
        <v>0</v>
      </c>
      <c r="AF1078" s="345" t="s">
        <v>271</v>
      </c>
      <c r="AG1078" s="345">
        <v>2022</v>
      </c>
      <c r="AH1078" s="346">
        <v>2022</v>
      </c>
      <c r="AT1078" s="20" t="e">
        <f t="shared" si="264"/>
        <v>#N/A</v>
      </c>
      <c r="BZ1078" s="71"/>
    </row>
    <row r="1079" spans="1:78" ht="61.5" x14ac:dyDescent="0.85">
      <c r="A1079" s="20">
        <v>1</v>
      </c>
      <c r="B1079" s="66">
        <f>SUBTOTAL(103,$A$994:A1079)</f>
        <v>84</v>
      </c>
      <c r="C1079" s="24" t="s">
        <v>206</v>
      </c>
      <c r="D1079" s="31">
        <f t="shared" si="265"/>
        <v>4671497.92</v>
      </c>
      <c r="E1079" s="31">
        <v>0</v>
      </c>
      <c r="F1079" s="31">
        <v>0</v>
      </c>
      <c r="G1079" s="31">
        <v>0</v>
      </c>
      <c r="H1079" s="31">
        <v>0</v>
      </c>
      <c r="I1079" s="31">
        <v>0</v>
      </c>
      <c r="J1079" s="31">
        <v>0</v>
      </c>
      <c r="K1079" s="33">
        <v>0</v>
      </c>
      <c r="L1079" s="31">
        <v>0</v>
      </c>
      <c r="M1079" s="31">
        <v>999</v>
      </c>
      <c r="N1079" s="31">
        <v>4602461</v>
      </c>
      <c r="O1079" s="31">
        <v>0</v>
      </c>
      <c r="P1079" s="31">
        <v>0</v>
      </c>
      <c r="Q1079" s="31">
        <v>0</v>
      </c>
      <c r="R1079" s="31">
        <v>0</v>
      </c>
      <c r="S1079" s="31">
        <v>0</v>
      </c>
      <c r="T1079" s="31">
        <v>0</v>
      </c>
      <c r="U1079" s="31">
        <v>0</v>
      </c>
      <c r="V1079" s="31">
        <v>0</v>
      </c>
      <c r="W1079" s="31">
        <v>0</v>
      </c>
      <c r="X1079" s="31">
        <v>0</v>
      </c>
      <c r="Y1079" s="31">
        <v>0</v>
      </c>
      <c r="Z1079" s="31">
        <v>0</v>
      </c>
      <c r="AA1079" s="31">
        <v>0</v>
      </c>
      <c r="AB1079" s="31">
        <v>0</v>
      </c>
      <c r="AC1079" s="31">
        <f>ROUND(N1079*1.5%,2)</f>
        <v>69036.92</v>
      </c>
      <c r="AD1079" s="31">
        <v>0</v>
      </c>
      <c r="AE1079" s="31">
        <v>0</v>
      </c>
      <c r="AF1079" s="345" t="s">
        <v>271</v>
      </c>
      <c r="AG1079" s="345">
        <v>2022</v>
      </c>
      <c r="AH1079" s="346">
        <v>2022</v>
      </c>
      <c r="AT1079" s="20" t="e">
        <f t="shared" si="264"/>
        <v>#N/A</v>
      </c>
      <c r="BZ1079" s="71"/>
    </row>
    <row r="1080" spans="1:78" ht="61.5" x14ac:dyDescent="0.85">
      <c r="A1080" s="20">
        <v>1</v>
      </c>
      <c r="B1080" s="66">
        <f>SUBTOTAL(103,$A$994:A1080)</f>
        <v>85</v>
      </c>
      <c r="C1080" s="24" t="s">
        <v>207</v>
      </c>
      <c r="D1080" s="31">
        <f t="shared" si="265"/>
        <v>457907</v>
      </c>
      <c r="E1080" s="31">
        <v>0</v>
      </c>
      <c r="F1080" s="31">
        <v>0</v>
      </c>
      <c r="G1080" s="31">
        <v>0</v>
      </c>
      <c r="H1080" s="31">
        <v>0</v>
      </c>
      <c r="I1080" s="31">
        <v>451139.9</v>
      </c>
      <c r="J1080" s="31">
        <v>0</v>
      </c>
      <c r="K1080" s="33">
        <v>0</v>
      </c>
      <c r="L1080" s="31">
        <v>0</v>
      </c>
      <c r="M1080" s="31">
        <v>0</v>
      </c>
      <c r="N1080" s="31">
        <v>0</v>
      </c>
      <c r="O1080" s="31">
        <v>0</v>
      </c>
      <c r="P1080" s="31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1">
        <v>0</v>
      </c>
      <c r="X1080" s="31">
        <v>0</v>
      </c>
      <c r="Y1080" s="31">
        <v>0</v>
      </c>
      <c r="Z1080" s="31">
        <v>0</v>
      </c>
      <c r="AA1080" s="31">
        <v>0</v>
      </c>
      <c r="AB1080" s="31">
        <v>0</v>
      </c>
      <c r="AC1080" s="31">
        <f>ROUND((E1080+F1080+G1080+H1080+I1080+J1080)*1.5%,2)</f>
        <v>6767.1</v>
      </c>
      <c r="AD1080" s="31">
        <v>0</v>
      </c>
      <c r="AE1080" s="31">
        <v>0</v>
      </c>
      <c r="AF1080" s="345" t="s">
        <v>271</v>
      </c>
      <c r="AG1080" s="345">
        <v>2022</v>
      </c>
      <c r="AH1080" s="346">
        <v>2022</v>
      </c>
      <c r="AT1080" s="20" t="e">
        <f t="shared" si="264"/>
        <v>#N/A</v>
      </c>
      <c r="BZ1080" s="71"/>
    </row>
    <row r="1081" spans="1:78" ht="61.5" x14ac:dyDescent="0.85">
      <c r="A1081" s="20">
        <v>1</v>
      </c>
      <c r="B1081" s="66">
        <f>SUBTOTAL(103,$A$994:A1081)</f>
        <v>86</v>
      </c>
      <c r="C1081" s="24" t="s">
        <v>208</v>
      </c>
      <c r="D1081" s="31">
        <f t="shared" si="265"/>
        <v>632281</v>
      </c>
      <c r="E1081" s="31">
        <v>0</v>
      </c>
      <c r="F1081" s="31">
        <v>0</v>
      </c>
      <c r="G1081" s="31">
        <v>0</v>
      </c>
      <c r="H1081" s="31">
        <v>0</v>
      </c>
      <c r="I1081" s="31">
        <v>622936.94999999995</v>
      </c>
      <c r="J1081" s="31">
        <v>0</v>
      </c>
      <c r="K1081" s="33">
        <v>0</v>
      </c>
      <c r="L1081" s="31">
        <v>0</v>
      </c>
      <c r="M1081" s="31">
        <v>0</v>
      </c>
      <c r="N1081" s="31">
        <v>0</v>
      </c>
      <c r="O1081" s="31">
        <v>0</v>
      </c>
      <c r="P1081" s="31">
        <v>0</v>
      </c>
      <c r="Q1081" s="31">
        <v>0</v>
      </c>
      <c r="R1081" s="31">
        <v>0</v>
      </c>
      <c r="S1081" s="31">
        <v>0</v>
      </c>
      <c r="T1081" s="31">
        <v>0</v>
      </c>
      <c r="U1081" s="31">
        <v>0</v>
      </c>
      <c r="V1081" s="31">
        <v>0</v>
      </c>
      <c r="W1081" s="31">
        <v>0</v>
      </c>
      <c r="X1081" s="31">
        <v>0</v>
      </c>
      <c r="Y1081" s="31">
        <v>0</v>
      </c>
      <c r="Z1081" s="31">
        <v>0</v>
      </c>
      <c r="AA1081" s="31">
        <v>0</v>
      </c>
      <c r="AB1081" s="31">
        <v>0</v>
      </c>
      <c r="AC1081" s="31">
        <f>ROUND((E1081+F1081+G1081+H1081+I1081+J1081)*1.5%,2)</f>
        <v>9344.0499999999993</v>
      </c>
      <c r="AD1081" s="31">
        <v>0</v>
      </c>
      <c r="AE1081" s="31">
        <v>0</v>
      </c>
      <c r="AF1081" s="345" t="s">
        <v>271</v>
      </c>
      <c r="AG1081" s="345">
        <v>2022</v>
      </c>
      <c r="AH1081" s="346">
        <v>2022</v>
      </c>
      <c r="AT1081" s="20" t="e">
        <f t="shared" si="264"/>
        <v>#N/A</v>
      </c>
      <c r="BZ1081" s="71"/>
    </row>
    <row r="1082" spans="1:78" ht="61.5" x14ac:dyDescent="0.85">
      <c r="A1082" s="20">
        <v>1</v>
      </c>
      <c r="B1082" s="66">
        <f>SUBTOTAL(103,$A$994:A1082)</f>
        <v>87</v>
      </c>
      <c r="C1082" s="24" t="s">
        <v>209</v>
      </c>
      <c r="D1082" s="31">
        <f t="shared" si="265"/>
        <v>731529</v>
      </c>
      <c r="E1082" s="31">
        <v>0</v>
      </c>
      <c r="F1082" s="31">
        <v>0</v>
      </c>
      <c r="G1082" s="31">
        <v>0</v>
      </c>
      <c r="H1082" s="31">
        <v>0</v>
      </c>
      <c r="I1082" s="31">
        <v>720718.23</v>
      </c>
      <c r="J1082" s="31">
        <v>0</v>
      </c>
      <c r="K1082" s="33">
        <v>0</v>
      </c>
      <c r="L1082" s="31">
        <v>0</v>
      </c>
      <c r="M1082" s="31">
        <v>0</v>
      </c>
      <c r="N1082" s="31">
        <v>0</v>
      </c>
      <c r="O1082" s="31">
        <v>0</v>
      </c>
      <c r="P1082" s="31">
        <v>0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1">
        <v>0</v>
      </c>
      <c r="X1082" s="31">
        <v>0</v>
      </c>
      <c r="Y1082" s="31">
        <v>0</v>
      </c>
      <c r="Z1082" s="31">
        <v>0</v>
      </c>
      <c r="AA1082" s="31">
        <v>0</v>
      </c>
      <c r="AB1082" s="31">
        <v>0</v>
      </c>
      <c r="AC1082" s="31">
        <f>ROUND((E1082+F1082+G1082+H1082+I1082+J1082)*1.5%,2)</f>
        <v>10810.77</v>
      </c>
      <c r="AD1082" s="31">
        <v>0</v>
      </c>
      <c r="AE1082" s="31">
        <v>0</v>
      </c>
      <c r="AF1082" s="345" t="s">
        <v>271</v>
      </c>
      <c r="AG1082" s="345">
        <v>2022</v>
      </c>
      <c r="AH1082" s="346">
        <v>2022</v>
      </c>
      <c r="AT1082" s="20" t="e">
        <f t="shared" si="264"/>
        <v>#N/A</v>
      </c>
      <c r="BZ1082" s="71"/>
    </row>
    <row r="1083" spans="1:78" ht="61.5" x14ac:dyDescent="0.85">
      <c r="A1083" s="20">
        <v>1</v>
      </c>
      <c r="B1083" s="66">
        <f>SUBTOTAL(103,$A$994:A1083)</f>
        <v>88</v>
      </c>
      <c r="C1083" s="24" t="s">
        <v>436</v>
      </c>
      <c r="D1083" s="31">
        <f t="shared" si="265"/>
        <v>4760772.24</v>
      </c>
      <c r="E1083" s="31">
        <v>0</v>
      </c>
      <c r="F1083" s="31">
        <v>0</v>
      </c>
      <c r="G1083" s="31">
        <v>0</v>
      </c>
      <c r="H1083" s="31">
        <v>0</v>
      </c>
      <c r="I1083" s="31">
        <v>0</v>
      </c>
      <c r="J1083" s="31">
        <v>0</v>
      </c>
      <c r="K1083" s="33">
        <v>0</v>
      </c>
      <c r="L1083" s="31">
        <v>0</v>
      </c>
      <c r="M1083" s="31">
        <v>1024</v>
      </c>
      <c r="N1083" s="31">
        <v>4690416</v>
      </c>
      <c r="O1083" s="31">
        <v>0</v>
      </c>
      <c r="P1083" s="31">
        <v>0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1">
        <v>0</v>
      </c>
      <c r="X1083" s="31">
        <v>0</v>
      </c>
      <c r="Y1083" s="31">
        <v>0</v>
      </c>
      <c r="Z1083" s="31">
        <v>0</v>
      </c>
      <c r="AA1083" s="31">
        <v>0</v>
      </c>
      <c r="AB1083" s="31">
        <v>0</v>
      </c>
      <c r="AC1083" s="31">
        <f>ROUND(N1083*1.5%,2)</f>
        <v>70356.240000000005</v>
      </c>
      <c r="AD1083" s="31">
        <v>0</v>
      </c>
      <c r="AE1083" s="31">
        <v>0</v>
      </c>
      <c r="AF1083" s="345" t="s">
        <v>271</v>
      </c>
      <c r="AG1083" s="345">
        <v>2022</v>
      </c>
      <c r="AH1083" s="346">
        <v>2022</v>
      </c>
      <c r="AT1083" s="20" t="e">
        <f t="shared" si="264"/>
        <v>#N/A</v>
      </c>
      <c r="BZ1083" s="71"/>
    </row>
    <row r="1084" spans="1:78" ht="61.5" x14ac:dyDescent="0.85">
      <c r="A1084" s="20">
        <v>1</v>
      </c>
      <c r="B1084" s="66">
        <f>SUBTOTAL(103,$A$994:A1084)</f>
        <v>89</v>
      </c>
      <c r="C1084" s="24" t="s">
        <v>437</v>
      </c>
      <c r="D1084" s="31">
        <f t="shared" si="265"/>
        <v>4331631.53</v>
      </c>
      <c r="E1084" s="31">
        <v>0</v>
      </c>
      <c r="F1084" s="31">
        <v>0</v>
      </c>
      <c r="G1084" s="31">
        <v>0</v>
      </c>
      <c r="H1084" s="31">
        <v>0</v>
      </c>
      <c r="I1084" s="31">
        <v>0</v>
      </c>
      <c r="J1084" s="31">
        <v>0</v>
      </c>
      <c r="K1084" s="33">
        <v>2</v>
      </c>
      <c r="L1084" s="31">
        <v>4331631.53</v>
      </c>
      <c r="M1084" s="31">
        <v>0</v>
      </c>
      <c r="N1084" s="31">
        <v>0</v>
      </c>
      <c r="O1084" s="31">
        <v>0</v>
      </c>
      <c r="P1084" s="31">
        <v>0</v>
      </c>
      <c r="Q1084" s="31">
        <v>0</v>
      </c>
      <c r="R1084" s="31">
        <v>0</v>
      </c>
      <c r="S1084" s="31">
        <v>0</v>
      </c>
      <c r="T1084" s="31">
        <v>0</v>
      </c>
      <c r="U1084" s="31">
        <v>0</v>
      </c>
      <c r="V1084" s="31">
        <v>0</v>
      </c>
      <c r="W1084" s="31">
        <v>0</v>
      </c>
      <c r="X1084" s="31">
        <v>0</v>
      </c>
      <c r="Y1084" s="31">
        <v>0</v>
      </c>
      <c r="Z1084" s="31">
        <v>0</v>
      </c>
      <c r="AA1084" s="31">
        <v>0</v>
      </c>
      <c r="AB1084" s="31">
        <v>0</v>
      </c>
      <c r="AC1084" s="31">
        <v>0</v>
      </c>
      <c r="AD1084" s="31">
        <v>0</v>
      </c>
      <c r="AE1084" s="31">
        <v>0</v>
      </c>
      <c r="AF1084" s="345" t="s">
        <v>271</v>
      </c>
      <c r="AG1084" s="345">
        <v>2022</v>
      </c>
      <c r="AH1084" s="346" t="s">
        <v>271</v>
      </c>
      <c r="AT1084" s="20">
        <f t="shared" si="264"/>
        <v>1</v>
      </c>
      <c r="BZ1084" s="71"/>
    </row>
    <row r="1085" spans="1:78" ht="61.5" x14ac:dyDescent="0.85">
      <c r="A1085" s="20">
        <v>1</v>
      </c>
      <c r="B1085" s="66">
        <f>SUBTOTAL(103,$A$994:A1085)</f>
        <v>90</v>
      </c>
      <c r="C1085" s="24" t="s">
        <v>438</v>
      </c>
      <c r="D1085" s="31">
        <f t="shared" si="265"/>
        <v>2789948.7</v>
      </c>
      <c r="E1085" s="31">
        <v>0</v>
      </c>
      <c r="F1085" s="31">
        <v>0</v>
      </c>
      <c r="G1085" s="31">
        <v>0</v>
      </c>
      <c r="H1085" s="31">
        <v>0</v>
      </c>
      <c r="I1085" s="31">
        <v>0</v>
      </c>
      <c r="J1085" s="31">
        <v>0</v>
      </c>
      <c r="K1085" s="33">
        <v>0</v>
      </c>
      <c r="L1085" s="31">
        <v>0</v>
      </c>
      <c r="M1085" s="31">
        <v>600</v>
      </c>
      <c r="N1085" s="31">
        <v>2748717.93</v>
      </c>
      <c r="O1085" s="31">
        <v>0</v>
      </c>
      <c r="P1085" s="31">
        <v>0</v>
      </c>
      <c r="Q1085" s="31">
        <v>0</v>
      </c>
      <c r="R1085" s="31">
        <v>0</v>
      </c>
      <c r="S1085" s="31">
        <v>0</v>
      </c>
      <c r="T1085" s="31">
        <v>0</v>
      </c>
      <c r="U1085" s="31">
        <v>0</v>
      </c>
      <c r="V1085" s="31">
        <v>0</v>
      </c>
      <c r="W1085" s="31">
        <v>0</v>
      </c>
      <c r="X1085" s="31">
        <v>0</v>
      </c>
      <c r="Y1085" s="31">
        <v>0</v>
      </c>
      <c r="Z1085" s="31">
        <v>0</v>
      </c>
      <c r="AA1085" s="31">
        <v>0</v>
      </c>
      <c r="AB1085" s="31">
        <v>0</v>
      </c>
      <c r="AC1085" s="31">
        <f t="shared" ref="AC1085:AC1092" si="266">ROUND(N1085*1.5%,2)</f>
        <v>41230.769999999997</v>
      </c>
      <c r="AD1085" s="31">
        <v>0</v>
      </c>
      <c r="AE1085" s="31">
        <v>0</v>
      </c>
      <c r="AF1085" s="345" t="s">
        <v>271</v>
      </c>
      <c r="AG1085" s="345">
        <v>2022</v>
      </c>
      <c r="AH1085" s="346">
        <v>2022</v>
      </c>
      <c r="AT1085" s="20" t="e">
        <f t="shared" si="264"/>
        <v>#N/A</v>
      </c>
      <c r="BZ1085" s="71"/>
    </row>
    <row r="1086" spans="1:78" ht="61.5" x14ac:dyDescent="0.85">
      <c r="A1086" s="20">
        <v>1</v>
      </c>
      <c r="B1086" s="66">
        <f>SUBTOTAL(103,$A$994:A1086)</f>
        <v>91</v>
      </c>
      <c r="C1086" s="24" t="s">
        <v>439</v>
      </c>
      <c r="D1086" s="31">
        <f t="shared" si="265"/>
        <v>3242314.75</v>
      </c>
      <c r="E1086" s="31">
        <v>0</v>
      </c>
      <c r="F1086" s="31">
        <v>0</v>
      </c>
      <c r="G1086" s="31">
        <v>0</v>
      </c>
      <c r="H1086" s="31">
        <v>0</v>
      </c>
      <c r="I1086" s="31">
        <v>0</v>
      </c>
      <c r="J1086" s="31">
        <v>0</v>
      </c>
      <c r="K1086" s="33">
        <v>0</v>
      </c>
      <c r="L1086" s="31">
        <v>0</v>
      </c>
      <c r="M1086" s="31">
        <v>747</v>
      </c>
      <c r="N1086" s="31">
        <v>3194398.77</v>
      </c>
      <c r="O1086" s="31">
        <v>0</v>
      </c>
      <c r="P1086" s="31">
        <v>0</v>
      </c>
      <c r="Q1086" s="31">
        <v>0</v>
      </c>
      <c r="R1086" s="31">
        <v>0</v>
      </c>
      <c r="S1086" s="31">
        <v>0</v>
      </c>
      <c r="T1086" s="31">
        <v>0</v>
      </c>
      <c r="U1086" s="31">
        <v>0</v>
      </c>
      <c r="V1086" s="31">
        <v>0</v>
      </c>
      <c r="W1086" s="31">
        <v>0</v>
      </c>
      <c r="X1086" s="31">
        <v>0</v>
      </c>
      <c r="Y1086" s="31">
        <v>0</v>
      </c>
      <c r="Z1086" s="31">
        <v>0</v>
      </c>
      <c r="AA1086" s="31">
        <v>0</v>
      </c>
      <c r="AB1086" s="31">
        <v>0</v>
      </c>
      <c r="AC1086" s="31">
        <f t="shared" si="266"/>
        <v>47915.98</v>
      </c>
      <c r="AD1086" s="31">
        <v>0</v>
      </c>
      <c r="AE1086" s="31">
        <v>0</v>
      </c>
      <c r="AF1086" s="345" t="s">
        <v>271</v>
      </c>
      <c r="AG1086" s="345">
        <v>2022</v>
      </c>
      <c r="AH1086" s="346">
        <v>2022</v>
      </c>
      <c r="AT1086" s="20" t="e">
        <f t="shared" si="264"/>
        <v>#N/A</v>
      </c>
      <c r="BZ1086" s="71"/>
    </row>
    <row r="1087" spans="1:78" ht="61.5" x14ac:dyDescent="0.85">
      <c r="A1087" s="20">
        <v>1</v>
      </c>
      <c r="B1087" s="66">
        <f>SUBTOTAL(103,$A$994:A1087)</f>
        <v>92</v>
      </c>
      <c r="C1087" s="24" t="s">
        <v>440</v>
      </c>
      <c r="D1087" s="31">
        <f t="shared" si="265"/>
        <v>2210461.9000000004</v>
      </c>
      <c r="E1087" s="31">
        <v>0</v>
      </c>
      <c r="F1087" s="31">
        <v>0</v>
      </c>
      <c r="G1087" s="31">
        <v>0</v>
      </c>
      <c r="H1087" s="31">
        <v>0</v>
      </c>
      <c r="I1087" s="31">
        <v>0</v>
      </c>
      <c r="J1087" s="31">
        <v>0</v>
      </c>
      <c r="K1087" s="33">
        <v>0</v>
      </c>
      <c r="L1087" s="31">
        <v>0</v>
      </c>
      <c r="M1087" s="31">
        <v>483</v>
      </c>
      <c r="N1087" s="31">
        <v>2177794.9800000004</v>
      </c>
      <c r="O1087" s="31">
        <v>0</v>
      </c>
      <c r="P1087" s="31">
        <v>0</v>
      </c>
      <c r="Q1087" s="31">
        <v>0</v>
      </c>
      <c r="R1087" s="31">
        <v>0</v>
      </c>
      <c r="S1087" s="31">
        <v>0</v>
      </c>
      <c r="T1087" s="31">
        <v>0</v>
      </c>
      <c r="U1087" s="31">
        <v>0</v>
      </c>
      <c r="V1087" s="31">
        <v>0</v>
      </c>
      <c r="W1087" s="31">
        <v>0</v>
      </c>
      <c r="X1087" s="31">
        <v>0</v>
      </c>
      <c r="Y1087" s="31">
        <v>0</v>
      </c>
      <c r="Z1087" s="31">
        <v>0</v>
      </c>
      <c r="AA1087" s="31">
        <v>0</v>
      </c>
      <c r="AB1087" s="31">
        <v>0</v>
      </c>
      <c r="AC1087" s="31">
        <f t="shared" si="266"/>
        <v>32666.92</v>
      </c>
      <c r="AD1087" s="31">
        <v>0</v>
      </c>
      <c r="AE1087" s="31">
        <v>0</v>
      </c>
      <c r="AF1087" s="345" t="s">
        <v>271</v>
      </c>
      <c r="AG1087" s="345">
        <v>2022</v>
      </c>
      <c r="AH1087" s="346">
        <v>2022</v>
      </c>
      <c r="AT1087" s="20" t="e">
        <f t="shared" si="264"/>
        <v>#N/A</v>
      </c>
      <c r="BZ1087" s="71"/>
    </row>
    <row r="1088" spans="1:78" ht="61.5" x14ac:dyDescent="0.85">
      <c r="A1088" s="20">
        <v>1</v>
      </c>
      <c r="B1088" s="66">
        <f>SUBTOTAL(103,$A$994:A1088)</f>
        <v>93</v>
      </c>
      <c r="C1088" s="24" t="s">
        <v>441</v>
      </c>
      <c r="D1088" s="31">
        <f t="shared" si="265"/>
        <v>7557284.3099999996</v>
      </c>
      <c r="E1088" s="31">
        <v>0</v>
      </c>
      <c r="F1088" s="31">
        <v>0</v>
      </c>
      <c r="G1088" s="31">
        <v>0</v>
      </c>
      <c r="H1088" s="31">
        <v>0</v>
      </c>
      <c r="I1088" s="31">
        <v>0</v>
      </c>
      <c r="J1088" s="31">
        <v>0</v>
      </c>
      <c r="K1088" s="33">
        <v>0</v>
      </c>
      <c r="L1088" s="31">
        <v>0</v>
      </c>
      <c r="M1088" s="31">
        <v>1501</v>
      </c>
      <c r="N1088" s="31">
        <v>7445600.3099999996</v>
      </c>
      <c r="O1088" s="31">
        <v>0</v>
      </c>
      <c r="P1088" s="31">
        <v>0</v>
      </c>
      <c r="Q1088" s="31">
        <v>0</v>
      </c>
      <c r="R1088" s="31">
        <v>0</v>
      </c>
      <c r="S1088" s="31">
        <v>0</v>
      </c>
      <c r="T1088" s="31">
        <v>0</v>
      </c>
      <c r="U1088" s="31">
        <v>0</v>
      </c>
      <c r="V1088" s="31">
        <v>0</v>
      </c>
      <c r="W1088" s="31">
        <v>0</v>
      </c>
      <c r="X1088" s="31">
        <v>0</v>
      </c>
      <c r="Y1088" s="31">
        <v>0</v>
      </c>
      <c r="Z1088" s="31">
        <v>0</v>
      </c>
      <c r="AA1088" s="31">
        <v>0</v>
      </c>
      <c r="AB1088" s="31">
        <v>0</v>
      </c>
      <c r="AC1088" s="31">
        <f t="shared" si="266"/>
        <v>111684</v>
      </c>
      <c r="AD1088" s="31">
        <v>0</v>
      </c>
      <c r="AE1088" s="31">
        <v>0</v>
      </c>
      <c r="AF1088" s="345" t="s">
        <v>271</v>
      </c>
      <c r="AG1088" s="345">
        <v>2022</v>
      </c>
      <c r="AH1088" s="346">
        <v>2022</v>
      </c>
      <c r="AT1088" s="20" t="e">
        <f t="shared" si="264"/>
        <v>#N/A</v>
      </c>
      <c r="BZ1088" s="71"/>
    </row>
    <row r="1089" spans="1:78" ht="61.5" x14ac:dyDescent="0.85">
      <c r="A1089" s="20">
        <v>1</v>
      </c>
      <c r="B1089" s="66">
        <f>SUBTOTAL(103,$A$994:A1089)</f>
        <v>94</v>
      </c>
      <c r="C1089" s="24" t="s">
        <v>442</v>
      </c>
      <c r="D1089" s="31">
        <f t="shared" si="265"/>
        <v>3073377.74</v>
      </c>
      <c r="E1089" s="31">
        <v>0</v>
      </c>
      <c r="F1089" s="31">
        <v>0</v>
      </c>
      <c r="G1089" s="31">
        <v>0</v>
      </c>
      <c r="H1089" s="31">
        <v>0</v>
      </c>
      <c r="I1089" s="31">
        <v>0</v>
      </c>
      <c r="J1089" s="31">
        <v>0</v>
      </c>
      <c r="K1089" s="33">
        <v>0</v>
      </c>
      <c r="L1089" s="31">
        <v>0</v>
      </c>
      <c r="M1089" s="31">
        <v>600</v>
      </c>
      <c r="N1089" s="31">
        <v>3027958.3600000003</v>
      </c>
      <c r="O1089" s="31">
        <v>0</v>
      </c>
      <c r="P1089" s="31">
        <v>0</v>
      </c>
      <c r="Q1089" s="31">
        <v>0</v>
      </c>
      <c r="R1089" s="31">
        <v>0</v>
      </c>
      <c r="S1089" s="31">
        <v>0</v>
      </c>
      <c r="T1089" s="31">
        <v>0</v>
      </c>
      <c r="U1089" s="31">
        <v>0</v>
      </c>
      <c r="V1089" s="31">
        <v>0</v>
      </c>
      <c r="W1089" s="31">
        <v>0</v>
      </c>
      <c r="X1089" s="31">
        <v>0</v>
      </c>
      <c r="Y1089" s="31">
        <v>0</v>
      </c>
      <c r="Z1089" s="31">
        <v>0</v>
      </c>
      <c r="AA1089" s="31">
        <v>0</v>
      </c>
      <c r="AB1089" s="31">
        <v>0</v>
      </c>
      <c r="AC1089" s="31">
        <f t="shared" si="266"/>
        <v>45419.38</v>
      </c>
      <c r="AD1089" s="31">
        <v>0</v>
      </c>
      <c r="AE1089" s="31">
        <v>0</v>
      </c>
      <c r="AF1089" s="345" t="s">
        <v>271</v>
      </c>
      <c r="AG1089" s="345">
        <v>2022</v>
      </c>
      <c r="AH1089" s="346">
        <v>2022</v>
      </c>
      <c r="AT1089" s="20" t="e">
        <f t="shared" si="264"/>
        <v>#N/A</v>
      </c>
      <c r="BZ1089" s="71"/>
    </row>
    <row r="1090" spans="1:78" ht="61.5" x14ac:dyDescent="0.85">
      <c r="A1090" s="20">
        <v>1</v>
      </c>
      <c r="B1090" s="66">
        <f>SUBTOTAL(103,$A$994:A1090)</f>
        <v>95</v>
      </c>
      <c r="C1090" s="24" t="s">
        <v>443</v>
      </c>
      <c r="D1090" s="31">
        <f t="shared" si="265"/>
        <v>1665415</v>
      </c>
      <c r="E1090" s="31">
        <v>0</v>
      </c>
      <c r="F1090" s="31">
        <v>0</v>
      </c>
      <c r="G1090" s="31">
        <v>0</v>
      </c>
      <c r="H1090" s="31">
        <v>0</v>
      </c>
      <c r="I1090" s="31">
        <v>0</v>
      </c>
      <c r="J1090" s="31">
        <v>0</v>
      </c>
      <c r="K1090" s="33">
        <v>0</v>
      </c>
      <c r="L1090" s="31">
        <v>0</v>
      </c>
      <c r="M1090" s="31">
        <v>369</v>
      </c>
      <c r="N1090" s="31">
        <v>1640802.96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1">
        <v>0</v>
      </c>
      <c r="Y1090" s="31">
        <v>0</v>
      </c>
      <c r="Z1090" s="31">
        <v>0</v>
      </c>
      <c r="AA1090" s="31">
        <v>0</v>
      </c>
      <c r="AB1090" s="31">
        <v>0</v>
      </c>
      <c r="AC1090" s="31">
        <f t="shared" si="266"/>
        <v>24612.04</v>
      </c>
      <c r="AD1090" s="31">
        <v>0</v>
      </c>
      <c r="AE1090" s="31">
        <v>0</v>
      </c>
      <c r="AF1090" s="345" t="s">
        <v>271</v>
      </c>
      <c r="AG1090" s="345">
        <v>2022</v>
      </c>
      <c r="AH1090" s="346">
        <v>2022</v>
      </c>
      <c r="AT1090" s="20" t="e">
        <f t="shared" si="264"/>
        <v>#N/A</v>
      </c>
      <c r="BZ1090" s="71"/>
    </row>
    <row r="1091" spans="1:78" ht="61.5" x14ac:dyDescent="0.85">
      <c r="A1091" s="20">
        <v>1</v>
      </c>
      <c r="B1091" s="66">
        <f>SUBTOTAL(103,$A$994:A1091)</f>
        <v>96</v>
      </c>
      <c r="C1091" s="24" t="s">
        <v>211</v>
      </c>
      <c r="D1091" s="31">
        <f t="shared" si="265"/>
        <v>2384110.7700000005</v>
      </c>
      <c r="E1091" s="31">
        <v>0</v>
      </c>
      <c r="F1091" s="31">
        <v>0</v>
      </c>
      <c r="G1091" s="31">
        <v>0</v>
      </c>
      <c r="H1091" s="31">
        <v>0</v>
      </c>
      <c r="I1091" s="31">
        <v>0</v>
      </c>
      <c r="J1091" s="31">
        <v>0</v>
      </c>
      <c r="K1091" s="33">
        <v>0</v>
      </c>
      <c r="L1091" s="31">
        <v>0</v>
      </c>
      <c r="M1091" s="31">
        <v>525</v>
      </c>
      <c r="N1091" s="31">
        <v>2348877.6100000003</v>
      </c>
      <c r="O1091" s="31">
        <v>0</v>
      </c>
      <c r="P1091" s="31">
        <v>0</v>
      </c>
      <c r="Q1091" s="31">
        <v>0</v>
      </c>
      <c r="R1091" s="31">
        <v>0</v>
      </c>
      <c r="S1091" s="31">
        <v>0</v>
      </c>
      <c r="T1091" s="31">
        <v>0</v>
      </c>
      <c r="U1091" s="31">
        <v>0</v>
      </c>
      <c r="V1091" s="31">
        <v>0</v>
      </c>
      <c r="W1091" s="31">
        <v>0</v>
      </c>
      <c r="X1091" s="31">
        <v>0</v>
      </c>
      <c r="Y1091" s="31">
        <v>0</v>
      </c>
      <c r="Z1091" s="31">
        <v>0</v>
      </c>
      <c r="AA1091" s="31">
        <v>0</v>
      </c>
      <c r="AB1091" s="31">
        <v>0</v>
      </c>
      <c r="AC1091" s="31">
        <f t="shared" si="266"/>
        <v>35233.160000000003</v>
      </c>
      <c r="AD1091" s="31">
        <v>0</v>
      </c>
      <c r="AE1091" s="31">
        <v>0</v>
      </c>
      <c r="AF1091" s="345" t="s">
        <v>271</v>
      </c>
      <c r="AG1091" s="345">
        <v>2022</v>
      </c>
      <c r="AH1091" s="346">
        <v>2022</v>
      </c>
      <c r="AT1091" s="20" t="e">
        <f t="shared" si="264"/>
        <v>#N/A</v>
      </c>
      <c r="BZ1091" s="71"/>
    </row>
    <row r="1092" spans="1:78" ht="61.5" x14ac:dyDescent="0.85">
      <c r="A1092" s="20">
        <v>1</v>
      </c>
      <c r="B1092" s="66">
        <f>SUBTOTAL(103,$A$994:A1092)</f>
        <v>97</v>
      </c>
      <c r="C1092" s="24" t="s">
        <v>210</v>
      </c>
      <c r="D1092" s="31">
        <f t="shared" si="265"/>
        <v>2817533.3499999996</v>
      </c>
      <c r="E1092" s="31">
        <v>0</v>
      </c>
      <c r="F1092" s="31">
        <v>0</v>
      </c>
      <c r="G1092" s="31">
        <v>0</v>
      </c>
      <c r="H1092" s="31">
        <v>0</v>
      </c>
      <c r="I1092" s="31">
        <v>0</v>
      </c>
      <c r="J1092" s="31">
        <v>0</v>
      </c>
      <c r="K1092" s="33">
        <v>0</v>
      </c>
      <c r="L1092" s="31">
        <v>0</v>
      </c>
      <c r="M1092" s="31">
        <v>614</v>
      </c>
      <c r="N1092" s="31">
        <v>2775894.9299999997</v>
      </c>
      <c r="O1092" s="31">
        <v>0</v>
      </c>
      <c r="P1092" s="31">
        <v>0</v>
      </c>
      <c r="Q1092" s="31">
        <v>0</v>
      </c>
      <c r="R1092" s="31">
        <v>0</v>
      </c>
      <c r="S1092" s="31">
        <v>0</v>
      </c>
      <c r="T1092" s="31">
        <v>0</v>
      </c>
      <c r="U1092" s="31">
        <v>0</v>
      </c>
      <c r="V1092" s="31">
        <v>0</v>
      </c>
      <c r="W1092" s="31">
        <v>0</v>
      </c>
      <c r="X1092" s="31">
        <v>0</v>
      </c>
      <c r="Y1092" s="31">
        <v>0</v>
      </c>
      <c r="Z1092" s="31">
        <v>0</v>
      </c>
      <c r="AA1092" s="31">
        <v>0</v>
      </c>
      <c r="AB1092" s="31">
        <v>0</v>
      </c>
      <c r="AC1092" s="31">
        <f t="shared" si="266"/>
        <v>41638.42</v>
      </c>
      <c r="AD1092" s="31">
        <v>0</v>
      </c>
      <c r="AE1092" s="31">
        <v>0</v>
      </c>
      <c r="AF1092" s="345" t="s">
        <v>271</v>
      </c>
      <c r="AG1092" s="345">
        <v>2022</v>
      </c>
      <c r="AH1092" s="346">
        <v>2022</v>
      </c>
      <c r="AT1092" s="20" t="e">
        <f t="shared" si="264"/>
        <v>#N/A</v>
      </c>
      <c r="BZ1092" s="71"/>
    </row>
    <row r="1093" spans="1:78" ht="61.5" x14ac:dyDescent="0.85">
      <c r="A1093" s="20">
        <v>1</v>
      </c>
      <c r="B1093" s="66">
        <f>SUBTOTAL(103,$A$994:A1093)</f>
        <v>98</v>
      </c>
      <c r="C1093" s="24" t="s">
        <v>445</v>
      </c>
      <c r="D1093" s="31">
        <f t="shared" si="265"/>
        <v>1660239.97</v>
      </c>
      <c r="E1093" s="31">
        <v>0</v>
      </c>
      <c r="F1093" s="31">
        <v>0</v>
      </c>
      <c r="G1093" s="31">
        <v>0</v>
      </c>
      <c r="H1093" s="31">
        <v>0</v>
      </c>
      <c r="I1093" s="31">
        <v>0</v>
      </c>
      <c r="J1093" s="31">
        <v>0</v>
      </c>
      <c r="K1093" s="33">
        <v>0</v>
      </c>
      <c r="L1093" s="31">
        <v>0</v>
      </c>
      <c r="M1093" s="31">
        <v>370</v>
      </c>
      <c r="N1093" s="31">
        <v>1635704.4</v>
      </c>
      <c r="O1093" s="31">
        <v>0</v>
      </c>
      <c r="P1093" s="31">
        <v>0</v>
      </c>
      <c r="Q1093" s="31">
        <v>0</v>
      </c>
      <c r="R1093" s="31">
        <v>0</v>
      </c>
      <c r="S1093" s="31">
        <v>0</v>
      </c>
      <c r="T1093" s="31">
        <v>0</v>
      </c>
      <c r="U1093" s="31">
        <v>0</v>
      </c>
      <c r="V1093" s="31">
        <v>0</v>
      </c>
      <c r="W1093" s="31">
        <v>0</v>
      </c>
      <c r="X1093" s="31">
        <v>0</v>
      </c>
      <c r="Y1093" s="31">
        <v>0</v>
      </c>
      <c r="Z1093" s="31">
        <v>0</v>
      </c>
      <c r="AA1093" s="31">
        <v>0</v>
      </c>
      <c r="AB1093" s="31">
        <v>0</v>
      </c>
      <c r="AC1093" s="31">
        <f>ROUND(N1093*1.5%,2)</f>
        <v>24535.57</v>
      </c>
      <c r="AD1093" s="31">
        <v>0</v>
      </c>
      <c r="AE1093" s="31">
        <v>0</v>
      </c>
      <c r="AF1093" s="345" t="s">
        <v>271</v>
      </c>
      <c r="AG1093" s="345">
        <v>2022</v>
      </c>
      <c r="AH1093" s="346">
        <v>2022</v>
      </c>
      <c r="AT1093" s="20" t="e">
        <f t="shared" si="264"/>
        <v>#N/A</v>
      </c>
      <c r="BZ1093" s="71"/>
    </row>
    <row r="1094" spans="1:78" ht="61.5" x14ac:dyDescent="0.85">
      <c r="A1094" s="20">
        <v>1</v>
      </c>
      <c r="B1094" s="66">
        <f>SUBTOTAL(103,$A$994:A1094)</f>
        <v>99</v>
      </c>
      <c r="C1094" s="24" t="s">
        <v>446</v>
      </c>
      <c r="D1094" s="31">
        <f t="shared" si="265"/>
        <v>2407235.63</v>
      </c>
      <c r="E1094" s="31">
        <v>0</v>
      </c>
      <c r="F1094" s="31">
        <v>0</v>
      </c>
      <c r="G1094" s="31">
        <v>0</v>
      </c>
      <c r="H1094" s="31">
        <v>0</v>
      </c>
      <c r="I1094" s="31">
        <v>0</v>
      </c>
      <c r="J1094" s="31">
        <v>0</v>
      </c>
      <c r="K1094" s="33">
        <v>0</v>
      </c>
      <c r="L1094" s="31">
        <v>0</v>
      </c>
      <c r="M1094" s="31">
        <v>530</v>
      </c>
      <c r="N1094" s="31">
        <v>2371660.7199999997</v>
      </c>
      <c r="O1094" s="31">
        <v>0</v>
      </c>
      <c r="P1094" s="31">
        <v>0</v>
      </c>
      <c r="Q1094" s="31">
        <v>0</v>
      </c>
      <c r="R1094" s="31">
        <v>0</v>
      </c>
      <c r="S1094" s="31">
        <v>0</v>
      </c>
      <c r="T1094" s="31">
        <v>0</v>
      </c>
      <c r="U1094" s="31">
        <v>0</v>
      </c>
      <c r="V1094" s="31">
        <v>0</v>
      </c>
      <c r="W1094" s="31">
        <v>0</v>
      </c>
      <c r="X1094" s="31">
        <v>0</v>
      </c>
      <c r="Y1094" s="31">
        <v>0</v>
      </c>
      <c r="Z1094" s="31">
        <v>0</v>
      </c>
      <c r="AA1094" s="31">
        <v>0</v>
      </c>
      <c r="AB1094" s="31">
        <v>0</v>
      </c>
      <c r="AC1094" s="31">
        <f>ROUND(N1094*1.5%,2)</f>
        <v>35574.910000000003</v>
      </c>
      <c r="AD1094" s="31">
        <v>0</v>
      </c>
      <c r="AE1094" s="31">
        <v>0</v>
      </c>
      <c r="AF1094" s="345" t="s">
        <v>271</v>
      </c>
      <c r="AG1094" s="345">
        <v>2022</v>
      </c>
      <c r="AH1094" s="346">
        <v>2022</v>
      </c>
      <c r="AT1094" s="20" t="e">
        <f t="shared" si="264"/>
        <v>#N/A</v>
      </c>
      <c r="BZ1094" s="71"/>
    </row>
    <row r="1095" spans="1:78" ht="61.5" x14ac:dyDescent="0.85">
      <c r="A1095" s="20">
        <v>1</v>
      </c>
      <c r="B1095" s="66">
        <f>SUBTOTAL(103,$A$994:A1095)</f>
        <v>100</v>
      </c>
      <c r="C1095" s="24" t="s">
        <v>447</v>
      </c>
      <c r="D1095" s="31">
        <f t="shared" si="265"/>
        <v>1790689.27</v>
      </c>
      <c r="E1095" s="31">
        <v>0</v>
      </c>
      <c r="F1095" s="31">
        <v>0</v>
      </c>
      <c r="G1095" s="31">
        <v>0</v>
      </c>
      <c r="H1095" s="31">
        <v>0</v>
      </c>
      <c r="I1095" s="31">
        <v>0</v>
      </c>
      <c r="J1095" s="31">
        <v>0</v>
      </c>
      <c r="K1095" s="33">
        <v>0</v>
      </c>
      <c r="L1095" s="31">
        <v>0</v>
      </c>
      <c r="M1095" s="31">
        <v>396</v>
      </c>
      <c r="N1095" s="31">
        <v>1764225.8800000001</v>
      </c>
      <c r="O1095" s="31">
        <v>0</v>
      </c>
      <c r="P1095" s="31">
        <v>0</v>
      </c>
      <c r="Q1095" s="31">
        <v>0</v>
      </c>
      <c r="R1095" s="31">
        <v>0</v>
      </c>
      <c r="S1095" s="31">
        <v>0</v>
      </c>
      <c r="T1095" s="31">
        <v>0</v>
      </c>
      <c r="U1095" s="31">
        <v>0</v>
      </c>
      <c r="V1095" s="31">
        <v>0</v>
      </c>
      <c r="W1095" s="31">
        <v>0</v>
      </c>
      <c r="X1095" s="31">
        <v>0</v>
      </c>
      <c r="Y1095" s="31">
        <v>0</v>
      </c>
      <c r="Z1095" s="31">
        <v>0</v>
      </c>
      <c r="AA1095" s="31">
        <v>0</v>
      </c>
      <c r="AB1095" s="31">
        <v>0</v>
      </c>
      <c r="AC1095" s="31">
        <f>ROUND(N1095*1.5%,2)</f>
        <v>26463.39</v>
      </c>
      <c r="AD1095" s="31">
        <v>0</v>
      </c>
      <c r="AE1095" s="31">
        <v>0</v>
      </c>
      <c r="AF1095" s="345" t="s">
        <v>271</v>
      </c>
      <c r="AG1095" s="345">
        <v>2022</v>
      </c>
      <c r="AH1095" s="346">
        <v>2022</v>
      </c>
      <c r="AT1095" s="20" t="e">
        <f t="shared" si="264"/>
        <v>#N/A</v>
      </c>
      <c r="BZ1095" s="71"/>
    </row>
    <row r="1096" spans="1:78" ht="61.5" x14ac:dyDescent="0.85">
      <c r="A1096" s="20">
        <v>1</v>
      </c>
      <c r="B1096" s="66">
        <f>SUBTOTAL(103,$A$994:A1096)</f>
        <v>101</v>
      </c>
      <c r="C1096" s="24" t="s">
        <v>827</v>
      </c>
      <c r="D1096" s="31">
        <f t="shared" si="265"/>
        <v>6300000</v>
      </c>
      <c r="E1096" s="31">
        <v>0</v>
      </c>
      <c r="F1096" s="31">
        <v>0</v>
      </c>
      <c r="G1096" s="31">
        <v>0</v>
      </c>
      <c r="H1096" s="31">
        <v>0</v>
      </c>
      <c r="I1096" s="31">
        <v>0</v>
      </c>
      <c r="J1096" s="31">
        <v>0</v>
      </c>
      <c r="K1096" s="33">
        <v>3</v>
      </c>
      <c r="L1096" s="31">
        <v>6300000</v>
      </c>
      <c r="M1096" s="31">
        <v>0</v>
      </c>
      <c r="N1096" s="31">
        <v>0</v>
      </c>
      <c r="O1096" s="31">
        <v>0</v>
      </c>
      <c r="P1096" s="31">
        <v>0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  <c r="V1096" s="31">
        <v>0</v>
      </c>
      <c r="W1096" s="31">
        <v>0</v>
      </c>
      <c r="X1096" s="31">
        <v>0</v>
      </c>
      <c r="Y1096" s="31">
        <v>0</v>
      </c>
      <c r="Z1096" s="31">
        <v>0</v>
      </c>
      <c r="AA1096" s="31">
        <v>0</v>
      </c>
      <c r="AB1096" s="31">
        <v>0</v>
      </c>
      <c r="AC1096" s="31">
        <v>0</v>
      </c>
      <c r="AD1096" s="31">
        <v>0</v>
      </c>
      <c r="AE1096" s="31">
        <v>0</v>
      </c>
      <c r="AF1096" s="345" t="s">
        <v>271</v>
      </c>
      <c r="AG1096" s="345">
        <v>2022</v>
      </c>
      <c r="AH1096" s="346" t="s">
        <v>271</v>
      </c>
      <c r="AT1096" s="20" t="e">
        <f t="shared" si="264"/>
        <v>#N/A</v>
      </c>
      <c r="BZ1096" s="71"/>
    </row>
    <row r="1097" spans="1:78" ht="61.5" x14ac:dyDescent="0.85">
      <c r="B1097" s="24" t="s">
        <v>794</v>
      </c>
      <c r="C1097" s="24"/>
      <c r="D1097" s="31">
        <f>SUM(D1098:D1108)</f>
        <v>45011140.729999997</v>
      </c>
      <c r="E1097" s="31">
        <f t="shared" ref="E1097:AE1097" si="267">SUM(E1098:E1108)</f>
        <v>0</v>
      </c>
      <c r="F1097" s="31">
        <f t="shared" si="267"/>
        <v>0</v>
      </c>
      <c r="G1097" s="31">
        <f t="shared" si="267"/>
        <v>0</v>
      </c>
      <c r="H1097" s="31">
        <f t="shared" si="267"/>
        <v>0</v>
      </c>
      <c r="I1097" s="31">
        <f t="shared" si="267"/>
        <v>0</v>
      </c>
      <c r="J1097" s="31">
        <f t="shared" si="267"/>
        <v>0</v>
      </c>
      <c r="K1097" s="33">
        <f t="shared" si="267"/>
        <v>4</v>
      </c>
      <c r="L1097" s="31">
        <f t="shared" si="267"/>
        <v>8452796.0600000005</v>
      </c>
      <c r="M1097" s="31">
        <f t="shared" si="267"/>
        <v>7218.5</v>
      </c>
      <c r="N1097" s="31">
        <f t="shared" si="267"/>
        <v>34134436.520000003</v>
      </c>
      <c r="O1097" s="31">
        <f t="shared" si="267"/>
        <v>0</v>
      </c>
      <c r="P1097" s="31">
        <f t="shared" si="267"/>
        <v>0</v>
      </c>
      <c r="Q1097" s="31">
        <f t="shared" si="267"/>
        <v>360</v>
      </c>
      <c r="R1097" s="31">
        <f t="shared" si="267"/>
        <v>1883637.04</v>
      </c>
      <c r="S1097" s="31">
        <f t="shared" si="267"/>
        <v>0</v>
      </c>
      <c r="T1097" s="31">
        <f t="shared" si="267"/>
        <v>0</v>
      </c>
      <c r="U1097" s="31">
        <f t="shared" si="267"/>
        <v>0</v>
      </c>
      <c r="V1097" s="31">
        <f t="shared" si="267"/>
        <v>0</v>
      </c>
      <c r="W1097" s="31">
        <f t="shared" si="267"/>
        <v>0</v>
      </c>
      <c r="X1097" s="31">
        <f t="shared" si="267"/>
        <v>0</v>
      </c>
      <c r="Y1097" s="31">
        <f t="shared" si="267"/>
        <v>0</v>
      </c>
      <c r="Z1097" s="31">
        <f t="shared" si="267"/>
        <v>0</v>
      </c>
      <c r="AA1097" s="31">
        <f t="shared" si="267"/>
        <v>0</v>
      </c>
      <c r="AB1097" s="31">
        <f t="shared" si="267"/>
        <v>0</v>
      </c>
      <c r="AC1097" s="31">
        <f t="shared" si="267"/>
        <v>540271.11</v>
      </c>
      <c r="AD1097" s="31">
        <f t="shared" si="267"/>
        <v>0</v>
      </c>
      <c r="AE1097" s="31">
        <f t="shared" si="267"/>
        <v>0</v>
      </c>
      <c r="AF1097" s="345" t="s">
        <v>764</v>
      </c>
      <c r="AG1097" s="345" t="s">
        <v>764</v>
      </c>
      <c r="AH1097" s="346" t="s">
        <v>764</v>
      </c>
      <c r="AT1097" s="20" t="e">
        <f t="shared" si="264"/>
        <v>#N/A</v>
      </c>
      <c r="BZ1097" s="71">
        <v>46315599.309999995</v>
      </c>
    </row>
    <row r="1098" spans="1:78" ht="61.5" x14ac:dyDescent="0.85">
      <c r="A1098" s="20">
        <v>1</v>
      </c>
      <c r="B1098" s="66">
        <f>SUBTOTAL(103,$A$994:A1098)</f>
        <v>102</v>
      </c>
      <c r="C1098" s="24" t="s">
        <v>795</v>
      </c>
      <c r="D1098" s="31">
        <f t="shared" ref="D1098:D1108" si="268">E1098+F1098+G1098+H1098+I1098+J1098+L1098+N1098+P1098+R1098+T1098+U1098+V1098+W1098+X1098+Y1098+Z1098+AA1098+AB1098+AC1098+AD1098+AE1098</f>
        <v>2532230.7999999998</v>
      </c>
      <c r="E1098" s="31">
        <v>0</v>
      </c>
      <c r="F1098" s="31">
        <v>0</v>
      </c>
      <c r="G1098" s="31">
        <v>0</v>
      </c>
      <c r="H1098" s="31">
        <v>0</v>
      </c>
      <c r="I1098" s="31">
        <v>0</v>
      </c>
      <c r="J1098" s="31">
        <v>0</v>
      </c>
      <c r="K1098" s="33">
        <v>0</v>
      </c>
      <c r="L1098" s="31">
        <v>0</v>
      </c>
      <c r="M1098" s="31">
        <v>506</v>
      </c>
      <c r="N1098" s="31">
        <v>2494808.67</v>
      </c>
      <c r="O1098" s="31">
        <v>0</v>
      </c>
      <c r="P1098" s="31">
        <v>0</v>
      </c>
      <c r="Q1098" s="31">
        <v>0</v>
      </c>
      <c r="R1098" s="31">
        <v>0</v>
      </c>
      <c r="S1098" s="31">
        <v>0</v>
      </c>
      <c r="T1098" s="31">
        <v>0</v>
      </c>
      <c r="U1098" s="31">
        <v>0</v>
      </c>
      <c r="V1098" s="31">
        <v>0</v>
      </c>
      <c r="W1098" s="31">
        <v>0</v>
      </c>
      <c r="X1098" s="31">
        <v>0</v>
      </c>
      <c r="Y1098" s="31">
        <v>0</v>
      </c>
      <c r="Z1098" s="31">
        <v>0</v>
      </c>
      <c r="AA1098" s="31">
        <v>0</v>
      </c>
      <c r="AB1098" s="31">
        <v>0</v>
      </c>
      <c r="AC1098" s="31">
        <f>ROUND(N1098*1.5%,2)</f>
        <v>37422.129999999997</v>
      </c>
      <c r="AD1098" s="31">
        <v>0</v>
      </c>
      <c r="AE1098" s="31">
        <v>0</v>
      </c>
      <c r="AF1098" s="345" t="s">
        <v>271</v>
      </c>
      <c r="AG1098" s="345">
        <v>2022</v>
      </c>
      <c r="AH1098" s="346">
        <v>2022</v>
      </c>
      <c r="AT1098" s="20" t="e">
        <f t="shared" si="264"/>
        <v>#N/A</v>
      </c>
      <c r="BZ1098" s="71"/>
    </row>
    <row r="1099" spans="1:78" ht="61.5" x14ac:dyDescent="0.85">
      <c r="A1099" s="20">
        <v>1</v>
      </c>
      <c r="B1099" s="66">
        <f>SUBTOTAL(103,$A$994:A1099)</f>
        <v>103</v>
      </c>
      <c r="C1099" s="24" t="s">
        <v>796</v>
      </c>
      <c r="D1099" s="31">
        <f t="shared" si="268"/>
        <v>2386020.4</v>
      </c>
      <c r="E1099" s="31">
        <v>0</v>
      </c>
      <c r="F1099" s="31">
        <v>0</v>
      </c>
      <c r="G1099" s="31">
        <v>0</v>
      </c>
      <c r="H1099" s="31">
        <v>0</v>
      </c>
      <c r="I1099" s="31">
        <v>0</v>
      </c>
      <c r="J1099" s="31">
        <v>0</v>
      </c>
      <c r="K1099" s="33">
        <v>0</v>
      </c>
      <c r="L1099" s="31">
        <v>0</v>
      </c>
      <c r="M1099" s="31">
        <v>478</v>
      </c>
      <c r="N1099" s="31">
        <v>2350759.0099999998</v>
      </c>
      <c r="O1099" s="31">
        <v>0</v>
      </c>
      <c r="P1099" s="31">
        <v>0</v>
      </c>
      <c r="Q1099" s="31">
        <v>0</v>
      </c>
      <c r="R1099" s="31">
        <v>0</v>
      </c>
      <c r="S1099" s="31">
        <v>0</v>
      </c>
      <c r="T1099" s="31">
        <v>0</v>
      </c>
      <c r="U1099" s="31">
        <v>0</v>
      </c>
      <c r="V1099" s="31">
        <v>0</v>
      </c>
      <c r="W1099" s="31">
        <v>0</v>
      </c>
      <c r="X1099" s="31">
        <v>0</v>
      </c>
      <c r="Y1099" s="31">
        <v>0</v>
      </c>
      <c r="Z1099" s="31">
        <v>0</v>
      </c>
      <c r="AA1099" s="31">
        <v>0</v>
      </c>
      <c r="AB1099" s="31">
        <v>0</v>
      </c>
      <c r="AC1099" s="31">
        <f>ROUND(N1099*1.5%,2)</f>
        <v>35261.39</v>
      </c>
      <c r="AD1099" s="31">
        <v>0</v>
      </c>
      <c r="AE1099" s="31">
        <v>0</v>
      </c>
      <c r="AF1099" s="345" t="s">
        <v>271</v>
      </c>
      <c r="AG1099" s="345">
        <v>2022</v>
      </c>
      <c r="AH1099" s="346">
        <v>2022</v>
      </c>
      <c r="AT1099" s="20" t="e">
        <f t="shared" si="264"/>
        <v>#N/A</v>
      </c>
      <c r="BZ1099" s="71"/>
    </row>
    <row r="1100" spans="1:78" ht="61.5" x14ac:dyDescent="0.85">
      <c r="A1100" s="20">
        <v>1</v>
      </c>
      <c r="B1100" s="66">
        <f>SUBTOTAL(103,$A$994:A1100)</f>
        <v>104</v>
      </c>
      <c r="C1100" s="24" t="s">
        <v>1092</v>
      </c>
      <c r="D1100" s="31">
        <f t="shared" si="268"/>
        <v>3009600</v>
      </c>
      <c r="E1100" s="31">
        <v>0</v>
      </c>
      <c r="F1100" s="31">
        <v>0</v>
      </c>
      <c r="G1100" s="31">
        <v>0</v>
      </c>
      <c r="H1100" s="31">
        <v>0</v>
      </c>
      <c r="I1100" s="31">
        <v>0</v>
      </c>
      <c r="J1100" s="31">
        <v>0</v>
      </c>
      <c r="K1100" s="33">
        <v>0</v>
      </c>
      <c r="L1100" s="31">
        <v>0</v>
      </c>
      <c r="M1100" s="31">
        <v>627</v>
      </c>
      <c r="N1100" s="31">
        <v>2965123.15</v>
      </c>
      <c r="O1100" s="31">
        <v>0</v>
      </c>
      <c r="P1100" s="31">
        <v>0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  <c r="V1100" s="31">
        <v>0</v>
      </c>
      <c r="W1100" s="31">
        <v>0</v>
      </c>
      <c r="X1100" s="31">
        <v>0</v>
      </c>
      <c r="Y1100" s="31">
        <v>0</v>
      </c>
      <c r="Z1100" s="31">
        <v>0</v>
      </c>
      <c r="AA1100" s="31">
        <v>0</v>
      </c>
      <c r="AB1100" s="31">
        <v>0</v>
      </c>
      <c r="AC1100" s="31">
        <f>ROUND(N1100*1.5%,2)</f>
        <v>44476.85</v>
      </c>
      <c r="AD1100" s="31">
        <v>0</v>
      </c>
      <c r="AE1100" s="31">
        <v>0</v>
      </c>
      <c r="AF1100" s="345" t="s">
        <v>271</v>
      </c>
      <c r="AG1100" s="345">
        <v>2022</v>
      </c>
      <c r="AH1100" s="346">
        <v>2022</v>
      </c>
      <c r="AT1100" s="20" t="e">
        <f t="shared" si="264"/>
        <v>#N/A</v>
      </c>
      <c r="BZ1100" s="71"/>
    </row>
    <row r="1101" spans="1:78" ht="61.5" x14ac:dyDescent="0.85">
      <c r="A1101" s="20">
        <v>1</v>
      </c>
      <c r="B1101" s="66">
        <f>SUBTOTAL(103,$A$994:A1101)</f>
        <v>105</v>
      </c>
      <c r="C1101" s="24" t="s">
        <v>798</v>
      </c>
      <c r="D1101" s="31">
        <f t="shared" si="268"/>
        <v>8452796.0600000005</v>
      </c>
      <c r="E1101" s="31">
        <v>0</v>
      </c>
      <c r="F1101" s="31">
        <v>0</v>
      </c>
      <c r="G1101" s="31">
        <v>0</v>
      </c>
      <c r="H1101" s="31">
        <v>0</v>
      </c>
      <c r="I1101" s="31">
        <v>0</v>
      </c>
      <c r="J1101" s="31">
        <v>0</v>
      </c>
      <c r="K1101" s="33">
        <v>4</v>
      </c>
      <c r="L1101" s="31">
        <v>8452796.0600000005</v>
      </c>
      <c r="M1101" s="31">
        <v>0</v>
      </c>
      <c r="N1101" s="31">
        <v>0</v>
      </c>
      <c r="O1101" s="31">
        <v>0</v>
      </c>
      <c r="P1101" s="31">
        <v>0</v>
      </c>
      <c r="Q1101" s="31">
        <v>0</v>
      </c>
      <c r="R1101" s="31">
        <v>0</v>
      </c>
      <c r="S1101" s="31">
        <v>0</v>
      </c>
      <c r="T1101" s="31">
        <v>0</v>
      </c>
      <c r="U1101" s="31">
        <v>0</v>
      </c>
      <c r="V1101" s="31">
        <v>0</v>
      </c>
      <c r="W1101" s="31">
        <v>0</v>
      </c>
      <c r="X1101" s="31">
        <v>0</v>
      </c>
      <c r="Y1101" s="31">
        <v>0</v>
      </c>
      <c r="Z1101" s="31">
        <v>0</v>
      </c>
      <c r="AA1101" s="31">
        <v>0</v>
      </c>
      <c r="AB1101" s="31">
        <v>0</v>
      </c>
      <c r="AC1101" s="31">
        <v>0</v>
      </c>
      <c r="AD1101" s="31">
        <v>0</v>
      </c>
      <c r="AE1101" s="31">
        <v>0</v>
      </c>
      <c r="AF1101" s="345" t="s">
        <v>271</v>
      </c>
      <c r="AG1101" s="345">
        <v>2022</v>
      </c>
      <c r="AH1101" s="346" t="s">
        <v>271</v>
      </c>
      <c r="AT1101" s="20" t="e">
        <f t="shared" si="264"/>
        <v>#N/A</v>
      </c>
      <c r="BZ1101" s="71"/>
    </row>
    <row r="1102" spans="1:78" ht="61.5" x14ac:dyDescent="0.85">
      <c r="A1102" s="20">
        <v>1</v>
      </c>
      <c r="B1102" s="66">
        <f>SUBTOTAL(103,$A$994:A1102)</f>
        <v>106</v>
      </c>
      <c r="C1102" s="24" t="s">
        <v>800</v>
      </c>
      <c r="D1102" s="31">
        <f t="shared" si="268"/>
        <v>6961648</v>
      </c>
      <c r="E1102" s="31">
        <v>0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3">
        <v>0</v>
      </c>
      <c r="L1102" s="31">
        <v>0</v>
      </c>
      <c r="M1102" s="31">
        <v>1360</v>
      </c>
      <c r="N1102" s="31">
        <v>6858766.5</v>
      </c>
      <c r="O1102" s="31">
        <v>0</v>
      </c>
      <c r="P1102" s="31">
        <v>0</v>
      </c>
      <c r="Q1102" s="31">
        <v>0</v>
      </c>
      <c r="R1102" s="31">
        <v>0</v>
      </c>
      <c r="S1102" s="31">
        <v>0</v>
      </c>
      <c r="T1102" s="31">
        <v>0</v>
      </c>
      <c r="U1102" s="31">
        <v>0</v>
      </c>
      <c r="V1102" s="31">
        <v>0</v>
      </c>
      <c r="W1102" s="31">
        <v>0</v>
      </c>
      <c r="X1102" s="31">
        <v>0</v>
      </c>
      <c r="Y1102" s="31">
        <v>0</v>
      </c>
      <c r="Z1102" s="31">
        <v>0</v>
      </c>
      <c r="AA1102" s="31">
        <v>0</v>
      </c>
      <c r="AB1102" s="31">
        <v>0</v>
      </c>
      <c r="AC1102" s="31">
        <f>ROUND(N1102*1.5%,2)</f>
        <v>102881.5</v>
      </c>
      <c r="AD1102" s="31">
        <v>0</v>
      </c>
      <c r="AE1102" s="31">
        <v>0</v>
      </c>
      <c r="AF1102" s="345" t="s">
        <v>271</v>
      </c>
      <c r="AG1102" s="345">
        <v>2022</v>
      </c>
      <c r="AH1102" s="346">
        <v>2022</v>
      </c>
      <c r="AT1102" s="20">
        <f t="shared" si="264"/>
        <v>1</v>
      </c>
      <c r="BZ1102" s="71"/>
    </row>
    <row r="1103" spans="1:78" ht="61.5" x14ac:dyDescent="0.85">
      <c r="A1103" s="20">
        <v>1</v>
      </c>
      <c r="B1103" s="66">
        <f>SUBTOTAL(103,$A$994:A1103)</f>
        <v>107</v>
      </c>
      <c r="C1103" s="24" t="s">
        <v>801</v>
      </c>
      <c r="D1103" s="31">
        <f t="shared" si="268"/>
        <v>3278948.1999999997</v>
      </c>
      <c r="E1103" s="31">
        <v>0</v>
      </c>
      <c r="F1103" s="31">
        <v>0</v>
      </c>
      <c r="G1103" s="31">
        <v>0</v>
      </c>
      <c r="H1103" s="31">
        <v>0</v>
      </c>
      <c r="I1103" s="31">
        <v>0</v>
      </c>
      <c r="J1103" s="31">
        <v>0</v>
      </c>
      <c r="K1103" s="33">
        <v>0</v>
      </c>
      <c r="L1103" s="31">
        <v>0</v>
      </c>
      <c r="M1103" s="31">
        <v>649</v>
      </c>
      <c r="N1103" s="31">
        <v>3230490.84</v>
      </c>
      <c r="O1103" s="31">
        <v>0</v>
      </c>
      <c r="P1103" s="31">
        <v>0</v>
      </c>
      <c r="Q1103" s="31">
        <v>0</v>
      </c>
      <c r="R1103" s="31">
        <v>0</v>
      </c>
      <c r="S1103" s="31">
        <v>0</v>
      </c>
      <c r="T1103" s="31">
        <v>0</v>
      </c>
      <c r="U1103" s="31">
        <v>0</v>
      </c>
      <c r="V1103" s="31">
        <v>0</v>
      </c>
      <c r="W1103" s="31">
        <v>0</v>
      </c>
      <c r="X1103" s="31">
        <v>0</v>
      </c>
      <c r="Y1103" s="31">
        <v>0</v>
      </c>
      <c r="Z1103" s="31">
        <v>0</v>
      </c>
      <c r="AA1103" s="31">
        <v>0</v>
      </c>
      <c r="AB1103" s="31">
        <v>0</v>
      </c>
      <c r="AC1103" s="31">
        <f>ROUND(N1103*1.5%,2)</f>
        <v>48457.36</v>
      </c>
      <c r="AD1103" s="31">
        <v>0</v>
      </c>
      <c r="AE1103" s="31">
        <v>0</v>
      </c>
      <c r="AF1103" s="345" t="s">
        <v>271</v>
      </c>
      <c r="AG1103" s="345">
        <v>2022</v>
      </c>
      <c r="AH1103" s="346">
        <v>2022</v>
      </c>
      <c r="AT1103" s="20" t="e">
        <f t="shared" si="264"/>
        <v>#N/A</v>
      </c>
      <c r="BZ1103" s="71"/>
    </row>
    <row r="1104" spans="1:78" ht="61.5" x14ac:dyDescent="0.85">
      <c r="A1104" s="20">
        <v>1</v>
      </c>
      <c r="B1104" s="66">
        <f>SUBTOTAL(103,$A$994:A1104)</f>
        <v>108</v>
      </c>
      <c r="C1104" s="24" t="s">
        <v>802</v>
      </c>
      <c r="D1104" s="31">
        <f t="shared" si="268"/>
        <v>3336388</v>
      </c>
      <c r="E1104" s="31">
        <v>0</v>
      </c>
      <c r="F1104" s="31">
        <v>0</v>
      </c>
      <c r="G1104" s="31">
        <v>0</v>
      </c>
      <c r="H1104" s="31">
        <v>0</v>
      </c>
      <c r="I1104" s="31">
        <v>0</v>
      </c>
      <c r="J1104" s="31">
        <v>0</v>
      </c>
      <c r="K1104" s="33">
        <v>0</v>
      </c>
      <c r="L1104" s="31">
        <v>0</v>
      </c>
      <c r="M1104" s="31">
        <v>660</v>
      </c>
      <c r="N1104" s="31">
        <v>3287081.77</v>
      </c>
      <c r="O1104" s="31">
        <v>0</v>
      </c>
      <c r="P1104" s="31">
        <v>0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  <c r="V1104" s="31">
        <v>0</v>
      </c>
      <c r="W1104" s="31">
        <v>0</v>
      </c>
      <c r="X1104" s="31">
        <v>0</v>
      </c>
      <c r="Y1104" s="31">
        <v>0</v>
      </c>
      <c r="Z1104" s="31">
        <v>0</v>
      </c>
      <c r="AA1104" s="31">
        <v>0</v>
      </c>
      <c r="AB1104" s="31">
        <v>0</v>
      </c>
      <c r="AC1104" s="31">
        <f>ROUND(N1104*1.5%,2)</f>
        <v>49306.23</v>
      </c>
      <c r="AD1104" s="31">
        <v>0</v>
      </c>
      <c r="AE1104" s="31">
        <v>0</v>
      </c>
      <c r="AF1104" s="345" t="s">
        <v>271</v>
      </c>
      <c r="AG1104" s="345">
        <v>2022</v>
      </c>
      <c r="AH1104" s="346">
        <v>2022</v>
      </c>
      <c r="AT1104" s="20" t="e">
        <f t="shared" si="264"/>
        <v>#N/A</v>
      </c>
      <c r="BZ1104" s="71"/>
    </row>
    <row r="1105" spans="1:78" ht="61.5" x14ac:dyDescent="0.85">
      <c r="A1105" s="20">
        <v>1</v>
      </c>
      <c r="B1105" s="66">
        <f>SUBTOTAL(103,$A$994:A1105)</f>
        <v>109</v>
      </c>
      <c r="C1105" s="24" t="s">
        <v>803</v>
      </c>
      <c r="D1105" s="31">
        <f t="shared" si="268"/>
        <v>2697058</v>
      </c>
      <c r="E1105" s="31">
        <v>0</v>
      </c>
      <c r="F1105" s="31">
        <v>0</v>
      </c>
      <c r="G1105" s="31">
        <v>0</v>
      </c>
      <c r="H1105" s="31">
        <v>0</v>
      </c>
      <c r="I1105" s="31">
        <v>0</v>
      </c>
      <c r="J1105" s="31">
        <v>0</v>
      </c>
      <c r="K1105" s="33">
        <v>0</v>
      </c>
      <c r="L1105" s="31">
        <v>0</v>
      </c>
      <c r="M1105" s="31">
        <v>511</v>
      </c>
      <c r="N1105" s="31">
        <f>M1105*5200</f>
        <v>2657200</v>
      </c>
      <c r="O1105" s="31">
        <v>0</v>
      </c>
      <c r="P1105" s="31">
        <v>0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31">
        <v>0</v>
      </c>
      <c r="W1105" s="31">
        <v>0</v>
      </c>
      <c r="X1105" s="31">
        <v>0</v>
      </c>
      <c r="Y1105" s="31">
        <v>0</v>
      </c>
      <c r="Z1105" s="31">
        <v>0</v>
      </c>
      <c r="AA1105" s="31">
        <v>0</v>
      </c>
      <c r="AB1105" s="31">
        <v>0</v>
      </c>
      <c r="AC1105" s="31">
        <f>ROUND(N1105*1.5%,2)</f>
        <v>39858</v>
      </c>
      <c r="AD1105" s="31">
        <v>0</v>
      </c>
      <c r="AE1105" s="31">
        <v>0</v>
      </c>
      <c r="AF1105" s="345" t="s">
        <v>271</v>
      </c>
      <c r="AG1105" s="345">
        <v>2022</v>
      </c>
      <c r="AH1105" s="346">
        <v>2022</v>
      </c>
      <c r="AT1105" s="20" t="e">
        <f t="shared" si="264"/>
        <v>#N/A</v>
      </c>
      <c r="BZ1105" s="71"/>
    </row>
    <row r="1106" spans="1:78" ht="61.5" x14ac:dyDescent="0.85">
      <c r="A1106" s="20">
        <v>1</v>
      </c>
      <c r="B1106" s="66">
        <f>SUBTOTAL(103,$A$994:A1106)</f>
        <v>110</v>
      </c>
      <c r="C1106" s="24" t="s">
        <v>804</v>
      </c>
      <c r="D1106" s="31">
        <f t="shared" si="268"/>
        <v>8460275.6699999981</v>
      </c>
      <c r="E1106" s="31">
        <v>0</v>
      </c>
      <c r="F1106" s="31">
        <v>0</v>
      </c>
      <c r="G1106" s="31">
        <v>0</v>
      </c>
      <c r="H1106" s="31">
        <v>0</v>
      </c>
      <c r="I1106" s="31">
        <v>0</v>
      </c>
      <c r="J1106" s="31">
        <v>0</v>
      </c>
      <c r="K1106" s="33">
        <v>0</v>
      </c>
      <c r="L1106" s="31">
        <v>0</v>
      </c>
      <c r="M1106" s="31">
        <v>2047.5</v>
      </c>
      <c r="N1106" s="31">
        <f>10533631.03-3411405.54+1213021.48</f>
        <v>8335246.9699999988</v>
      </c>
      <c r="O1106" s="31">
        <v>0</v>
      </c>
      <c r="P1106" s="31">
        <v>0</v>
      </c>
      <c r="Q1106" s="31">
        <v>0</v>
      </c>
      <c r="R1106" s="31">
        <v>0</v>
      </c>
      <c r="S1106" s="31">
        <v>0</v>
      </c>
      <c r="T1106" s="31">
        <v>0</v>
      </c>
      <c r="U1106" s="31">
        <v>0</v>
      </c>
      <c r="V1106" s="31">
        <v>0</v>
      </c>
      <c r="W1106" s="31">
        <v>0</v>
      </c>
      <c r="X1106" s="31">
        <v>0</v>
      </c>
      <c r="Y1106" s="31">
        <v>0</v>
      </c>
      <c r="Z1106" s="31">
        <v>0</v>
      </c>
      <c r="AA1106" s="31">
        <v>0</v>
      </c>
      <c r="AB1106" s="31">
        <v>0</v>
      </c>
      <c r="AC1106" s="31">
        <f>ROUND(N1106*1.5%,2)</f>
        <v>125028.7</v>
      </c>
      <c r="AD1106" s="31">
        <v>0</v>
      </c>
      <c r="AE1106" s="31">
        <v>0</v>
      </c>
      <c r="AF1106" s="345" t="s">
        <v>271</v>
      </c>
      <c r="AG1106" s="345">
        <v>2022</v>
      </c>
      <c r="AH1106" s="346">
        <v>2022</v>
      </c>
      <c r="AT1106" s="20" t="e">
        <f t="shared" si="264"/>
        <v>#N/A</v>
      </c>
      <c r="BZ1106" s="71"/>
    </row>
    <row r="1107" spans="1:78" ht="61.5" x14ac:dyDescent="0.85">
      <c r="A1107" s="20">
        <v>1</v>
      </c>
      <c r="B1107" s="66">
        <f>SUBTOTAL(103,$A$994:A1107)</f>
        <v>111</v>
      </c>
      <c r="C1107" s="24" t="s">
        <v>826</v>
      </c>
      <c r="D1107" s="31">
        <f t="shared" si="268"/>
        <v>1911891.6</v>
      </c>
      <c r="E1107" s="31">
        <v>0</v>
      </c>
      <c r="F1107" s="31">
        <v>0</v>
      </c>
      <c r="G1107" s="31">
        <v>0</v>
      </c>
      <c r="H1107" s="31">
        <v>0</v>
      </c>
      <c r="I1107" s="31">
        <v>0</v>
      </c>
      <c r="J1107" s="31">
        <v>0</v>
      </c>
      <c r="K1107" s="33">
        <v>0</v>
      </c>
      <c r="L1107" s="31">
        <v>0</v>
      </c>
      <c r="M1107" s="31">
        <v>0</v>
      </c>
      <c r="N1107" s="31">
        <v>0</v>
      </c>
      <c r="O1107" s="31">
        <v>0</v>
      </c>
      <c r="P1107" s="31">
        <v>0</v>
      </c>
      <c r="Q1107" s="31">
        <v>360</v>
      </c>
      <c r="R1107" s="31">
        <v>1883637.04</v>
      </c>
      <c r="S1107" s="31">
        <v>0</v>
      </c>
      <c r="T1107" s="31">
        <v>0</v>
      </c>
      <c r="U1107" s="31">
        <v>0</v>
      </c>
      <c r="V1107" s="31">
        <v>0</v>
      </c>
      <c r="W1107" s="31">
        <v>0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1">
        <f>ROUND(R1107*1.5%,2)</f>
        <v>28254.560000000001</v>
      </c>
      <c r="AD1107" s="31">
        <v>0</v>
      </c>
      <c r="AE1107" s="31">
        <v>0</v>
      </c>
      <c r="AF1107" s="345" t="s">
        <v>271</v>
      </c>
      <c r="AG1107" s="345">
        <v>2022</v>
      </c>
      <c r="AH1107" s="346">
        <v>2022</v>
      </c>
      <c r="AT1107" s="20">
        <f t="shared" si="264"/>
        <v>1</v>
      </c>
      <c r="BZ1107" s="71"/>
    </row>
    <row r="1108" spans="1:78" ht="61.5" x14ac:dyDescent="0.85">
      <c r="A1108" s="20">
        <v>1</v>
      </c>
      <c r="B1108" s="66">
        <f>SUBTOTAL(103,$A$994:A1108)</f>
        <v>112</v>
      </c>
      <c r="C1108" s="24" t="s">
        <v>1625</v>
      </c>
      <c r="D1108" s="31">
        <f t="shared" si="268"/>
        <v>1984284</v>
      </c>
      <c r="E1108" s="31">
        <v>0</v>
      </c>
      <c r="F1108" s="31">
        <v>0</v>
      </c>
      <c r="G1108" s="31">
        <v>0</v>
      </c>
      <c r="H1108" s="31">
        <v>0</v>
      </c>
      <c r="I1108" s="31">
        <v>0</v>
      </c>
      <c r="J1108" s="31">
        <v>0</v>
      </c>
      <c r="K1108" s="33">
        <v>0</v>
      </c>
      <c r="L1108" s="31">
        <v>0</v>
      </c>
      <c r="M1108" s="31">
        <v>380</v>
      </c>
      <c r="N1108" s="31">
        <v>1954959.61</v>
      </c>
      <c r="O1108" s="31">
        <v>0</v>
      </c>
      <c r="P1108" s="31">
        <v>0</v>
      </c>
      <c r="Q1108" s="31">
        <v>0</v>
      </c>
      <c r="R1108" s="31">
        <v>0</v>
      </c>
      <c r="S1108" s="31">
        <v>0</v>
      </c>
      <c r="T1108" s="31">
        <v>0</v>
      </c>
      <c r="U1108" s="31">
        <v>0</v>
      </c>
      <c r="V1108" s="31">
        <v>0</v>
      </c>
      <c r="W1108" s="31">
        <v>0</v>
      </c>
      <c r="X1108" s="31">
        <v>0</v>
      </c>
      <c r="Y1108" s="31">
        <v>0</v>
      </c>
      <c r="Z1108" s="31">
        <v>0</v>
      </c>
      <c r="AA1108" s="31">
        <v>0</v>
      </c>
      <c r="AB1108" s="31">
        <v>0</v>
      </c>
      <c r="AC1108" s="31">
        <f>ROUND(N1108*1.5%,2)</f>
        <v>29324.39</v>
      </c>
      <c r="AD1108" s="31">
        <v>0</v>
      </c>
      <c r="AE1108" s="31">
        <v>0</v>
      </c>
      <c r="AF1108" s="345" t="s">
        <v>271</v>
      </c>
      <c r="AG1108" s="345">
        <v>2022</v>
      </c>
      <c r="AH1108" s="346">
        <v>2022</v>
      </c>
      <c r="BZ1108" s="71"/>
    </row>
    <row r="1109" spans="1:78" ht="61.5" x14ac:dyDescent="0.85">
      <c r="B1109" s="24" t="s">
        <v>771</v>
      </c>
      <c r="C1109" s="114"/>
      <c r="D1109" s="31">
        <f>SUM(D1110:D1111)</f>
        <v>21856214.649999999</v>
      </c>
      <c r="E1109" s="31">
        <f t="shared" ref="E1109:AE1109" si="269">SUM(E1110:E1111)</f>
        <v>564251.4</v>
      </c>
      <c r="F1109" s="31">
        <f t="shared" si="269"/>
        <v>1368969.5</v>
      </c>
      <c r="G1109" s="31">
        <f t="shared" si="269"/>
        <v>1773880.4000000001</v>
      </c>
      <c r="H1109" s="31">
        <f t="shared" si="269"/>
        <v>1005360.8</v>
      </c>
      <c r="I1109" s="31">
        <f t="shared" si="269"/>
        <v>2430648.5</v>
      </c>
      <c r="J1109" s="31">
        <f t="shared" si="269"/>
        <v>0</v>
      </c>
      <c r="K1109" s="33">
        <f t="shared" si="269"/>
        <v>0</v>
      </c>
      <c r="L1109" s="31">
        <f t="shared" si="269"/>
        <v>0</v>
      </c>
      <c r="M1109" s="31">
        <f t="shared" si="269"/>
        <v>0</v>
      </c>
      <c r="N1109" s="31">
        <f t="shared" si="269"/>
        <v>0</v>
      </c>
      <c r="O1109" s="31">
        <f t="shared" si="269"/>
        <v>0</v>
      </c>
      <c r="P1109" s="31">
        <f t="shared" si="269"/>
        <v>0</v>
      </c>
      <c r="Q1109" s="31">
        <f t="shared" si="269"/>
        <v>7025.9</v>
      </c>
      <c r="R1109" s="31">
        <f t="shared" si="269"/>
        <v>13897494.970000001</v>
      </c>
      <c r="S1109" s="31">
        <f t="shared" si="269"/>
        <v>0</v>
      </c>
      <c r="T1109" s="31">
        <f t="shared" si="269"/>
        <v>0</v>
      </c>
      <c r="U1109" s="31">
        <f t="shared" si="269"/>
        <v>0</v>
      </c>
      <c r="V1109" s="31">
        <f t="shared" si="269"/>
        <v>0</v>
      </c>
      <c r="W1109" s="31">
        <f t="shared" si="269"/>
        <v>0</v>
      </c>
      <c r="X1109" s="31">
        <f t="shared" si="269"/>
        <v>0</v>
      </c>
      <c r="Y1109" s="31">
        <f t="shared" si="269"/>
        <v>0</v>
      </c>
      <c r="Z1109" s="31">
        <f t="shared" si="269"/>
        <v>0</v>
      </c>
      <c r="AA1109" s="31">
        <f t="shared" si="269"/>
        <v>0</v>
      </c>
      <c r="AB1109" s="31">
        <f t="shared" si="269"/>
        <v>0</v>
      </c>
      <c r="AC1109" s="31">
        <f t="shared" si="269"/>
        <v>315609.08</v>
      </c>
      <c r="AD1109" s="31">
        <f t="shared" si="269"/>
        <v>500000</v>
      </c>
      <c r="AE1109" s="31">
        <f t="shared" si="269"/>
        <v>0</v>
      </c>
      <c r="AF1109" s="343" t="s">
        <v>764</v>
      </c>
      <c r="AG1109" s="343" t="s">
        <v>764</v>
      </c>
      <c r="AH1109" s="344" t="s">
        <v>764</v>
      </c>
      <c r="AT1109" s="20" t="e">
        <f t="shared" ref="AT1109:AT1140" si="270">VLOOKUP(C1109,AW:AX,2,FALSE)</f>
        <v>#N/A</v>
      </c>
      <c r="BZ1109" s="71">
        <v>21856214.649999999</v>
      </c>
    </row>
    <row r="1110" spans="1:78" ht="61.5" x14ac:dyDescent="0.85">
      <c r="A1110" s="20">
        <v>1</v>
      </c>
      <c r="B1110" s="66">
        <f>SUBTOTAL(103,$A$994:A1110)</f>
        <v>113</v>
      </c>
      <c r="C1110" s="24" t="s">
        <v>390</v>
      </c>
      <c r="D1110" s="31">
        <f>E1110+F1110+G1110+H1110+I1110+J1110+L1110+N1110+P1110+R1110+T1110+U1110+V1110+W1110+X1110+Y1110+Z1110+AA1110+AB1110+AC1110+AD1110+AE1110</f>
        <v>7550257.2599999998</v>
      </c>
      <c r="E1110" s="31">
        <v>564251.4</v>
      </c>
      <c r="F1110" s="31">
        <v>1368969.5</v>
      </c>
      <c r="G1110" s="31">
        <v>1773880.4000000001</v>
      </c>
      <c r="H1110" s="31">
        <v>1005360.8</v>
      </c>
      <c r="I1110" s="31">
        <v>2430648.5</v>
      </c>
      <c r="J1110" s="31">
        <v>0</v>
      </c>
      <c r="K1110" s="33">
        <v>0</v>
      </c>
      <c r="L1110" s="31">
        <v>0</v>
      </c>
      <c r="M1110" s="31">
        <v>0</v>
      </c>
      <c r="N1110" s="31">
        <v>0</v>
      </c>
      <c r="O1110" s="31">
        <v>0</v>
      </c>
      <c r="P1110" s="31">
        <v>0</v>
      </c>
      <c r="Q1110" s="31">
        <v>0</v>
      </c>
      <c r="R1110" s="31">
        <v>0</v>
      </c>
      <c r="S1110" s="31">
        <v>0</v>
      </c>
      <c r="T1110" s="31">
        <v>0</v>
      </c>
      <c r="U1110" s="31">
        <v>0</v>
      </c>
      <c r="V1110" s="31">
        <v>0</v>
      </c>
      <c r="W1110" s="31">
        <v>0</v>
      </c>
      <c r="X1110" s="31">
        <v>0</v>
      </c>
      <c r="Y1110" s="31">
        <v>0</v>
      </c>
      <c r="Z1110" s="31">
        <v>0</v>
      </c>
      <c r="AA1110" s="31">
        <v>0</v>
      </c>
      <c r="AB1110" s="31">
        <v>0</v>
      </c>
      <c r="AC1110" s="31">
        <f>ROUND((E1110+F1110+G1110+H1110+I1110+J1110)*1.5%,2)</f>
        <v>107146.66</v>
      </c>
      <c r="AD1110" s="31">
        <v>300000</v>
      </c>
      <c r="AE1110" s="31">
        <v>0</v>
      </c>
      <c r="AF1110" s="345">
        <v>2022</v>
      </c>
      <c r="AG1110" s="345">
        <v>2022</v>
      </c>
      <c r="AH1110" s="346">
        <v>2022</v>
      </c>
      <c r="AT1110" s="20" t="e">
        <f t="shared" si="270"/>
        <v>#N/A</v>
      </c>
      <c r="BZ1110" s="71"/>
    </row>
    <row r="1111" spans="1:78" ht="61.5" x14ac:dyDescent="0.85">
      <c r="A1111" s="20">
        <v>1</v>
      </c>
      <c r="B1111" s="66">
        <f>SUBTOTAL(103,$A$994:A1111)</f>
        <v>114</v>
      </c>
      <c r="C1111" s="24" t="s">
        <v>391</v>
      </c>
      <c r="D1111" s="31">
        <f>E1111+F1111+G1111+H1111+I1111+J1111+L1111+N1111+P1111+R1111+T1111+U1111+V1111+W1111+X1111+Y1111+Z1111+AA1111+AB1111+AC1111+AD1111+AE1111</f>
        <v>14305957.390000001</v>
      </c>
      <c r="E1111" s="31">
        <v>0</v>
      </c>
      <c r="F1111" s="31">
        <v>0</v>
      </c>
      <c r="G1111" s="31">
        <v>0</v>
      </c>
      <c r="H1111" s="31">
        <v>0</v>
      </c>
      <c r="I1111" s="31">
        <v>0</v>
      </c>
      <c r="J1111" s="31">
        <v>0</v>
      </c>
      <c r="K1111" s="33">
        <v>0</v>
      </c>
      <c r="L1111" s="31">
        <v>0</v>
      </c>
      <c r="M1111" s="31">
        <v>0</v>
      </c>
      <c r="N1111" s="31">
        <v>0</v>
      </c>
      <c r="O1111" s="31">
        <v>0</v>
      </c>
      <c r="P1111" s="31">
        <v>0</v>
      </c>
      <c r="Q1111" s="31">
        <v>7025.9</v>
      </c>
      <c r="R1111" s="31">
        <v>13897494.970000001</v>
      </c>
      <c r="S1111" s="31">
        <v>0</v>
      </c>
      <c r="T1111" s="31">
        <v>0</v>
      </c>
      <c r="U1111" s="31">
        <v>0</v>
      </c>
      <c r="V1111" s="31">
        <v>0</v>
      </c>
      <c r="W1111" s="31">
        <v>0</v>
      </c>
      <c r="X1111" s="31">
        <v>0</v>
      </c>
      <c r="Y1111" s="31">
        <v>0</v>
      </c>
      <c r="Z1111" s="31">
        <v>0</v>
      </c>
      <c r="AA1111" s="31">
        <v>0</v>
      </c>
      <c r="AB1111" s="31">
        <v>0</v>
      </c>
      <c r="AC1111" s="31">
        <f>ROUND(R1111*1.5%,2)</f>
        <v>208462.42</v>
      </c>
      <c r="AD1111" s="31">
        <v>200000</v>
      </c>
      <c r="AE1111" s="31">
        <v>0</v>
      </c>
      <c r="AF1111" s="345">
        <v>2022</v>
      </c>
      <c r="AG1111" s="345">
        <v>2022</v>
      </c>
      <c r="AH1111" s="346">
        <v>2022</v>
      </c>
      <c r="AT1111" s="20" t="e">
        <f t="shared" si="270"/>
        <v>#N/A</v>
      </c>
      <c r="BZ1111" s="71"/>
    </row>
    <row r="1112" spans="1:78" ht="61.5" x14ac:dyDescent="0.85">
      <c r="B1112" s="24" t="s">
        <v>828</v>
      </c>
      <c r="C1112" s="114"/>
      <c r="D1112" s="31">
        <f>SUM(D1113:D1120)</f>
        <v>51599396.32</v>
      </c>
      <c r="E1112" s="31">
        <f t="shared" ref="E1112:AE1112" si="271">SUM(E1113:E1120)</f>
        <v>0</v>
      </c>
      <c r="F1112" s="31">
        <f t="shared" si="271"/>
        <v>0</v>
      </c>
      <c r="G1112" s="31">
        <f t="shared" si="271"/>
        <v>0</v>
      </c>
      <c r="H1112" s="31">
        <f t="shared" si="271"/>
        <v>0</v>
      </c>
      <c r="I1112" s="31">
        <f t="shared" si="271"/>
        <v>0</v>
      </c>
      <c r="J1112" s="31">
        <f t="shared" si="271"/>
        <v>0</v>
      </c>
      <c r="K1112" s="33">
        <f t="shared" si="271"/>
        <v>0</v>
      </c>
      <c r="L1112" s="31">
        <f t="shared" si="271"/>
        <v>0</v>
      </c>
      <c r="M1112" s="31">
        <f t="shared" si="271"/>
        <v>8662.4</v>
      </c>
      <c r="N1112" s="31">
        <f t="shared" si="271"/>
        <v>42994075.339999996</v>
      </c>
      <c r="O1112" s="31">
        <f t="shared" si="271"/>
        <v>0</v>
      </c>
      <c r="P1112" s="31">
        <f t="shared" si="271"/>
        <v>0</v>
      </c>
      <c r="Q1112" s="31">
        <f t="shared" si="271"/>
        <v>0</v>
      </c>
      <c r="R1112" s="31">
        <f t="shared" si="271"/>
        <v>0</v>
      </c>
      <c r="S1112" s="31">
        <f t="shared" si="271"/>
        <v>209</v>
      </c>
      <c r="T1112" s="31">
        <f t="shared" si="271"/>
        <v>6571832.3700000001</v>
      </c>
      <c r="U1112" s="31">
        <f t="shared" si="271"/>
        <v>0</v>
      </c>
      <c r="V1112" s="31">
        <f t="shared" si="271"/>
        <v>0</v>
      </c>
      <c r="W1112" s="31">
        <f t="shared" si="271"/>
        <v>0</v>
      </c>
      <c r="X1112" s="31">
        <f t="shared" si="271"/>
        <v>0</v>
      </c>
      <c r="Y1112" s="31">
        <f t="shared" si="271"/>
        <v>0</v>
      </c>
      <c r="Z1112" s="31">
        <f t="shared" si="271"/>
        <v>0</v>
      </c>
      <c r="AA1112" s="31">
        <f t="shared" si="271"/>
        <v>0</v>
      </c>
      <c r="AB1112" s="31">
        <f t="shared" si="271"/>
        <v>0</v>
      </c>
      <c r="AC1112" s="31">
        <f t="shared" si="271"/>
        <v>743488.60999999987</v>
      </c>
      <c r="AD1112" s="31">
        <f t="shared" si="271"/>
        <v>1290000</v>
      </c>
      <c r="AE1112" s="31">
        <f t="shared" si="271"/>
        <v>0</v>
      </c>
      <c r="AF1112" s="343" t="s">
        <v>764</v>
      </c>
      <c r="AG1112" s="343" t="s">
        <v>764</v>
      </c>
      <c r="AH1112" s="344" t="s">
        <v>764</v>
      </c>
      <c r="AT1112" s="20" t="e">
        <f t="shared" si="270"/>
        <v>#N/A</v>
      </c>
      <c r="BZ1112" s="71">
        <v>51679396.32</v>
      </c>
    </row>
    <row r="1113" spans="1:78" ht="61.5" x14ac:dyDescent="0.85">
      <c r="A1113" s="20">
        <v>1</v>
      </c>
      <c r="B1113" s="66">
        <f>SUBTOTAL(103,$A$994:A1113)</f>
        <v>115</v>
      </c>
      <c r="C1113" s="24" t="s">
        <v>617</v>
      </c>
      <c r="D1113" s="31">
        <f t="shared" ref="D1113:D1120" si="272">E1113+F1113+G1113+H1113+I1113+J1113+L1113+N1113+P1113+R1113+T1113+U1113+V1113+W1113+X1113+Y1113+Z1113+AA1113+AB1113+AC1113+AD1113+AE1113</f>
        <v>5121801</v>
      </c>
      <c r="E1113" s="38">
        <v>0</v>
      </c>
      <c r="F1113" s="38">
        <v>0</v>
      </c>
      <c r="G1113" s="38">
        <v>0</v>
      </c>
      <c r="H1113" s="38">
        <v>0</v>
      </c>
      <c r="I1113" s="38">
        <v>0</v>
      </c>
      <c r="J1113" s="38">
        <v>0</v>
      </c>
      <c r="K1113" s="85">
        <v>0</v>
      </c>
      <c r="L1113" s="38">
        <v>0</v>
      </c>
      <c r="M1113" s="31">
        <v>981</v>
      </c>
      <c r="N1113" s="31">
        <v>4898326.1100000003</v>
      </c>
      <c r="O1113" s="31">
        <v>0</v>
      </c>
      <c r="P1113" s="31">
        <v>0</v>
      </c>
      <c r="Q1113" s="31">
        <v>0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1">
        <v>0</v>
      </c>
      <c r="Y1113" s="31">
        <v>0</v>
      </c>
      <c r="Z1113" s="31">
        <v>0</v>
      </c>
      <c r="AA1113" s="31">
        <v>0</v>
      </c>
      <c r="AB1113" s="31">
        <v>0</v>
      </c>
      <c r="AC1113" s="31">
        <f>ROUND(N1113*1.5%,2)</f>
        <v>73474.89</v>
      </c>
      <c r="AD1113" s="31">
        <v>150000</v>
      </c>
      <c r="AE1113" s="31">
        <v>0</v>
      </c>
      <c r="AF1113" s="345">
        <v>2022</v>
      </c>
      <c r="AG1113" s="345">
        <v>2022</v>
      </c>
      <c r="AH1113" s="346">
        <v>2022</v>
      </c>
      <c r="AT1113" s="20" t="e">
        <f t="shared" si="270"/>
        <v>#N/A</v>
      </c>
      <c r="BZ1113" s="71"/>
    </row>
    <row r="1114" spans="1:78" ht="61.5" x14ac:dyDescent="0.85">
      <c r="A1114" s="20">
        <v>1</v>
      </c>
      <c r="B1114" s="66">
        <f>SUBTOTAL(103,$A$994:A1114)</f>
        <v>116</v>
      </c>
      <c r="C1114" s="24" t="s">
        <v>618</v>
      </c>
      <c r="D1114" s="31">
        <f t="shared" si="272"/>
        <v>8124000</v>
      </c>
      <c r="E1114" s="38">
        <v>0</v>
      </c>
      <c r="F1114" s="38">
        <v>0</v>
      </c>
      <c r="G1114" s="38">
        <v>0</v>
      </c>
      <c r="H1114" s="38">
        <v>0</v>
      </c>
      <c r="I1114" s="38">
        <v>0</v>
      </c>
      <c r="J1114" s="38">
        <v>0</v>
      </c>
      <c r="K1114" s="85">
        <v>0</v>
      </c>
      <c r="L1114" s="38">
        <v>0</v>
      </c>
      <c r="M1114" s="31">
        <v>1692.5</v>
      </c>
      <c r="N1114" s="31">
        <v>7826600.9900000002</v>
      </c>
      <c r="O1114" s="31">
        <v>0</v>
      </c>
      <c r="P1114" s="31">
        <v>0</v>
      </c>
      <c r="Q1114" s="31">
        <v>0</v>
      </c>
      <c r="R1114" s="31">
        <v>0</v>
      </c>
      <c r="S1114" s="31">
        <v>0</v>
      </c>
      <c r="T1114" s="31">
        <v>0</v>
      </c>
      <c r="U1114" s="31">
        <v>0</v>
      </c>
      <c r="V1114" s="31">
        <v>0</v>
      </c>
      <c r="W1114" s="31">
        <v>0</v>
      </c>
      <c r="X1114" s="31">
        <v>0</v>
      </c>
      <c r="Y1114" s="31">
        <v>0</v>
      </c>
      <c r="Z1114" s="31">
        <v>0</v>
      </c>
      <c r="AA1114" s="31">
        <v>0</v>
      </c>
      <c r="AB1114" s="31">
        <v>0</v>
      </c>
      <c r="AC1114" s="31">
        <f>ROUND(N1114*1.5%,2)</f>
        <v>117399.01</v>
      </c>
      <c r="AD1114" s="31">
        <v>180000</v>
      </c>
      <c r="AE1114" s="31">
        <v>0</v>
      </c>
      <c r="AF1114" s="345">
        <v>2022</v>
      </c>
      <c r="AG1114" s="345">
        <v>2022</v>
      </c>
      <c r="AH1114" s="346">
        <v>2022</v>
      </c>
      <c r="AT1114" s="20" t="e">
        <f t="shared" si="270"/>
        <v>#N/A</v>
      </c>
      <c r="BZ1114" s="71"/>
    </row>
    <row r="1115" spans="1:78" ht="61.5" x14ac:dyDescent="0.85">
      <c r="A1115" s="20">
        <v>1</v>
      </c>
      <c r="B1115" s="66">
        <f>SUBTOTAL(103,$A$994:A1115)</f>
        <v>117</v>
      </c>
      <c r="C1115" s="24" t="s">
        <v>1707</v>
      </c>
      <c r="D1115" s="31">
        <f t="shared" si="272"/>
        <v>4662041.0599999996</v>
      </c>
      <c r="E1115" s="38">
        <v>0</v>
      </c>
      <c r="F1115" s="38">
        <v>0</v>
      </c>
      <c r="G1115" s="38">
        <v>0</v>
      </c>
      <c r="H1115" s="38">
        <v>0</v>
      </c>
      <c r="I1115" s="38">
        <v>0</v>
      </c>
      <c r="J1115" s="38">
        <v>0</v>
      </c>
      <c r="K1115" s="85">
        <v>0</v>
      </c>
      <c r="L1115" s="38">
        <v>0</v>
      </c>
      <c r="M1115" s="31">
        <v>650</v>
      </c>
      <c r="N1115" s="31">
        <f>4474917.3-29556.65</f>
        <v>4445360.6499999994</v>
      </c>
      <c r="O1115" s="31">
        <v>0</v>
      </c>
      <c r="P1115" s="31">
        <v>0</v>
      </c>
      <c r="Q1115" s="31">
        <v>0</v>
      </c>
      <c r="R1115" s="31">
        <v>0</v>
      </c>
      <c r="S1115" s="31">
        <v>0</v>
      </c>
      <c r="T1115" s="31">
        <v>0</v>
      </c>
      <c r="U1115" s="31">
        <v>0</v>
      </c>
      <c r="V1115" s="31">
        <v>0</v>
      </c>
      <c r="W1115" s="31">
        <v>0</v>
      </c>
      <c r="X1115" s="31">
        <v>0</v>
      </c>
      <c r="Y1115" s="31">
        <v>0</v>
      </c>
      <c r="Z1115" s="31">
        <v>0</v>
      </c>
      <c r="AA1115" s="31">
        <v>0</v>
      </c>
      <c r="AB1115" s="31">
        <v>0</v>
      </c>
      <c r="AC1115" s="31">
        <f>ROUND(N1115*1.5%,2)</f>
        <v>66680.41</v>
      </c>
      <c r="AD1115" s="31">
        <v>150000</v>
      </c>
      <c r="AE1115" s="31">
        <v>0</v>
      </c>
      <c r="AF1115" s="345">
        <v>2022</v>
      </c>
      <c r="AG1115" s="345">
        <v>2022</v>
      </c>
      <c r="AH1115" s="346">
        <v>2022</v>
      </c>
      <c r="AT1115" s="20" t="e">
        <f t="shared" si="270"/>
        <v>#N/A</v>
      </c>
      <c r="BZ1115" s="71"/>
    </row>
    <row r="1116" spans="1:78" ht="61.5" x14ac:dyDescent="0.85">
      <c r="A1116" s="20">
        <v>1</v>
      </c>
      <c r="B1116" s="66">
        <f>SUBTOTAL(103,$A$994:A1116)</f>
        <v>118</v>
      </c>
      <c r="C1116" s="24" t="s">
        <v>622</v>
      </c>
      <c r="D1116" s="31">
        <f t="shared" si="272"/>
        <v>9052752</v>
      </c>
      <c r="E1116" s="38">
        <v>0</v>
      </c>
      <c r="F1116" s="38">
        <v>0</v>
      </c>
      <c r="G1116" s="38">
        <v>0</v>
      </c>
      <c r="H1116" s="38">
        <v>0</v>
      </c>
      <c r="I1116" s="38">
        <v>0</v>
      </c>
      <c r="J1116" s="38">
        <v>0</v>
      </c>
      <c r="K1116" s="85">
        <v>0</v>
      </c>
      <c r="L1116" s="38">
        <v>0</v>
      </c>
      <c r="M1116" s="31">
        <v>1812</v>
      </c>
      <c r="N1116" s="31">
        <v>8741627.5899999999</v>
      </c>
      <c r="O1116" s="31">
        <v>0</v>
      </c>
      <c r="P1116" s="31">
        <v>0</v>
      </c>
      <c r="Q1116" s="31">
        <v>0</v>
      </c>
      <c r="R1116" s="31">
        <v>0</v>
      </c>
      <c r="S1116" s="31">
        <v>0</v>
      </c>
      <c r="T1116" s="31">
        <v>0</v>
      </c>
      <c r="U1116" s="31">
        <v>0</v>
      </c>
      <c r="V1116" s="31">
        <v>0</v>
      </c>
      <c r="W1116" s="31">
        <v>0</v>
      </c>
      <c r="X1116" s="31">
        <v>0</v>
      </c>
      <c r="Y1116" s="31">
        <v>0</v>
      </c>
      <c r="Z1116" s="31">
        <v>0</v>
      </c>
      <c r="AA1116" s="31">
        <v>0</v>
      </c>
      <c r="AB1116" s="31">
        <v>0</v>
      </c>
      <c r="AC1116" s="31">
        <f>ROUND(N1116*1.5%,2)</f>
        <v>131124.41</v>
      </c>
      <c r="AD1116" s="31">
        <v>180000</v>
      </c>
      <c r="AE1116" s="31">
        <v>0</v>
      </c>
      <c r="AF1116" s="345">
        <v>2022</v>
      </c>
      <c r="AG1116" s="345">
        <v>2022</v>
      </c>
      <c r="AH1116" s="346">
        <v>2022</v>
      </c>
      <c r="AT1116" s="20" t="e">
        <f t="shared" si="270"/>
        <v>#N/A</v>
      </c>
      <c r="BZ1116" s="71"/>
    </row>
    <row r="1117" spans="1:78" ht="61.5" x14ac:dyDescent="0.85">
      <c r="A1117" s="20">
        <v>1</v>
      </c>
      <c r="B1117" s="66">
        <f>SUBTOTAL(103,$A$994:A1117)</f>
        <v>119</v>
      </c>
      <c r="C1117" s="24" t="s">
        <v>635</v>
      </c>
      <c r="D1117" s="31">
        <f t="shared" si="272"/>
        <v>6820409.8600000003</v>
      </c>
      <c r="E1117" s="38">
        <v>0</v>
      </c>
      <c r="F1117" s="38">
        <v>0</v>
      </c>
      <c r="G1117" s="38">
        <v>0</v>
      </c>
      <c r="H1117" s="38">
        <v>0</v>
      </c>
      <c r="I1117" s="38">
        <v>0</v>
      </c>
      <c r="J1117" s="38">
        <v>0</v>
      </c>
      <c r="K1117" s="85">
        <v>0</v>
      </c>
      <c r="L1117" s="38">
        <v>0</v>
      </c>
      <c r="M1117" s="31">
        <v>0</v>
      </c>
      <c r="N1117" s="31">
        <v>0</v>
      </c>
      <c r="O1117" s="31">
        <v>0</v>
      </c>
      <c r="P1117" s="31">
        <v>0</v>
      </c>
      <c r="Q1117" s="31">
        <v>0</v>
      </c>
      <c r="R1117" s="31">
        <v>0</v>
      </c>
      <c r="S1117" s="31">
        <v>209</v>
      </c>
      <c r="T1117" s="31">
        <v>6571832.3700000001</v>
      </c>
      <c r="U1117" s="31">
        <v>0</v>
      </c>
      <c r="V1117" s="31">
        <v>0</v>
      </c>
      <c r="W1117" s="31">
        <v>0</v>
      </c>
      <c r="X1117" s="31">
        <v>0</v>
      </c>
      <c r="Y1117" s="31">
        <v>0</v>
      </c>
      <c r="Z1117" s="31">
        <v>0</v>
      </c>
      <c r="AA1117" s="31">
        <v>0</v>
      </c>
      <c r="AB1117" s="31">
        <v>0</v>
      </c>
      <c r="AC1117" s="31">
        <f>ROUND(T1117*1.5%,2)</f>
        <v>98577.49</v>
      </c>
      <c r="AD1117" s="31">
        <v>150000</v>
      </c>
      <c r="AE1117" s="31">
        <v>0</v>
      </c>
      <c r="AF1117" s="345">
        <v>2022</v>
      </c>
      <c r="AG1117" s="345">
        <v>2022</v>
      </c>
      <c r="AH1117" s="346">
        <v>2022</v>
      </c>
      <c r="AT1117" s="20" t="e">
        <f t="shared" si="270"/>
        <v>#N/A</v>
      </c>
      <c r="BZ1117" s="71"/>
    </row>
    <row r="1118" spans="1:78" ht="61.5" x14ac:dyDescent="0.85">
      <c r="A1118" s="20">
        <v>1</v>
      </c>
      <c r="B1118" s="66">
        <f>SUBTOTAL(103,$A$994:A1118)</f>
        <v>120</v>
      </c>
      <c r="C1118" s="24" t="s">
        <v>639</v>
      </c>
      <c r="D1118" s="31">
        <f t="shared" si="272"/>
        <v>9102212.3999999985</v>
      </c>
      <c r="E1118" s="38">
        <v>0</v>
      </c>
      <c r="F1118" s="38">
        <v>0</v>
      </c>
      <c r="G1118" s="38">
        <v>0</v>
      </c>
      <c r="H1118" s="38">
        <v>0</v>
      </c>
      <c r="I1118" s="38">
        <v>0</v>
      </c>
      <c r="J1118" s="38">
        <v>0</v>
      </c>
      <c r="K1118" s="85">
        <v>0</v>
      </c>
      <c r="L1118" s="38">
        <v>0</v>
      </c>
      <c r="M1118" s="31">
        <v>1821.9</v>
      </c>
      <c r="N1118" s="31">
        <v>8790357.0399999991</v>
      </c>
      <c r="O1118" s="31">
        <v>0</v>
      </c>
      <c r="P1118" s="31">
        <v>0</v>
      </c>
      <c r="Q1118" s="31">
        <v>0</v>
      </c>
      <c r="R1118" s="31">
        <v>0</v>
      </c>
      <c r="S1118" s="31">
        <v>0</v>
      </c>
      <c r="T1118" s="31">
        <v>0</v>
      </c>
      <c r="U1118" s="31">
        <v>0</v>
      </c>
      <c r="V1118" s="31">
        <v>0</v>
      </c>
      <c r="W1118" s="31">
        <v>0</v>
      </c>
      <c r="X1118" s="31">
        <v>0</v>
      </c>
      <c r="Y1118" s="31">
        <v>0</v>
      </c>
      <c r="Z1118" s="31">
        <v>0</v>
      </c>
      <c r="AA1118" s="31">
        <v>0</v>
      </c>
      <c r="AB1118" s="31">
        <v>0</v>
      </c>
      <c r="AC1118" s="31">
        <f>ROUND(N1118*1.5%,2)</f>
        <v>131855.35999999999</v>
      </c>
      <c r="AD1118" s="31">
        <v>180000</v>
      </c>
      <c r="AE1118" s="31">
        <v>0</v>
      </c>
      <c r="AF1118" s="345">
        <v>2022</v>
      </c>
      <c r="AG1118" s="345">
        <v>2022</v>
      </c>
      <c r="AH1118" s="346">
        <v>2022</v>
      </c>
      <c r="AT1118" s="20" t="e">
        <f t="shared" si="270"/>
        <v>#N/A</v>
      </c>
      <c r="BZ1118" s="71"/>
    </row>
    <row r="1119" spans="1:78" ht="61.5" x14ac:dyDescent="0.85">
      <c r="A1119" s="20">
        <v>1</v>
      </c>
      <c r="B1119" s="66">
        <f>SUBTOTAL(103,$A$994:A1119)</f>
        <v>121</v>
      </c>
      <c r="C1119" s="24" t="s">
        <v>643</v>
      </c>
      <c r="D1119" s="31">
        <f t="shared" si="272"/>
        <v>4594480</v>
      </c>
      <c r="E1119" s="38">
        <v>0</v>
      </c>
      <c r="F1119" s="38">
        <v>0</v>
      </c>
      <c r="G1119" s="38">
        <v>0</v>
      </c>
      <c r="H1119" s="38">
        <v>0</v>
      </c>
      <c r="I1119" s="38">
        <v>0</v>
      </c>
      <c r="J1119" s="38">
        <v>0</v>
      </c>
      <c r="K1119" s="85">
        <v>0</v>
      </c>
      <c r="L1119" s="38">
        <v>0</v>
      </c>
      <c r="M1119" s="31">
        <v>880</v>
      </c>
      <c r="N1119" s="31">
        <v>4378798.03</v>
      </c>
      <c r="O1119" s="31">
        <v>0</v>
      </c>
      <c r="P1119" s="31">
        <v>0</v>
      </c>
      <c r="Q1119" s="31">
        <v>0</v>
      </c>
      <c r="R1119" s="31">
        <v>0</v>
      </c>
      <c r="S1119" s="31">
        <v>0</v>
      </c>
      <c r="T1119" s="31">
        <v>0</v>
      </c>
      <c r="U1119" s="31">
        <v>0</v>
      </c>
      <c r="V1119" s="31">
        <v>0</v>
      </c>
      <c r="W1119" s="31">
        <v>0</v>
      </c>
      <c r="X1119" s="31">
        <v>0</v>
      </c>
      <c r="Y1119" s="31">
        <v>0</v>
      </c>
      <c r="Z1119" s="31">
        <v>0</v>
      </c>
      <c r="AA1119" s="31">
        <v>0</v>
      </c>
      <c r="AB1119" s="31">
        <v>0</v>
      </c>
      <c r="AC1119" s="31">
        <f>ROUND(N1119*1.5%,2)</f>
        <v>65681.97</v>
      </c>
      <c r="AD1119" s="31">
        <v>150000</v>
      </c>
      <c r="AE1119" s="31">
        <v>0</v>
      </c>
      <c r="AF1119" s="345">
        <v>2022</v>
      </c>
      <c r="AG1119" s="345">
        <v>2022</v>
      </c>
      <c r="AH1119" s="346">
        <v>2022</v>
      </c>
      <c r="AT1119" s="20" t="e">
        <f t="shared" si="270"/>
        <v>#N/A</v>
      </c>
      <c r="BZ1119" s="71"/>
    </row>
    <row r="1120" spans="1:78" ht="61.5" x14ac:dyDescent="0.85">
      <c r="A1120" s="20">
        <v>1</v>
      </c>
      <c r="B1120" s="66">
        <f>SUBTOTAL(103,$A$994:A1120)</f>
        <v>122</v>
      </c>
      <c r="C1120" s="24" t="s">
        <v>642</v>
      </c>
      <c r="D1120" s="31">
        <f t="shared" si="272"/>
        <v>4121700</v>
      </c>
      <c r="E1120" s="38">
        <v>0</v>
      </c>
      <c r="F1120" s="38">
        <v>0</v>
      </c>
      <c r="G1120" s="38">
        <v>0</v>
      </c>
      <c r="H1120" s="38">
        <v>0</v>
      </c>
      <c r="I1120" s="38">
        <v>0</v>
      </c>
      <c r="J1120" s="38">
        <v>0</v>
      </c>
      <c r="K1120" s="85">
        <v>0</v>
      </c>
      <c r="L1120" s="38">
        <v>0</v>
      </c>
      <c r="M1120" s="31">
        <v>825</v>
      </c>
      <c r="N1120" s="31">
        <v>3913004.93</v>
      </c>
      <c r="O1120" s="31">
        <v>0</v>
      </c>
      <c r="P1120" s="31">
        <v>0</v>
      </c>
      <c r="Q1120" s="31">
        <v>0</v>
      </c>
      <c r="R1120" s="31">
        <v>0</v>
      </c>
      <c r="S1120" s="31">
        <v>0</v>
      </c>
      <c r="T1120" s="31">
        <v>0</v>
      </c>
      <c r="U1120" s="31">
        <v>0</v>
      </c>
      <c r="V1120" s="31">
        <v>0</v>
      </c>
      <c r="W1120" s="31">
        <v>0</v>
      </c>
      <c r="X1120" s="31">
        <v>0</v>
      </c>
      <c r="Y1120" s="31">
        <v>0</v>
      </c>
      <c r="Z1120" s="31">
        <v>0</v>
      </c>
      <c r="AA1120" s="31">
        <v>0</v>
      </c>
      <c r="AB1120" s="31">
        <v>0</v>
      </c>
      <c r="AC1120" s="31">
        <f>ROUND(N1120*1.5%,2)</f>
        <v>58695.07</v>
      </c>
      <c r="AD1120" s="31">
        <v>150000</v>
      </c>
      <c r="AE1120" s="31">
        <v>0</v>
      </c>
      <c r="AF1120" s="345">
        <v>2022</v>
      </c>
      <c r="AG1120" s="345">
        <v>2022</v>
      </c>
      <c r="AH1120" s="346">
        <v>2022</v>
      </c>
      <c r="AT1120" s="20" t="e">
        <f t="shared" si="270"/>
        <v>#N/A</v>
      </c>
      <c r="BZ1120" s="71"/>
    </row>
    <row r="1121" spans="1:78" ht="61.5" x14ac:dyDescent="0.85">
      <c r="B1121" s="24" t="s">
        <v>829</v>
      </c>
      <c r="C1121" s="24"/>
      <c r="D1121" s="31">
        <f t="shared" ref="D1121:AE1121" si="273">SUM(D1122:D1123)</f>
        <v>5663822.2999999998</v>
      </c>
      <c r="E1121" s="31">
        <f t="shared" si="273"/>
        <v>0</v>
      </c>
      <c r="F1121" s="31">
        <f t="shared" si="273"/>
        <v>0</v>
      </c>
      <c r="G1121" s="31">
        <f t="shared" si="273"/>
        <v>0</v>
      </c>
      <c r="H1121" s="31">
        <f t="shared" si="273"/>
        <v>0</v>
      </c>
      <c r="I1121" s="31">
        <f t="shared" si="273"/>
        <v>0</v>
      </c>
      <c r="J1121" s="31">
        <f t="shared" si="273"/>
        <v>0</v>
      </c>
      <c r="K1121" s="33">
        <f t="shared" si="273"/>
        <v>0</v>
      </c>
      <c r="L1121" s="31">
        <f t="shared" si="273"/>
        <v>0</v>
      </c>
      <c r="M1121" s="31">
        <f t="shared" si="273"/>
        <v>1121.3</v>
      </c>
      <c r="N1121" s="31">
        <f t="shared" si="273"/>
        <v>5314110.6400000006</v>
      </c>
      <c r="O1121" s="31">
        <f t="shared" si="273"/>
        <v>0</v>
      </c>
      <c r="P1121" s="31">
        <f t="shared" si="273"/>
        <v>0</v>
      </c>
      <c r="Q1121" s="31">
        <f t="shared" si="273"/>
        <v>0</v>
      </c>
      <c r="R1121" s="31">
        <f t="shared" si="273"/>
        <v>0</v>
      </c>
      <c r="S1121" s="31">
        <f t="shared" si="273"/>
        <v>0</v>
      </c>
      <c r="T1121" s="31">
        <f t="shared" si="273"/>
        <v>0</v>
      </c>
      <c r="U1121" s="31">
        <f t="shared" si="273"/>
        <v>0</v>
      </c>
      <c r="V1121" s="31">
        <f t="shared" si="273"/>
        <v>0</v>
      </c>
      <c r="W1121" s="31">
        <f t="shared" si="273"/>
        <v>0</v>
      </c>
      <c r="X1121" s="31">
        <f t="shared" si="273"/>
        <v>0</v>
      </c>
      <c r="Y1121" s="31">
        <f t="shared" si="273"/>
        <v>0</v>
      </c>
      <c r="Z1121" s="31">
        <f t="shared" si="273"/>
        <v>0</v>
      </c>
      <c r="AA1121" s="31">
        <f t="shared" si="273"/>
        <v>0</v>
      </c>
      <c r="AB1121" s="31">
        <f t="shared" si="273"/>
        <v>0</v>
      </c>
      <c r="AC1121" s="31">
        <f t="shared" si="273"/>
        <v>79711.66</v>
      </c>
      <c r="AD1121" s="31">
        <f t="shared" si="273"/>
        <v>270000</v>
      </c>
      <c r="AE1121" s="31">
        <f t="shared" si="273"/>
        <v>0</v>
      </c>
      <c r="AF1121" s="343" t="s">
        <v>764</v>
      </c>
      <c r="AG1121" s="343" t="s">
        <v>764</v>
      </c>
      <c r="AH1121" s="344" t="s">
        <v>764</v>
      </c>
      <c r="AT1121" s="20" t="e">
        <f t="shared" si="270"/>
        <v>#N/A</v>
      </c>
      <c r="BZ1121" s="71">
        <v>9890638.1399999987</v>
      </c>
    </row>
    <row r="1122" spans="1:78" ht="61.5" x14ac:dyDescent="0.85">
      <c r="A1122" s="20">
        <v>1</v>
      </c>
      <c r="B1122" s="66">
        <f>SUBTOTAL(103,$A$994:A1122)</f>
        <v>123</v>
      </c>
      <c r="C1122" s="24" t="s">
        <v>648</v>
      </c>
      <c r="D1122" s="31">
        <f>E1122+F1122+G1122+H1122+I1122+J1122+L1122+N1122+P1122+R1122+T1122+U1122+V1122+W1122+X1122+Y1122+Z1122+AA1122+AB1122+AC1122+AD1122+AE1122</f>
        <v>4229613.5999999996</v>
      </c>
      <c r="E1122" s="38">
        <v>0</v>
      </c>
      <c r="F1122" s="38">
        <v>0</v>
      </c>
      <c r="G1122" s="38">
        <v>0</v>
      </c>
      <c r="H1122" s="38">
        <v>0</v>
      </c>
      <c r="I1122" s="38">
        <v>0</v>
      </c>
      <c r="J1122" s="38">
        <v>0</v>
      </c>
      <c r="K1122" s="85">
        <v>0</v>
      </c>
      <c r="L1122" s="38">
        <v>0</v>
      </c>
      <c r="M1122" s="31">
        <v>846.6</v>
      </c>
      <c r="N1122" s="31">
        <v>4019323.74</v>
      </c>
      <c r="O1122" s="31">
        <v>0</v>
      </c>
      <c r="P1122" s="31">
        <v>0</v>
      </c>
      <c r="Q1122" s="31">
        <v>0</v>
      </c>
      <c r="R1122" s="31">
        <v>0</v>
      </c>
      <c r="S1122" s="31">
        <v>0</v>
      </c>
      <c r="T1122" s="31">
        <v>0</v>
      </c>
      <c r="U1122" s="31">
        <v>0</v>
      </c>
      <c r="V1122" s="31">
        <v>0</v>
      </c>
      <c r="W1122" s="31">
        <v>0</v>
      </c>
      <c r="X1122" s="31">
        <v>0</v>
      </c>
      <c r="Y1122" s="31">
        <v>0</v>
      </c>
      <c r="Z1122" s="31">
        <v>0</v>
      </c>
      <c r="AA1122" s="31">
        <v>0</v>
      </c>
      <c r="AB1122" s="31">
        <v>0</v>
      </c>
      <c r="AC1122" s="31">
        <f>ROUND(N1122*1.5%,2)</f>
        <v>60289.86</v>
      </c>
      <c r="AD1122" s="31">
        <v>150000</v>
      </c>
      <c r="AE1122" s="31">
        <v>0</v>
      </c>
      <c r="AF1122" s="345">
        <v>2022</v>
      </c>
      <c r="AG1122" s="345">
        <v>2022</v>
      </c>
      <c r="AH1122" s="346">
        <v>2022</v>
      </c>
      <c r="AT1122" s="20" t="e">
        <f t="shared" si="270"/>
        <v>#N/A</v>
      </c>
      <c r="BZ1122" s="71"/>
    </row>
    <row r="1123" spans="1:78" ht="61.5" x14ac:dyDescent="0.85">
      <c r="A1123" s="20">
        <v>1</v>
      </c>
      <c r="B1123" s="66">
        <f>SUBTOTAL(103,$A$994:A1123)</f>
        <v>124</v>
      </c>
      <c r="C1123" s="24" t="s">
        <v>646</v>
      </c>
      <c r="D1123" s="31">
        <f>E1123+F1123+G1123+H1123+I1123+J1123+L1123+N1123+P1123+R1123+T1123+U1123+V1123+W1123+X1123+Y1123+Z1123+AA1123+AB1123+AC1123+AD1123+AE1123</f>
        <v>1434208.7</v>
      </c>
      <c r="E1123" s="38">
        <v>0</v>
      </c>
      <c r="F1123" s="38">
        <v>0</v>
      </c>
      <c r="G1123" s="38">
        <v>0</v>
      </c>
      <c r="H1123" s="38">
        <v>0</v>
      </c>
      <c r="I1123" s="38">
        <v>0</v>
      </c>
      <c r="J1123" s="38">
        <v>0</v>
      </c>
      <c r="K1123" s="85">
        <v>0</v>
      </c>
      <c r="L1123" s="38">
        <v>0</v>
      </c>
      <c r="M1123" s="31">
        <v>274.7</v>
      </c>
      <c r="N1123" s="31">
        <v>1294786.8999999999</v>
      </c>
      <c r="O1123" s="31">
        <v>0</v>
      </c>
      <c r="P1123" s="31">
        <v>0</v>
      </c>
      <c r="Q1123" s="31">
        <v>0</v>
      </c>
      <c r="R1123" s="31">
        <v>0</v>
      </c>
      <c r="S1123" s="31">
        <v>0</v>
      </c>
      <c r="T1123" s="31">
        <v>0</v>
      </c>
      <c r="U1123" s="31">
        <v>0</v>
      </c>
      <c r="V1123" s="31">
        <v>0</v>
      </c>
      <c r="W1123" s="31">
        <v>0</v>
      </c>
      <c r="X1123" s="31">
        <v>0</v>
      </c>
      <c r="Y1123" s="31">
        <v>0</v>
      </c>
      <c r="Z1123" s="31">
        <v>0</v>
      </c>
      <c r="AA1123" s="31">
        <v>0</v>
      </c>
      <c r="AB1123" s="31">
        <v>0</v>
      </c>
      <c r="AC1123" s="31">
        <f>ROUND(N1123*1.5%,2)</f>
        <v>19421.8</v>
      </c>
      <c r="AD1123" s="31">
        <v>120000</v>
      </c>
      <c r="AE1123" s="31">
        <v>0</v>
      </c>
      <c r="AF1123" s="345">
        <v>2022</v>
      </c>
      <c r="AG1123" s="345">
        <v>2022</v>
      </c>
      <c r="AH1123" s="346">
        <v>2022</v>
      </c>
      <c r="AT1123" s="20" t="e">
        <f t="shared" si="270"/>
        <v>#N/A</v>
      </c>
      <c r="BZ1123" s="71"/>
    </row>
    <row r="1124" spans="1:78" ht="61.5" x14ac:dyDescent="0.85">
      <c r="B1124" s="24" t="s">
        <v>830</v>
      </c>
      <c r="C1124" s="24"/>
      <c r="D1124" s="31">
        <f>D1125+D1126</f>
        <v>11422752.699999999</v>
      </c>
      <c r="E1124" s="31">
        <f t="shared" ref="E1124:AE1124" si="274">E1125+E1126</f>
        <v>0</v>
      </c>
      <c r="F1124" s="31">
        <f t="shared" si="274"/>
        <v>0</v>
      </c>
      <c r="G1124" s="31">
        <f t="shared" si="274"/>
        <v>3881891.1399999997</v>
      </c>
      <c r="H1124" s="31">
        <f t="shared" si="274"/>
        <v>0</v>
      </c>
      <c r="I1124" s="31">
        <f t="shared" si="274"/>
        <v>0</v>
      </c>
      <c r="J1124" s="31">
        <f t="shared" si="274"/>
        <v>0</v>
      </c>
      <c r="K1124" s="33">
        <f t="shared" si="274"/>
        <v>0</v>
      </c>
      <c r="L1124" s="31">
        <f t="shared" si="274"/>
        <v>0</v>
      </c>
      <c r="M1124" s="31">
        <f t="shared" si="274"/>
        <v>0</v>
      </c>
      <c r="N1124" s="31">
        <f t="shared" si="274"/>
        <v>0</v>
      </c>
      <c r="O1124" s="31">
        <f t="shared" si="274"/>
        <v>0</v>
      </c>
      <c r="P1124" s="31">
        <f t="shared" si="274"/>
        <v>0</v>
      </c>
      <c r="Q1124" s="31">
        <f t="shared" si="274"/>
        <v>782.6</v>
      </c>
      <c r="R1124" s="31">
        <f t="shared" si="274"/>
        <v>2719809.65</v>
      </c>
      <c r="S1124" s="31">
        <f t="shared" si="274"/>
        <v>144</v>
      </c>
      <c r="T1124" s="31">
        <f t="shared" si="274"/>
        <v>4061109.75</v>
      </c>
      <c r="U1124" s="31">
        <f t="shared" si="274"/>
        <v>0</v>
      </c>
      <c r="V1124" s="31">
        <f t="shared" si="274"/>
        <v>0</v>
      </c>
      <c r="W1124" s="31">
        <f t="shared" si="274"/>
        <v>0</v>
      </c>
      <c r="X1124" s="31">
        <f t="shared" si="274"/>
        <v>0</v>
      </c>
      <c r="Y1124" s="31">
        <f t="shared" si="274"/>
        <v>0</v>
      </c>
      <c r="Z1124" s="31">
        <f t="shared" si="274"/>
        <v>0</v>
      </c>
      <c r="AA1124" s="31">
        <f t="shared" si="274"/>
        <v>0</v>
      </c>
      <c r="AB1124" s="31">
        <f t="shared" si="274"/>
        <v>0</v>
      </c>
      <c r="AC1124" s="31">
        <f t="shared" si="274"/>
        <v>159942.16</v>
      </c>
      <c r="AD1124" s="31">
        <f t="shared" si="274"/>
        <v>600000</v>
      </c>
      <c r="AE1124" s="31">
        <f t="shared" si="274"/>
        <v>0</v>
      </c>
      <c r="AF1124" s="343" t="s">
        <v>764</v>
      </c>
      <c r="AG1124" s="343" t="s">
        <v>764</v>
      </c>
      <c r="AH1124" s="344" t="s">
        <v>764</v>
      </c>
      <c r="AT1124" s="20" t="e">
        <f t="shared" si="270"/>
        <v>#N/A</v>
      </c>
      <c r="BZ1124" s="71">
        <v>11422752.699999999</v>
      </c>
    </row>
    <row r="1125" spans="1:78" ht="61.5" x14ac:dyDescent="0.85">
      <c r="A1125" s="20">
        <v>1</v>
      </c>
      <c r="B1125" s="66">
        <f>SUBTOTAL(103,$A$994:A1125)</f>
        <v>125</v>
      </c>
      <c r="C1125" s="24" t="s">
        <v>652</v>
      </c>
      <c r="D1125" s="31">
        <f>E1125+F1125+G1125+H1125+I1125+J1125+L1125+N1125+P1125+R1125+T1125+U1125+V1125+W1125+X1125+Y1125+Z1125+AA1125+AB1125+AC1125+AD1125+AE1125</f>
        <v>4240119.51</v>
      </c>
      <c r="E1125" s="38">
        <v>0</v>
      </c>
      <c r="F1125" s="38">
        <v>0</v>
      </c>
      <c r="G1125" s="31">
        <v>3881891.1399999997</v>
      </c>
      <c r="H1125" s="38">
        <v>0</v>
      </c>
      <c r="I1125" s="38">
        <v>0</v>
      </c>
      <c r="J1125" s="38">
        <v>0</v>
      </c>
      <c r="K1125" s="85">
        <v>0</v>
      </c>
      <c r="L1125" s="38">
        <v>0</v>
      </c>
      <c r="M1125" s="31">
        <v>0</v>
      </c>
      <c r="N1125" s="31">
        <v>0</v>
      </c>
      <c r="O1125" s="31">
        <v>0</v>
      </c>
      <c r="P1125" s="31">
        <v>0</v>
      </c>
      <c r="Q1125" s="31">
        <v>0</v>
      </c>
      <c r="R1125" s="31">
        <v>0</v>
      </c>
      <c r="S1125" s="31">
        <v>0</v>
      </c>
      <c r="T1125" s="31">
        <v>0</v>
      </c>
      <c r="U1125" s="31">
        <v>0</v>
      </c>
      <c r="V1125" s="31">
        <v>0</v>
      </c>
      <c r="W1125" s="31">
        <v>0</v>
      </c>
      <c r="X1125" s="31">
        <v>0</v>
      </c>
      <c r="Y1125" s="31">
        <v>0</v>
      </c>
      <c r="Z1125" s="31">
        <v>0</v>
      </c>
      <c r="AA1125" s="31">
        <v>0</v>
      </c>
      <c r="AB1125" s="31">
        <v>0</v>
      </c>
      <c r="AC1125" s="31">
        <f>ROUND((E1125+F1125+G1125+H1125+I1125+J1125)*1.5%,2)</f>
        <v>58228.37</v>
      </c>
      <c r="AD1125" s="31">
        <v>300000</v>
      </c>
      <c r="AE1125" s="31">
        <v>0</v>
      </c>
      <c r="AF1125" s="345">
        <v>2022</v>
      </c>
      <c r="AG1125" s="345">
        <v>2022</v>
      </c>
      <c r="AH1125" s="346">
        <v>2022</v>
      </c>
      <c r="AT1125" s="20" t="e">
        <f t="shared" si="270"/>
        <v>#N/A</v>
      </c>
      <c r="BZ1125" s="71"/>
    </row>
    <row r="1126" spans="1:78" ht="61.5" x14ac:dyDescent="0.85">
      <c r="A1126" s="20">
        <v>1</v>
      </c>
      <c r="B1126" s="66">
        <f>SUBTOTAL(103,$A$994:A1126)</f>
        <v>126</v>
      </c>
      <c r="C1126" s="24" t="s">
        <v>656</v>
      </c>
      <c r="D1126" s="31">
        <f>E1126+F1126+G1126+H1126+I1126+J1126+L1126+N1126+P1126+R1126+T1126+U1126+V1126+W1126+X1126+Y1126+Z1126+AA1126+AB1126+AC1126+AD1126+AE1126</f>
        <v>7182633.1900000004</v>
      </c>
      <c r="E1126" s="38">
        <v>0</v>
      </c>
      <c r="F1126" s="38">
        <v>0</v>
      </c>
      <c r="G1126" s="39">
        <v>0</v>
      </c>
      <c r="H1126" s="38">
        <v>0</v>
      </c>
      <c r="I1126" s="38">
        <v>0</v>
      </c>
      <c r="J1126" s="38">
        <v>0</v>
      </c>
      <c r="K1126" s="85">
        <v>0</v>
      </c>
      <c r="L1126" s="38">
        <v>0</v>
      </c>
      <c r="M1126" s="31">
        <v>0</v>
      </c>
      <c r="N1126" s="31">
        <v>0</v>
      </c>
      <c r="O1126" s="31">
        <v>0</v>
      </c>
      <c r="P1126" s="31">
        <v>0</v>
      </c>
      <c r="Q1126" s="31">
        <v>782.6</v>
      </c>
      <c r="R1126" s="31">
        <v>2719809.65</v>
      </c>
      <c r="S1126" s="31">
        <v>144</v>
      </c>
      <c r="T1126" s="31">
        <v>4061109.75</v>
      </c>
      <c r="U1126" s="31">
        <v>0</v>
      </c>
      <c r="V1126" s="31">
        <v>0</v>
      </c>
      <c r="W1126" s="31">
        <v>0</v>
      </c>
      <c r="X1126" s="31">
        <v>0</v>
      </c>
      <c r="Y1126" s="31">
        <v>0</v>
      </c>
      <c r="Z1126" s="31">
        <v>0</v>
      </c>
      <c r="AA1126" s="31">
        <v>0</v>
      </c>
      <c r="AB1126" s="31">
        <v>0</v>
      </c>
      <c r="AC1126" s="31">
        <f>ROUND((R1126+T1126)*1.5%,2)</f>
        <v>101713.79</v>
      </c>
      <c r="AD1126" s="31">
        <v>300000</v>
      </c>
      <c r="AE1126" s="31">
        <v>0</v>
      </c>
      <c r="AF1126" s="345">
        <v>2022</v>
      </c>
      <c r="AG1126" s="345">
        <v>2022</v>
      </c>
      <c r="AH1126" s="346">
        <v>2022</v>
      </c>
      <c r="AT1126" s="20" t="e">
        <f t="shared" si="270"/>
        <v>#N/A</v>
      </c>
      <c r="BZ1126" s="71"/>
    </row>
    <row r="1127" spans="1:78" ht="61.5" x14ac:dyDescent="0.85">
      <c r="B1127" s="24" t="s">
        <v>831</v>
      </c>
      <c r="C1127" s="24"/>
      <c r="D1127" s="31">
        <f>D1128+D1129</f>
        <v>8756823</v>
      </c>
      <c r="E1127" s="31">
        <f t="shared" ref="E1127:AE1127" si="275">E1128+E1129</f>
        <v>0</v>
      </c>
      <c r="F1127" s="31">
        <f t="shared" si="275"/>
        <v>0</v>
      </c>
      <c r="G1127" s="31">
        <f t="shared" si="275"/>
        <v>0</v>
      </c>
      <c r="H1127" s="31">
        <f t="shared" si="275"/>
        <v>0</v>
      </c>
      <c r="I1127" s="31">
        <f t="shared" si="275"/>
        <v>0</v>
      </c>
      <c r="J1127" s="31">
        <f t="shared" si="275"/>
        <v>0</v>
      </c>
      <c r="K1127" s="33">
        <f t="shared" si="275"/>
        <v>0</v>
      </c>
      <c r="L1127" s="31">
        <f t="shared" si="275"/>
        <v>0</v>
      </c>
      <c r="M1127" s="31">
        <f t="shared" si="275"/>
        <v>1713</v>
      </c>
      <c r="N1127" s="31">
        <f t="shared" si="275"/>
        <v>8331845.3199999994</v>
      </c>
      <c r="O1127" s="31">
        <f t="shared" si="275"/>
        <v>0</v>
      </c>
      <c r="P1127" s="31">
        <f t="shared" si="275"/>
        <v>0</v>
      </c>
      <c r="Q1127" s="31">
        <f t="shared" si="275"/>
        <v>0</v>
      </c>
      <c r="R1127" s="31">
        <f t="shared" si="275"/>
        <v>0</v>
      </c>
      <c r="S1127" s="31">
        <f t="shared" si="275"/>
        <v>0</v>
      </c>
      <c r="T1127" s="31">
        <f t="shared" si="275"/>
        <v>0</v>
      </c>
      <c r="U1127" s="31">
        <f t="shared" si="275"/>
        <v>0</v>
      </c>
      <c r="V1127" s="31">
        <f t="shared" si="275"/>
        <v>0</v>
      </c>
      <c r="W1127" s="31">
        <f t="shared" si="275"/>
        <v>0</v>
      </c>
      <c r="X1127" s="31">
        <f t="shared" si="275"/>
        <v>0</v>
      </c>
      <c r="Y1127" s="31">
        <f t="shared" si="275"/>
        <v>0</v>
      </c>
      <c r="Z1127" s="31">
        <f t="shared" si="275"/>
        <v>0</v>
      </c>
      <c r="AA1127" s="31">
        <f t="shared" si="275"/>
        <v>0</v>
      </c>
      <c r="AB1127" s="31">
        <f t="shared" si="275"/>
        <v>0</v>
      </c>
      <c r="AC1127" s="31">
        <f t="shared" si="275"/>
        <v>124977.68</v>
      </c>
      <c r="AD1127" s="31">
        <f t="shared" si="275"/>
        <v>300000</v>
      </c>
      <c r="AE1127" s="31">
        <f t="shared" si="275"/>
        <v>0</v>
      </c>
      <c r="AF1127" s="343" t="s">
        <v>764</v>
      </c>
      <c r="AG1127" s="343" t="s">
        <v>764</v>
      </c>
      <c r="AH1127" s="344" t="s">
        <v>764</v>
      </c>
      <c r="AT1127" s="20" t="e">
        <f t="shared" si="270"/>
        <v>#N/A</v>
      </c>
      <c r="BZ1127" s="71">
        <v>8756823</v>
      </c>
    </row>
    <row r="1128" spans="1:78" ht="61.5" x14ac:dyDescent="0.85">
      <c r="A1128" s="20">
        <v>1</v>
      </c>
      <c r="B1128" s="66">
        <f>SUBTOTAL(103,$A$994:A1128)</f>
        <v>127</v>
      </c>
      <c r="C1128" s="24" t="s">
        <v>661</v>
      </c>
      <c r="D1128" s="31">
        <f>E1128+F1128+G1128+H1128+I1128+J1128+L1128+N1128+P1128+R1128+T1128+U1128+V1128+W1128+X1128+Y1128+Z1128+AA1128+AB1128+AC1128+AD1128+AE1128</f>
        <v>4146680</v>
      </c>
      <c r="E1128" s="38">
        <v>0</v>
      </c>
      <c r="F1128" s="38">
        <v>0</v>
      </c>
      <c r="G1128" s="38">
        <v>0</v>
      </c>
      <c r="H1128" s="38">
        <v>0</v>
      </c>
      <c r="I1128" s="38">
        <v>0</v>
      </c>
      <c r="J1128" s="38">
        <v>0</v>
      </c>
      <c r="K1128" s="85">
        <v>0</v>
      </c>
      <c r="L1128" s="38">
        <v>0</v>
      </c>
      <c r="M1128" s="31">
        <v>830</v>
      </c>
      <c r="N1128" s="31">
        <v>3937615.76</v>
      </c>
      <c r="O1128" s="31">
        <v>0</v>
      </c>
      <c r="P1128" s="31">
        <v>0</v>
      </c>
      <c r="Q1128" s="31">
        <v>0</v>
      </c>
      <c r="R1128" s="31">
        <v>0</v>
      </c>
      <c r="S1128" s="31">
        <v>0</v>
      </c>
      <c r="T1128" s="31">
        <v>0</v>
      </c>
      <c r="U1128" s="31">
        <v>0</v>
      </c>
      <c r="V1128" s="31">
        <v>0</v>
      </c>
      <c r="W1128" s="31">
        <v>0</v>
      </c>
      <c r="X1128" s="31">
        <v>0</v>
      </c>
      <c r="Y1128" s="31">
        <v>0</v>
      </c>
      <c r="Z1128" s="31">
        <v>0</v>
      </c>
      <c r="AA1128" s="31">
        <v>0</v>
      </c>
      <c r="AB1128" s="31">
        <v>0</v>
      </c>
      <c r="AC1128" s="31">
        <f>ROUND(N1128*1.5%,2)</f>
        <v>59064.24</v>
      </c>
      <c r="AD1128" s="31">
        <v>150000</v>
      </c>
      <c r="AE1128" s="31">
        <v>0</v>
      </c>
      <c r="AF1128" s="345">
        <v>2022</v>
      </c>
      <c r="AG1128" s="345">
        <v>2022</v>
      </c>
      <c r="AH1128" s="346">
        <v>2022</v>
      </c>
      <c r="AT1128" s="20" t="e">
        <f t="shared" si="270"/>
        <v>#N/A</v>
      </c>
      <c r="BZ1128" s="71"/>
    </row>
    <row r="1129" spans="1:78" ht="61.5" x14ac:dyDescent="0.85">
      <c r="A1129" s="20">
        <v>1</v>
      </c>
      <c r="B1129" s="66">
        <f>SUBTOTAL(103,$A$994:A1129)</f>
        <v>128</v>
      </c>
      <c r="C1129" s="24" t="s">
        <v>664</v>
      </c>
      <c r="D1129" s="31">
        <f>E1129+F1129+G1129+H1129+I1129+J1129+L1129+N1129+P1129+R1129+T1129+U1129+V1129+W1129+X1129+Y1129+Z1129+AA1129+AB1129+AC1129+AD1129+AE1129</f>
        <v>4610143</v>
      </c>
      <c r="E1129" s="36">
        <v>0</v>
      </c>
      <c r="F1129" s="36">
        <v>0</v>
      </c>
      <c r="G1129" s="36">
        <v>0</v>
      </c>
      <c r="H1129" s="36">
        <v>0</v>
      </c>
      <c r="I1129" s="36">
        <v>0</v>
      </c>
      <c r="J1129" s="36">
        <v>0</v>
      </c>
      <c r="K1129" s="33">
        <v>0</v>
      </c>
      <c r="L1129" s="31">
        <v>0</v>
      </c>
      <c r="M1129" s="31">
        <v>883</v>
      </c>
      <c r="N1129" s="31">
        <v>4394229.5599999996</v>
      </c>
      <c r="O1129" s="31">
        <v>0</v>
      </c>
      <c r="P1129" s="31">
        <v>0</v>
      </c>
      <c r="Q1129" s="31">
        <v>0</v>
      </c>
      <c r="R1129" s="31">
        <v>0</v>
      </c>
      <c r="S1129" s="31">
        <v>0</v>
      </c>
      <c r="T1129" s="31">
        <v>0</v>
      </c>
      <c r="U1129" s="31">
        <v>0</v>
      </c>
      <c r="V1129" s="31">
        <v>0</v>
      </c>
      <c r="W1129" s="31">
        <v>0</v>
      </c>
      <c r="X1129" s="31">
        <v>0</v>
      </c>
      <c r="Y1129" s="31">
        <v>0</v>
      </c>
      <c r="Z1129" s="31">
        <v>0</v>
      </c>
      <c r="AA1129" s="31">
        <v>0</v>
      </c>
      <c r="AB1129" s="31">
        <v>0</v>
      </c>
      <c r="AC1129" s="31">
        <f>ROUND(N1129*1.5%,2)</f>
        <v>65913.440000000002</v>
      </c>
      <c r="AD1129" s="31">
        <v>150000</v>
      </c>
      <c r="AE1129" s="31">
        <v>0</v>
      </c>
      <c r="AF1129" s="345">
        <v>2022</v>
      </c>
      <c r="AG1129" s="345">
        <v>2022</v>
      </c>
      <c r="AH1129" s="346">
        <v>2022</v>
      </c>
      <c r="AT1129" s="20" t="e">
        <f t="shared" si="270"/>
        <v>#N/A</v>
      </c>
      <c r="BZ1129" s="71"/>
    </row>
    <row r="1130" spans="1:78" ht="61.5" x14ac:dyDescent="0.85">
      <c r="B1130" s="24" t="s">
        <v>832</v>
      </c>
      <c r="C1130" s="114"/>
      <c r="D1130" s="31">
        <f>D1131</f>
        <v>4369866.08</v>
      </c>
      <c r="E1130" s="31">
        <f t="shared" ref="E1130:AE1130" si="276">E1131</f>
        <v>0</v>
      </c>
      <c r="F1130" s="31">
        <f t="shared" si="276"/>
        <v>0</v>
      </c>
      <c r="G1130" s="31">
        <f t="shared" si="276"/>
        <v>0</v>
      </c>
      <c r="H1130" s="31">
        <f t="shared" si="276"/>
        <v>0</v>
      </c>
      <c r="I1130" s="31">
        <f t="shared" si="276"/>
        <v>0</v>
      </c>
      <c r="J1130" s="31">
        <f t="shared" si="276"/>
        <v>0</v>
      </c>
      <c r="K1130" s="33">
        <f t="shared" si="276"/>
        <v>0</v>
      </c>
      <c r="L1130" s="31">
        <f t="shared" si="276"/>
        <v>0</v>
      </c>
      <c r="M1130" s="31">
        <f t="shared" si="276"/>
        <v>1203</v>
      </c>
      <c r="N1130" s="31">
        <f t="shared" si="276"/>
        <v>4127946.88</v>
      </c>
      <c r="O1130" s="31">
        <f t="shared" si="276"/>
        <v>0</v>
      </c>
      <c r="P1130" s="31">
        <f t="shared" si="276"/>
        <v>0</v>
      </c>
      <c r="Q1130" s="31">
        <f t="shared" si="276"/>
        <v>0</v>
      </c>
      <c r="R1130" s="31">
        <f t="shared" si="276"/>
        <v>0</v>
      </c>
      <c r="S1130" s="31">
        <f t="shared" si="276"/>
        <v>0</v>
      </c>
      <c r="T1130" s="31">
        <f t="shared" si="276"/>
        <v>0</v>
      </c>
      <c r="U1130" s="31">
        <f t="shared" si="276"/>
        <v>0</v>
      </c>
      <c r="V1130" s="31">
        <f t="shared" si="276"/>
        <v>0</v>
      </c>
      <c r="W1130" s="31">
        <f t="shared" si="276"/>
        <v>0</v>
      </c>
      <c r="X1130" s="31">
        <f t="shared" si="276"/>
        <v>0</v>
      </c>
      <c r="Y1130" s="31">
        <f t="shared" si="276"/>
        <v>0</v>
      </c>
      <c r="Z1130" s="31">
        <f t="shared" si="276"/>
        <v>0</v>
      </c>
      <c r="AA1130" s="31">
        <f t="shared" si="276"/>
        <v>0</v>
      </c>
      <c r="AB1130" s="31">
        <f t="shared" si="276"/>
        <v>0</v>
      </c>
      <c r="AC1130" s="31">
        <f t="shared" si="276"/>
        <v>61919.199999999997</v>
      </c>
      <c r="AD1130" s="31">
        <f t="shared" si="276"/>
        <v>180000</v>
      </c>
      <c r="AE1130" s="31">
        <f t="shared" si="276"/>
        <v>0</v>
      </c>
      <c r="AF1130" s="343" t="s">
        <v>764</v>
      </c>
      <c r="AG1130" s="343" t="s">
        <v>764</v>
      </c>
      <c r="AH1130" s="344" t="s">
        <v>764</v>
      </c>
      <c r="AT1130" s="20" t="e">
        <f t="shared" si="270"/>
        <v>#N/A</v>
      </c>
      <c r="BZ1130" s="71">
        <v>4369866.08</v>
      </c>
    </row>
    <row r="1131" spans="1:78" ht="61.5" x14ac:dyDescent="0.85">
      <c r="A1131" s="20">
        <v>1</v>
      </c>
      <c r="B1131" s="66">
        <f>SUBTOTAL(103,$A$994:A1131)</f>
        <v>129</v>
      </c>
      <c r="C1131" s="156" t="s">
        <v>685</v>
      </c>
      <c r="D1131" s="31">
        <f>E1131+F1131+G1131+H1131+I1131+J1131+L1131+N1131+P1131+R1131+T1131+U1131+V1131+W1131+X1131+Y1131+Z1131+AA1131+AB1131+AC1131+AD1131+AE1131</f>
        <v>4369866.08</v>
      </c>
      <c r="E1131" s="31">
        <v>0</v>
      </c>
      <c r="F1131" s="31">
        <v>0</v>
      </c>
      <c r="G1131" s="31">
        <v>0</v>
      </c>
      <c r="H1131" s="31">
        <v>0</v>
      </c>
      <c r="I1131" s="31">
        <v>0</v>
      </c>
      <c r="J1131" s="31">
        <v>0</v>
      </c>
      <c r="K1131" s="33">
        <v>0</v>
      </c>
      <c r="L1131" s="31">
        <v>0</v>
      </c>
      <c r="M1131" s="31">
        <v>1203</v>
      </c>
      <c r="N1131" s="31">
        <v>4127946.88</v>
      </c>
      <c r="O1131" s="31">
        <v>0</v>
      </c>
      <c r="P1131" s="31">
        <v>0</v>
      </c>
      <c r="Q1131" s="31">
        <v>0</v>
      </c>
      <c r="R1131" s="31">
        <v>0</v>
      </c>
      <c r="S1131" s="31">
        <v>0</v>
      </c>
      <c r="T1131" s="31">
        <v>0</v>
      </c>
      <c r="U1131" s="31">
        <v>0</v>
      </c>
      <c r="V1131" s="31">
        <v>0</v>
      </c>
      <c r="W1131" s="31">
        <v>0</v>
      </c>
      <c r="X1131" s="31">
        <v>0</v>
      </c>
      <c r="Y1131" s="31">
        <v>0</v>
      </c>
      <c r="Z1131" s="31">
        <v>0</v>
      </c>
      <c r="AA1131" s="31">
        <v>0</v>
      </c>
      <c r="AB1131" s="31">
        <v>0</v>
      </c>
      <c r="AC1131" s="31">
        <f>ROUND(N1131*1.5%,2)</f>
        <v>61919.199999999997</v>
      </c>
      <c r="AD1131" s="31">
        <v>180000</v>
      </c>
      <c r="AE1131" s="31">
        <v>0</v>
      </c>
      <c r="AF1131" s="345">
        <v>2022</v>
      </c>
      <c r="AG1131" s="345">
        <v>2022</v>
      </c>
      <c r="AH1131" s="346">
        <v>2022</v>
      </c>
      <c r="AT1131" s="20" t="e">
        <f t="shared" si="270"/>
        <v>#N/A</v>
      </c>
      <c r="BZ1131" s="71"/>
    </row>
    <row r="1132" spans="1:78" ht="61.5" x14ac:dyDescent="0.85">
      <c r="B1132" s="24" t="s">
        <v>833</v>
      </c>
      <c r="C1132" s="24"/>
      <c r="D1132" s="31">
        <f>D1133</f>
        <v>2936950.21</v>
      </c>
      <c r="E1132" s="31">
        <f t="shared" ref="E1132:AE1132" si="277">E1133</f>
        <v>0</v>
      </c>
      <c r="F1132" s="31">
        <f t="shared" si="277"/>
        <v>0</v>
      </c>
      <c r="G1132" s="31">
        <f t="shared" si="277"/>
        <v>0</v>
      </c>
      <c r="H1132" s="31">
        <f t="shared" si="277"/>
        <v>0</v>
      </c>
      <c r="I1132" s="31">
        <f t="shared" si="277"/>
        <v>0</v>
      </c>
      <c r="J1132" s="31">
        <f t="shared" si="277"/>
        <v>0</v>
      </c>
      <c r="K1132" s="33">
        <f t="shared" si="277"/>
        <v>0</v>
      </c>
      <c r="L1132" s="31">
        <f t="shared" si="277"/>
        <v>0</v>
      </c>
      <c r="M1132" s="31">
        <f t="shared" si="277"/>
        <v>0</v>
      </c>
      <c r="N1132" s="31">
        <f t="shared" si="277"/>
        <v>0</v>
      </c>
      <c r="O1132" s="31">
        <f t="shared" si="277"/>
        <v>0</v>
      </c>
      <c r="P1132" s="31">
        <f t="shared" si="277"/>
        <v>0</v>
      </c>
      <c r="Q1132" s="31">
        <f t="shared" si="277"/>
        <v>787</v>
      </c>
      <c r="R1132" s="31">
        <f t="shared" si="277"/>
        <v>2765468.19</v>
      </c>
      <c r="S1132" s="31">
        <f t="shared" si="277"/>
        <v>0</v>
      </c>
      <c r="T1132" s="31">
        <f t="shared" si="277"/>
        <v>0</v>
      </c>
      <c r="U1132" s="31">
        <f t="shared" si="277"/>
        <v>0</v>
      </c>
      <c r="V1132" s="31">
        <f t="shared" si="277"/>
        <v>0</v>
      </c>
      <c r="W1132" s="31">
        <f t="shared" si="277"/>
        <v>0</v>
      </c>
      <c r="X1132" s="31">
        <f t="shared" si="277"/>
        <v>0</v>
      </c>
      <c r="Y1132" s="31">
        <f t="shared" si="277"/>
        <v>0</v>
      </c>
      <c r="Z1132" s="31">
        <f t="shared" si="277"/>
        <v>0</v>
      </c>
      <c r="AA1132" s="31">
        <f t="shared" si="277"/>
        <v>0</v>
      </c>
      <c r="AB1132" s="31">
        <f t="shared" si="277"/>
        <v>0</v>
      </c>
      <c r="AC1132" s="31">
        <f t="shared" si="277"/>
        <v>41482.019999999997</v>
      </c>
      <c r="AD1132" s="31">
        <f t="shared" si="277"/>
        <v>130000</v>
      </c>
      <c r="AE1132" s="31">
        <f t="shared" si="277"/>
        <v>0</v>
      </c>
      <c r="AF1132" s="343" t="s">
        <v>764</v>
      </c>
      <c r="AG1132" s="343" t="s">
        <v>764</v>
      </c>
      <c r="AH1132" s="344" t="s">
        <v>764</v>
      </c>
      <c r="AT1132" s="20" t="e">
        <f t="shared" si="270"/>
        <v>#N/A</v>
      </c>
      <c r="BZ1132" s="71">
        <v>2936950.21</v>
      </c>
    </row>
    <row r="1133" spans="1:78" ht="61.5" x14ac:dyDescent="0.85">
      <c r="A1133" s="20">
        <v>1</v>
      </c>
      <c r="B1133" s="66">
        <f>SUBTOTAL(103,$A$994:A1133)</f>
        <v>130</v>
      </c>
      <c r="C1133" s="156" t="s">
        <v>700</v>
      </c>
      <c r="D1133" s="31">
        <f>E1133+F1133+G1133+H1133+I1133+J1133+L1133+N1133+P1133+R1133+T1133+U1133+V1133+W1133+X1133+Y1133+Z1133+AA1133+AB1133+AC1133+AD1133+AE1133</f>
        <v>2936950.21</v>
      </c>
      <c r="E1133" s="31">
        <v>0</v>
      </c>
      <c r="F1133" s="31">
        <v>0</v>
      </c>
      <c r="G1133" s="31">
        <v>0</v>
      </c>
      <c r="H1133" s="31">
        <v>0</v>
      </c>
      <c r="I1133" s="31">
        <v>0</v>
      </c>
      <c r="J1133" s="31">
        <v>0</v>
      </c>
      <c r="K1133" s="33">
        <v>0</v>
      </c>
      <c r="L1133" s="31">
        <v>0</v>
      </c>
      <c r="M1133" s="31">
        <v>0</v>
      </c>
      <c r="N1133" s="31">
        <v>0</v>
      </c>
      <c r="O1133" s="31">
        <v>0</v>
      </c>
      <c r="P1133" s="31">
        <v>0</v>
      </c>
      <c r="Q1133" s="31">
        <v>787</v>
      </c>
      <c r="R1133" s="31">
        <v>2765468.19</v>
      </c>
      <c r="S1133" s="31">
        <v>0</v>
      </c>
      <c r="T1133" s="31">
        <v>0</v>
      </c>
      <c r="U1133" s="31">
        <v>0</v>
      </c>
      <c r="V1133" s="31">
        <v>0</v>
      </c>
      <c r="W1133" s="31">
        <v>0</v>
      </c>
      <c r="X1133" s="31">
        <v>0</v>
      </c>
      <c r="Y1133" s="31">
        <v>0</v>
      </c>
      <c r="Z1133" s="31">
        <v>0</v>
      </c>
      <c r="AA1133" s="31">
        <v>0</v>
      </c>
      <c r="AB1133" s="31">
        <v>0</v>
      </c>
      <c r="AC1133" s="31">
        <f>ROUND(R1133*1.5%,2)</f>
        <v>41482.019999999997</v>
      </c>
      <c r="AD1133" s="31">
        <v>130000</v>
      </c>
      <c r="AE1133" s="31">
        <v>0</v>
      </c>
      <c r="AF1133" s="345">
        <v>2022</v>
      </c>
      <c r="AG1133" s="345">
        <v>2022</v>
      </c>
      <c r="AH1133" s="346">
        <v>2022</v>
      </c>
      <c r="AT1133" s="20" t="e">
        <f t="shared" si="270"/>
        <v>#N/A</v>
      </c>
      <c r="BZ1133" s="71"/>
    </row>
    <row r="1134" spans="1:78" ht="61.5" x14ac:dyDescent="0.85">
      <c r="B1134" s="24" t="s">
        <v>834</v>
      </c>
      <c r="C1134" s="24"/>
      <c r="D1134" s="31">
        <f>D1135+D1136</f>
        <v>2773728.46</v>
      </c>
      <c r="E1134" s="31">
        <f t="shared" ref="E1134:AE1134" si="278">E1135+E1136</f>
        <v>0</v>
      </c>
      <c r="F1134" s="31">
        <f t="shared" si="278"/>
        <v>0</v>
      </c>
      <c r="G1134" s="31">
        <f t="shared" si="278"/>
        <v>0</v>
      </c>
      <c r="H1134" s="31">
        <f t="shared" si="278"/>
        <v>0</v>
      </c>
      <c r="I1134" s="31">
        <f t="shared" si="278"/>
        <v>191760.14</v>
      </c>
      <c r="J1134" s="31">
        <f t="shared" si="278"/>
        <v>0</v>
      </c>
      <c r="K1134" s="33">
        <f t="shared" si="278"/>
        <v>0</v>
      </c>
      <c r="L1134" s="31">
        <f t="shared" si="278"/>
        <v>0</v>
      </c>
      <c r="M1134" s="31">
        <f t="shared" si="278"/>
        <v>628</v>
      </c>
      <c r="N1134" s="31">
        <f t="shared" si="278"/>
        <v>2353785.14</v>
      </c>
      <c r="O1134" s="31">
        <f t="shared" si="278"/>
        <v>0</v>
      </c>
      <c r="P1134" s="31">
        <f t="shared" si="278"/>
        <v>0</v>
      </c>
      <c r="Q1134" s="31">
        <f t="shared" si="278"/>
        <v>0</v>
      </c>
      <c r="R1134" s="31">
        <f t="shared" si="278"/>
        <v>0</v>
      </c>
      <c r="S1134" s="31">
        <f t="shared" si="278"/>
        <v>0</v>
      </c>
      <c r="T1134" s="31">
        <f t="shared" si="278"/>
        <v>0</v>
      </c>
      <c r="U1134" s="31">
        <f t="shared" si="278"/>
        <v>0</v>
      </c>
      <c r="V1134" s="31">
        <f t="shared" si="278"/>
        <v>0</v>
      </c>
      <c r="W1134" s="31">
        <f t="shared" si="278"/>
        <v>0</v>
      </c>
      <c r="X1134" s="31">
        <f t="shared" si="278"/>
        <v>0</v>
      </c>
      <c r="Y1134" s="31">
        <f t="shared" si="278"/>
        <v>0</v>
      </c>
      <c r="Z1134" s="31">
        <f t="shared" si="278"/>
        <v>0</v>
      </c>
      <c r="AA1134" s="31">
        <f t="shared" si="278"/>
        <v>0</v>
      </c>
      <c r="AB1134" s="31">
        <f t="shared" si="278"/>
        <v>0</v>
      </c>
      <c r="AC1134" s="31">
        <f t="shared" si="278"/>
        <v>38183.18</v>
      </c>
      <c r="AD1134" s="31">
        <f t="shared" si="278"/>
        <v>190000</v>
      </c>
      <c r="AE1134" s="31">
        <f t="shared" si="278"/>
        <v>0</v>
      </c>
      <c r="AF1134" s="343" t="s">
        <v>764</v>
      </c>
      <c r="AG1134" s="343" t="s">
        <v>764</v>
      </c>
      <c r="AH1134" s="344" t="s">
        <v>764</v>
      </c>
      <c r="AT1134" s="20" t="e">
        <f t="shared" si="270"/>
        <v>#N/A</v>
      </c>
      <c r="BZ1134" s="71">
        <v>2773728.46</v>
      </c>
    </row>
    <row r="1135" spans="1:78" ht="61.5" x14ac:dyDescent="0.85">
      <c r="A1135" s="20">
        <v>1</v>
      </c>
      <c r="B1135" s="66">
        <f>SUBTOTAL(103,$A$994:A1135)</f>
        <v>131</v>
      </c>
      <c r="C1135" s="156" t="s">
        <v>692</v>
      </c>
      <c r="D1135" s="31">
        <f>E1135+F1135+G1135+H1135+I1135+J1135+L1135+N1135+P1135+R1135+T1135+U1135+V1135+W1135+X1135+Y1135+Z1135+AA1135+AB1135+AC1135+AD1135+AE1135</f>
        <v>2539091.92</v>
      </c>
      <c r="E1135" s="31">
        <v>0</v>
      </c>
      <c r="F1135" s="31">
        <v>0</v>
      </c>
      <c r="G1135" s="31">
        <v>0</v>
      </c>
      <c r="H1135" s="31">
        <v>0</v>
      </c>
      <c r="I1135" s="31">
        <v>0</v>
      </c>
      <c r="J1135" s="31">
        <v>0</v>
      </c>
      <c r="K1135" s="33">
        <v>0</v>
      </c>
      <c r="L1135" s="31">
        <v>0</v>
      </c>
      <c r="M1135" s="31">
        <v>628</v>
      </c>
      <c r="N1135" s="31">
        <v>2353785.14</v>
      </c>
      <c r="O1135" s="31">
        <v>0</v>
      </c>
      <c r="P1135" s="31">
        <v>0</v>
      </c>
      <c r="Q1135" s="31">
        <v>0</v>
      </c>
      <c r="R1135" s="31">
        <v>0</v>
      </c>
      <c r="S1135" s="31">
        <v>0</v>
      </c>
      <c r="T1135" s="31">
        <v>0</v>
      </c>
      <c r="U1135" s="31">
        <v>0</v>
      </c>
      <c r="V1135" s="31">
        <v>0</v>
      </c>
      <c r="W1135" s="31">
        <v>0</v>
      </c>
      <c r="X1135" s="31">
        <v>0</v>
      </c>
      <c r="Y1135" s="31">
        <v>0</v>
      </c>
      <c r="Z1135" s="31">
        <v>0</v>
      </c>
      <c r="AA1135" s="31">
        <v>0</v>
      </c>
      <c r="AB1135" s="31">
        <v>0</v>
      </c>
      <c r="AC1135" s="31">
        <f>ROUND(N1135*1.5%,2)</f>
        <v>35306.78</v>
      </c>
      <c r="AD1135" s="31">
        <v>150000</v>
      </c>
      <c r="AE1135" s="31">
        <v>0</v>
      </c>
      <c r="AF1135" s="345">
        <v>2022</v>
      </c>
      <c r="AG1135" s="345">
        <v>2022</v>
      </c>
      <c r="AH1135" s="346">
        <v>2022</v>
      </c>
      <c r="AT1135" s="20" t="e">
        <f t="shared" si="270"/>
        <v>#N/A</v>
      </c>
      <c r="BZ1135" s="71"/>
    </row>
    <row r="1136" spans="1:78" ht="61.5" x14ac:dyDescent="0.85">
      <c r="A1136" s="20">
        <v>1</v>
      </c>
      <c r="B1136" s="66">
        <f>SUBTOTAL(103,$A$994:A1136)</f>
        <v>132</v>
      </c>
      <c r="C1136" s="156" t="s">
        <v>703</v>
      </c>
      <c r="D1136" s="31">
        <f>E1136+F1136+G1136+H1136+I1136+J1136+L1136+N1136+P1136+R1136+T1136+U1136+V1136+W1136+X1136+Y1136+Z1136+AA1136+AB1136+AC1136+AD1136+AE1136</f>
        <v>234636.54</v>
      </c>
      <c r="E1136" s="31">
        <v>0</v>
      </c>
      <c r="F1136" s="31">
        <v>0</v>
      </c>
      <c r="G1136" s="31">
        <v>0</v>
      </c>
      <c r="H1136" s="31">
        <v>0</v>
      </c>
      <c r="I1136" s="31">
        <v>191760.14</v>
      </c>
      <c r="J1136" s="31">
        <v>0</v>
      </c>
      <c r="K1136" s="33">
        <v>0</v>
      </c>
      <c r="L1136" s="31">
        <v>0</v>
      </c>
      <c r="M1136" s="31">
        <v>0</v>
      </c>
      <c r="N1136" s="31">
        <v>0</v>
      </c>
      <c r="O1136" s="31">
        <v>0</v>
      </c>
      <c r="P1136" s="31">
        <v>0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  <c r="V1136" s="31">
        <v>0</v>
      </c>
      <c r="W1136" s="31">
        <v>0</v>
      </c>
      <c r="X1136" s="31">
        <v>0</v>
      </c>
      <c r="Y1136" s="31">
        <v>0</v>
      </c>
      <c r="Z1136" s="31">
        <v>0</v>
      </c>
      <c r="AA1136" s="31">
        <v>0</v>
      </c>
      <c r="AB1136" s="31">
        <v>0</v>
      </c>
      <c r="AC1136" s="31">
        <f>ROUND((E1136+F1136+G1136+H1136+I1136+J1136)*1.5%,2)</f>
        <v>2876.4</v>
      </c>
      <c r="AD1136" s="31">
        <v>40000</v>
      </c>
      <c r="AE1136" s="31">
        <v>0</v>
      </c>
      <c r="AF1136" s="345">
        <v>2022</v>
      </c>
      <c r="AG1136" s="345">
        <v>2022</v>
      </c>
      <c r="AH1136" s="346">
        <v>2022</v>
      </c>
      <c r="AT1136" s="20" t="e">
        <f t="shared" si="270"/>
        <v>#N/A</v>
      </c>
      <c r="BZ1136" s="71"/>
    </row>
    <row r="1137" spans="1:78" ht="61.5" x14ac:dyDescent="0.85">
      <c r="B1137" s="24" t="s">
        <v>897</v>
      </c>
      <c r="C1137" s="24"/>
      <c r="D1137" s="31">
        <f>D1138</f>
        <v>2158336.3499999996</v>
      </c>
      <c r="E1137" s="31">
        <f t="shared" ref="E1137:AE1137" si="279">E1138</f>
        <v>0</v>
      </c>
      <c r="F1137" s="31">
        <f t="shared" si="279"/>
        <v>0</v>
      </c>
      <c r="G1137" s="31">
        <f t="shared" si="279"/>
        <v>0</v>
      </c>
      <c r="H1137" s="31">
        <f t="shared" si="279"/>
        <v>0</v>
      </c>
      <c r="I1137" s="31">
        <f t="shared" si="279"/>
        <v>0</v>
      </c>
      <c r="J1137" s="31">
        <f t="shared" si="279"/>
        <v>0</v>
      </c>
      <c r="K1137" s="33">
        <f t="shared" si="279"/>
        <v>0</v>
      </c>
      <c r="L1137" s="31">
        <f t="shared" si="279"/>
        <v>0</v>
      </c>
      <c r="M1137" s="31">
        <f t="shared" si="279"/>
        <v>393</v>
      </c>
      <c r="N1137" s="31">
        <f t="shared" si="279"/>
        <v>2008213.15</v>
      </c>
      <c r="O1137" s="31">
        <f t="shared" si="279"/>
        <v>0</v>
      </c>
      <c r="P1137" s="31">
        <f t="shared" si="279"/>
        <v>0</v>
      </c>
      <c r="Q1137" s="31">
        <f t="shared" si="279"/>
        <v>0</v>
      </c>
      <c r="R1137" s="31">
        <f t="shared" si="279"/>
        <v>0</v>
      </c>
      <c r="S1137" s="31">
        <f t="shared" si="279"/>
        <v>0</v>
      </c>
      <c r="T1137" s="31">
        <f t="shared" si="279"/>
        <v>0</v>
      </c>
      <c r="U1137" s="31">
        <f t="shared" si="279"/>
        <v>0</v>
      </c>
      <c r="V1137" s="31">
        <f t="shared" si="279"/>
        <v>0</v>
      </c>
      <c r="W1137" s="31">
        <f t="shared" si="279"/>
        <v>0</v>
      </c>
      <c r="X1137" s="31">
        <f t="shared" si="279"/>
        <v>0</v>
      </c>
      <c r="Y1137" s="31">
        <f t="shared" si="279"/>
        <v>0</v>
      </c>
      <c r="Z1137" s="31">
        <f t="shared" si="279"/>
        <v>0</v>
      </c>
      <c r="AA1137" s="31">
        <f t="shared" si="279"/>
        <v>0</v>
      </c>
      <c r="AB1137" s="31">
        <f t="shared" si="279"/>
        <v>0</v>
      </c>
      <c r="AC1137" s="31">
        <f t="shared" si="279"/>
        <v>30123.200000000001</v>
      </c>
      <c r="AD1137" s="31">
        <f t="shared" si="279"/>
        <v>120000</v>
      </c>
      <c r="AE1137" s="31">
        <f t="shared" si="279"/>
        <v>0</v>
      </c>
      <c r="AF1137" s="343" t="s">
        <v>764</v>
      </c>
      <c r="AG1137" s="343" t="s">
        <v>764</v>
      </c>
      <c r="AH1137" s="344" t="s">
        <v>764</v>
      </c>
      <c r="AT1137" s="20" t="e">
        <f t="shared" si="270"/>
        <v>#N/A</v>
      </c>
      <c r="BZ1137" s="71">
        <v>2158336.3499999996</v>
      </c>
    </row>
    <row r="1138" spans="1:78" ht="61.5" x14ac:dyDescent="0.85">
      <c r="A1138" s="20">
        <v>1</v>
      </c>
      <c r="B1138" s="66">
        <f>SUBTOTAL(103,$A$994:A1138)</f>
        <v>133</v>
      </c>
      <c r="C1138" s="156" t="s">
        <v>684</v>
      </c>
      <c r="D1138" s="31">
        <f>E1138+F1138+G1138+H1138+I1138+J1138+L1138+N1138+P1138+R1138+T1138+U1138+V1138+W1138+X1138+Y1138+Z1138+AA1138+AB1138+AC1138+AD1138+AE1138</f>
        <v>2158336.3499999996</v>
      </c>
      <c r="E1138" s="31">
        <v>0</v>
      </c>
      <c r="F1138" s="31">
        <v>0</v>
      </c>
      <c r="G1138" s="31">
        <v>0</v>
      </c>
      <c r="H1138" s="31">
        <v>0</v>
      </c>
      <c r="I1138" s="31">
        <v>0</v>
      </c>
      <c r="J1138" s="31">
        <v>0</v>
      </c>
      <c r="K1138" s="33">
        <v>0</v>
      </c>
      <c r="L1138" s="31">
        <v>0</v>
      </c>
      <c r="M1138" s="31">
        <v>393</v>
      </c>
      <c r="N1138" s="31">
        <v>2008213.15</v>
      </c>
      <c r="O1138" s="31">
        <v>0</v>
      </c>
      <c r="P1138" s="31">
        <v>0</v>
      </c>
      <c r="Q1138" s="31">
        <v>0</v>
      </c>
      <c r="R1138" s="31">
        <v>0</v>
      </c>
      <c r="S1138" s="31">
        <v>0</v>
      </c>
      <c r="T1138" s="31">
        <v>0</v>
      </c>
      <c r="U1138" s="31">
        <v>0</v>
      </c>
      <c r="V1138" s="31">
        <v>0</v>
      </c>
      <c r="W1138" s="31">
        <v>0</v>
      </c>
      <c r="X1138" s="31">
        <v>0</v>
      </c>
      <c r="Y1138" s="31">
        <v>0</v>
      </c>
      <c r="Z1138" s="31">
        <v>0</v>
      </c>
      <c r="AA1138" s="31">
        <v>0</v>
      </c>
      <c r="AB1138" s="31">
        <v>0</v>
      </c>
      <c r="AC1138" s="31">
        <f>ROUND(N1138*1.5%,2)</f>
        <v>30123.200000000001</v>
      </c>
      <c r="AD1138" s="31">
        <v>120000</v>
      </c>
      <c r="AE1138" s="31">
        <v>0</v>
      </c>
      <c r="AF1138" s="345">
        <v>2022</v>
      </c>
      <c r="AG1138" s="345">
        <v>2022</v>
      </c>
      <c r="AH1138" s="346">
        <v>2022</v>
      </c>
      <c r="AT1138" s="20" t="e">
        <f t="shared" si="270"/>
        <v>#N/A</v>
      </c>
      <c r="BZ1138" s="71"/>
    </row>
    <row r="1139" spans="1:78" ht="61.5" x14ac:dyDescent="0.85">
      <c r="B1139" s="24" t="s">
        <v>835</v>
      </c>
      <c r="C1139" s="24"/>
      <c r="D1139" s="31">
        <f>D1140</f>
        <v>2000000</v>
      </c>
      <c r="E1139" s="31">
        <f t="shared" ref="E1139:AE1139" si="280">E1140</f>
        <v>0</v>
      </c>
      <c r="F1139" s="31">
        <f t="shared" si="280"/>
        <v>0</v>
      </c>
      <c r="G1139" s="31">
        <f t="shared" si="280"/>
        <v>0</v>
      </c>
      <c r="H1139" s="31">
        <f t="shared" si="280"/>
        <v>0</v>
      </c>
      <c r="I1139" s="31">
        <f t="shared" si="280"/>
        <v>0</v>
      </c>
      <c r="J1139" s="31">
        <f t="shared" si="280"/>
        <v>0</v>
      </c>
      <c r="K1139" s="33">
        <f t="shared" si="280"/>
        <v>0</v>
      </c>
      <c r="L1139" s="31">
        <f t="shared" si="280"/>
        <v>0</v>
      </c>
      <c r="M1139" s="31">
        <f t="shared" si="280"/>
        <v>674.9</v>
      </c>
      <c r="N1139" s="31">
        <f t="shared" si="280"/>
        <v>1822660.1</v>
      </c>
      <c r="O1139" s="31">
        <f t="shared" si="280"/>
        <v>0</v>
      </c>
      <c r="P1139" s="31">
        <f t="shared" si="280"/>
        <v>0</v>
      </c>
      <c r="Q1139" s="31">
        <f t="shared" si="280"/>
        <v>0</v>
      </c>
      <c r="R1139" s="31">
        <f t="shared" si="280"/>
        <v>0</v>
      </c>
      <c r="S1139" s="31">
        <f t="shared" si="280"/>
        <v>0</v>
      </c>
      <c r="T1139" s="31">
        <f t="shared" si="280"/>
        <v>0</v>
      </c>
      <c r="U1139" s="31">
        <f t="shared" si="280"/>
        <v>0</v>
      </c>
      <c r="V1139" s="31">
        <f t="shared" si="280"/>
        <v>0</v>
      </c>
      <c r="W1139" s="31">
        <f t="shared" si="280"/>
        <v>0</v>
      </c>
      <c r="X1139" s="31">
        <f t="shared" si="280"/>
        <v>0</v>
      </c>
      <c r="Y1139" s="31">
        <f t="shared" si="280"/>
        <v>0</v>
      </c>
      <c r="Z1139" s="31">
        <f t="shared" si="280"/>
        <v>0</v>
      </c>
      <c r="AA1139" s="31">
        <f t="shared" si="280"/>
        <v>0</v>
      </c>
      <c r="AB1139" s="31">
        <f t="shared" si="280"/>
        <v>0</v>
      </c>
      <c r="AC1139" s="31">
        <f t="shared" si="280"/>
        <v>27339.9</v>
      </c>
      <c r="AD1139" s="31">
        <f t="shared" si="280"/>
        <v>150000</v>
      </c>
      <c r="AE1139" s="31">
        <f t="shared" si="280"/>
        <v>0</v>
      </c>
      <c r="AF1139" s="343" t="s">
        <v>764</v>
      </c>
      <c r="AG1139" s="343" t="s">
        <v>764</v>
      </c>
      <c r="AH1139" s="344" t="s">
        <v>764</v>
      </c>
      <c r="AT1139" s="20" t="e">
        <f t="shared" si="270"/>
        <v>#N/A</v>
      </c>
      <c r="BZ1139" s="71">
        <v>2000000</v>
      </c>
    </row>
    <row r="1140" spans="1:78" ht="61.5" x14ac:dyDescent="0.85">
      <c r="A1140" s="20">
        <v>1</v>
      </c>
      <c r="B1140" s="66">
        <f>SUBTOTAL(103,$A$994:A1140)</f>
        <v>134</v>
      </c>
      <c r="C1140" s="24" t="s">
        <v>699</v>
      </c>
      <c r="D1140" s="31">
        <f>E1140+F1140+G1140+H1140+I1140+J1140+L1140+N1140+P1140+R1140+T1140+U1140+V1140+W1140+X1140+Y1140+Z1140+AA1140+AB1140+AC1140+AD1140+AE1140</f>
        <v>2000000</v>
      </c>
      <c r="E1140" s="31">
        <v>0</v>
      </c>
      <c r="F1140" s="31">
        <v>0</v>
      </c>
      <c r="G1140" s="31">
        <v>0</v>
      </c>
      <c r="H1140" s="31">
        <v>0</v>
      </c>
      <c r="I1140" s="31">
        <v>0</v>
      </c>
      <c r="J1140" s="31">
        <v>0</v>
      </c>
      <c r="K1140" s="33">
        <v>0</v>
      </c>
      <c r="L1140" s="31">
        <v>0</v>
      </c>
      <c r="M1140" s="31">
        <v>674.9</v>
      </c>
      <c r="N1140" s="31">
        <v>1822660.1</v>
      </c>
      <c r="O1140" s="31">
        <v>0</v>
      </c>
      <c r="P1140" s="31">
        <v>0</v>
      </c>
      <c r="Q1140" s="31">
        <v>0</v>
      </c>
      <c r="R1140" s="31">
        <v>0</v>
      </c>
      <c r="S1140" s="31">
        <v>0</v>
      </c>
      <c r="T1140" s="31">
        <v>0</v>
      </c>
      <c r="U1140" s="31">
        <v>0</v>
      </c>
      <c r="V1140" s="31">
        <v>0</v>
      </c>
      <c r="W1140" s="31">
        <v>0</v>
      </c>
      <c r="X1140" s="31">
        <v>0</v>
      </c>
      <c r="Y1140" s="31">
        <v>0</v>
      </c>
      <c r="Z1140" s="31">
        <v>0</v>
      </c>
      <c r="AA1140" s="31">
        <v>0</v>
      </c>
      <c r="AB1140" s="31">
        <v>0</v>
      </c>
      <c r="AC1140" s="31">
        <f>ROUND(N1140*1.5%,2)</f>
        <v>27339.9</v>
      </c>
      <c r="AD1140" s="31">
        <v>150000</v>
      </c>
      <c r="AE1140" s="31">
        <v>0</v>
      </c>
      <c r="AF1140" s="345">
        <v>2022</v>
      </c>
      <c r="AG1140" s="345">
        <v>2022</v>
      </c>
      <c r="AH1140" s="346">
        <v>2022</v>
      </c>
      <c r="AT1140" s="20" t="e">
        <f t="shared" si="270"/>
        <v>#N/A</v>
      </c>
      <c r="BZ1140" s="71"/>
    </row>
    <row r="1141" spans="1:78" ht="61.5" x14ac:dyDescent="0.85">
      <c r="B1141" s="24" t="s">
        <v>836</v>
      </c>
      <c r="C1141" s="24"/>
      <c r="D1141" s="31">
        <f>SUM(D1142:D1148)</f>
        <v>23342011.919999998</v>
      </c>
      <c r="E1141" s="31">
        <f t="shared" ref="E1141:AE1141" si="281">SUM(E1142:E1148)</f>
        <v>0</v>
      </c>
      <c r="F1141" s="31">
        <f t="shared" si="281"/>
        <v>0</v>
      </c>
      <c r="G1141" s="31">
        <f t="shared" si="281"/>
        <v>0</v>
      </c>
      <c r="H1141" s="31">
        <f t="shared" si="281"/>
        <v>0</v>
      </c>
      <c r="I1141" s="31">
        <f t="shared" si="281"/>
        <v>0</v>
      </c>
      <c r="J1141" s="31">
        <f t="shared" si="281"/>
        <v>0</v>
      </c>
      <c r="K1141" s="33">
        <f t="shared" si="281"/>
        <v>2</v>
      </c>
      <c r="L1141" s="31">
        <f t="shared" si="281"/>
        <v>4396606</v>
      </c>
      <c r="M1141" s="31">
        <f t="shared" si="281"/>
        <v>3160.6</v>
      </c>
      <c r="N1141" s="31">
        <f t="shared" si="281"/>
        <v>14844392.530000001</v>
      </c>
      <c r="O1141" s="31">
        <f t="shared" si="281"/>
        <v>0</v>
      </c>
      <c r="P1141" s="31">
        <f t="shared" si="281"/>
        <v>0</v>
      </c>
      <c r="Q1141" s="31">
        <f t="shared" si="281"/>
        <v>585.5</v>
      </c>
      <c r="R1141" s="31">
        <f t="shared" si="281"/>
        <v>2766844.83</v>
      </c>
      <c r="S1141" s="31">
        <f t="shared" si="281"/>
        <v>0</v>
      </c>
      <c r="T1141" s="31">
        <f t="shared" si="281"/>
        <v>0</v>
      </c>
      <c r="U1141" s="31">
        <f t="shared" si="281"/>
        <v>0</v>
      </c>
      <c r="V1141" s="31">
        <f t="shared" si="281"/>
        <v>0</v>
      </c>
      <c r="W1141" s="31">
        <f t="shared" si="281"/>
        <v>0</v>
      </c>
      <c r="X1141" s="31">
        <f t="shared" si="281"/>
        <v>0</v>
      </c>
      <c r="Y1141" s="31">
        <f t="shared" si="281"/>
        <v>0</v>
      </c>
      <c r="Z1141" s="31">
        <f t="shared" si="281"/>
        <v>0</v>
      </c>
      <c r="AA1141" s="31">
        <f t="shared" si="281"/>
        <v>0</v>
      </c>
      <c r="AB1141" s="31">
        <f t="shared" si="281"/>
        <v>0</v>
      </c>
      <c r="AC1141" s="31">
        <f t="shared" si="281"/>
        <v>264168.56</v>
      </c>
      <c r="AD1141" s="31">
        <f t="shared" si="281"/>
        <v>950000</v>
      </c>
      <c r="AE1141" s="31">
        <f t="shared" si="281"/>
        <v>120000</v>
      </c>
      <c r="AF1141" s="343" t="s">
        <v>764</v>
      </c>
      <c r="AG1141" s="343" t="s">
        <v>764</v>
      </c>
      <c r="AH1141" s="344" t="s">
        <v>764</v>
      </c>
      <c r="AT1141" s="20" t="e">
        <f t="shared" ref="AT1141:AT1175" si="282">VLOOKUP(C1141,AW:AX,2,FALSE)</f>
        <v>#N/A</v>
      </c>
      <c r="BZ1141" s="71">
        <v>23342011.919999998</v>
      </c>
    </row>
    <row r="1142" spans="1:78" ht="61.5" x14ac:dyDescent="0.85">
      <c r="A1142" s="20">
        <v>1</v>
      </c>
      <c r="B1142" s="66">
        <f>SUBTOTAL(103,$A$994:A1142)</f>
        <v>135</v>
      </c>
      <c r="C1142" s="156" t="s">
        <v>671</v>
      </c>
      <c r="D1142" s="31">
        <f t="shared" ref="D1142:D1148" si="283">E1142+F1142+G1142+H1142+I1142+J1142+L1142+N1142+P1142+R1142+T1142+U1142+V1142+W1142+X1142+Y1142+Z1142+AA1142+AB1142+AC1142+AD1142+AE1142</f>
        <v>1358190.18</v>
      </c>
      <c r="E1142" s="31">
        <v>0</v>
      </c>
      <c r="F1142" s="31">
        <v>0</v>
      </c>
      <c r="G1142" s="31">
        <v>0</v>
      </c>
      <c r="H1142" s="31">
        <v>0</v>
      </c>
      <c r="I1142" s="31">
        <v>0</v>
      </c>
      <c r="J1142" s="31">
        <v>0</v>
      </c>
      <c r="K1142" s="33">
        <v>0</v>
      </c>
      <c r="L1142" s="31">
        <v>0</v>
      </c>
      <c r="M1142" s="31">
        <v>260.10000000000002</v>
      </c>
      <c r="N1142" s="31">
        <v>1219891.8</v>
      </c>
      <c r="O1142" s="31">
        <v>0</v>
      </c>
      <c r="P1142" s="31">
        <v>0</v>
      </c>
      <c r="Q1142" s="31">
        <v>0</v>
      </c>
      <c r="R1142" s="31">
        <v>0</v>
      </c>
      <c r="S1142" s="31">
        <v>0</v>
      </c>
      <c r="T1142" s="31">
        <v>0</v>
      </c>
      <c r="U1142" s="31">
        <v>0</v>
      </c>
      <c r="V1142" s="31">
        <v>0</v>
      </c>
      <c r="W1142" s="31">
        <v>0</v>
      </c>
      <c r="X1142" s="31">
        <v>0</v>
      </c>
      <c r="Y1142" s="31">
        <v>0</v>
      </c>
      <c r="Z1142" s="31">
        <v>0</v>
      </c>
      <c r="AA1142" s="31">
        <v>0</v>
      </c>
      <c r="AB1142" s="31">
        <v>0</v>
      </c>
      <c r="AC1142" s="31">
        <f>ROUND(N1142*1.5%,2)</f>
        <v>18298.38</v>
      </c>
      <c r="AD1142" s="31">
        <v>120000</v>
      </c>
      <c r="AE1142" s="31">
        <v>0</v>
      </c>
      <c r="AF1142" s="345">
        <v>2022</v>
      </c>
      <c r="AG1142" s="345">
        <v>2022</v>
      </c>
      <c r="AH1142" s="346">
        <v>2022</v>
      </c>
      <c r="AT1142" s="20" t="e">
        <f t="shared" si="282"/>
        <v>#N/A</v>
      </c>
      <c r="BZ1142" s="71"/>
    </row>
    <row r="1143" spans="1:78" ht="61.5" x14ac:dyDescent="0.85">
      <c r="A1143" s="20">
        <v>1</v>
      </c>
      <c r="B1143" s="66">
        <f>SUBTOTAL(103,$A$994:A1143)</f>
        <v>136</v>
      </c>
      <c r="C1143" s="156" t="s">
        <v>672</v>
      </c>
      <c r="D1143" s="31">
        <f t="shared" si="283"/>
        <v>3973325</v>
      </c>
      <c r="E1143" s="31">
        <v>0</v>
      </c>
      <c r="F1143" s="31">
        <v>0</v>
      </c>
      <c r="G1143" s="31">
        <v>0</v>
      </c>
      <c r="H1143" s="31">
        <v>0</v>
      </c>
      <c r="I1143" s="31">
        <v>0</v>
      </c>
      <c r="J1143" s="31">
        <v>0</v>
      </c>
      <c r="K1143" s="33">
        <v>0</v>
      </c>
      <c r="L1143" s="31">
        <v>0</v>
      </c>
      <c r="M1143" s="31">
        <v>850</v>
      </c>
      <c r="N1143" s="31">
        <v>3766822.66</v>
      </c>
      <c r="O1143" s="31">
        <v>0</v>
      </c>
      <c r="P1143" s="31">
        <v>0</v>
      </c>
      <c r="Q1143" s="31">
        <v>0</v>
      </c>
      <c r="R1143" s="31">
        <v>0</v>
      </c>
      <c r="S1143" s="31">
        <v>0</v>
      </c>
      <c r="T1143" s="31">
        <v>0</v>
      </c>
      <c r="U1143" s="31">
        <v>0</v>
      </c>
      <c r="V1143" s="31">
        <v>0</v>
      </c>
      <c r="W1143" s="31">
        <v>0</v>
      </c>
      <c r="X1143" s="31">
        <v>0</v>
      </c>
      <c r="Y1143" s="31">
        <v>0</v>
      </c>
      <c r="Z1143" s="31">
        <v>0</v>
      </c>
      <c r="AA1143" s="31">
        <v>0</v>
      </c>
      <c r="AB1143" s="31">
        <v>0</v>
      </c>
      <c r="AC1143" s="31">
        <f>ROUND(N1143*1.5%,2)</f>
        <v>56502.34</v>
      </c>
      <c r="AD1143" s="31">
        <v>150000</v>
      </c>
      <c r="AE1143" s="31">
        <v>0</v>
      </c>
      <c r="AF1143" s="345">
        <v>2022</v>
      </c>
      <c r="AG1143" s="345">
        <v>2022</v>
      </c>
      <c r="AH1143" s="346">
        <v>2022</v>
      </c>
      <c r="AT1143" s="20" t="e">
        <f t="shared" si="282"/>
        <v>#N/A</v>
      </c>
      <c r="BZ1143" s="71"/>
    </row>
    <row r="1144" spans="1:78" ht="61.5" x14ac:dyDescent="0.85">
      <c r="A1144" s="20">
        <v>1</v>
      </c>
      <c r="B1144" s="66">
        <f>SUBTOTAL(103,$A$994:A1144)</f>
        <v>137</v>
      </c>
      <c r="C1144" s="156" t="s">
        <v>697</v>
      </c>
      <c r="D1144" s="31">
        <f t="shared" si="283"/>
        <v>2687908</v>
      </c>
      <c r="E1144" s="31">
        <v>0</v>
      </c>
      <c r="F1144" s="31">
        <v>0</v>
      </c>
      <c r="G1144" s="31">
        <v>0</v>
      </c>
      <c r="H1144" s="31">
        <v>0</v>
      </c>
      <c r="I1144" s="31">
        <v>0</v>
      </c>
      <c r="J1144" s="31">
        <v>0</v>
      </c>
      <c r="K1144" s="33">
        <v>0</v>
      </c>
      <c r="L1144" s="31">
        <v>0</v>
      </c>
      <c r="M1144" s="31">
        <v>550.5</v>
      </c>
      <c r="N1144" s="31">
        <v>2500401.9700000002</v>
      </c>
      <c r="O1144" s="31">
        <v>0</v>
      </c>
      <c r="P1144" s="31">
        <v>0</v>
      </c>
      <c r="Q1144" s="31">
        <v>0</v>
      </c>
      <c r="R1144" s="31">
        <v>0</v>
      </c>
      <c r="S1144" s="31">
        <v>0</v>
      </c>
      <c r="T1144" s="31">
        <v>0</v>
      </c>
      <c r="U1144" s="31">
        <v>0</v>
      </c>
      <c r="V1144" s="31">
        <v>0</v>
      </c>
      <c r="W1144" s="31">
        <v>0</v>
      </c>
      <c r="X1144" s="31">
        <v>0</v>
      </c>
      <c r="Y1144" s="31">
        <v>0</v>
      </c>
      <c r="Z1144" s="31">
        <v>0</v>
      </c>
      <c r="AA1144" s="31">
        <v>0</v>
      </c>
      <c r="AB1144" s="31">
        <v>0</v>
      </c>
      <c r="AC1144" s="31">
        <f>ROUND(N1144*1.5%,2)</f>
        <v>37506.03</v>
      </c>
      <c r="AD1144" s="31">
        <v>150000</v>
      </c>
      <c r="AE1144" s="31">
        <v>0</v>
      </c>
      <c r="AF1144" s="345">
        <v>2022</v>
      </c>
      <c r="AG1144" s="345">
        <v>2022</v>
      </c>
      <c r="AH1144" s="346">
        <v>2022</v>
      </c>
      <c r="AT1144" s="20" t="e">
        <f t="shared" si="282"/>
        <v>#N/A</v>
      </c>
      <c r="BZ1144" s="71"/>
    </row>
    <row r="1145" spans="1:78" ht="61.5" x14ac:dyDescent="0.85">
      <c r="A1145" s="20">
        <v>1</v>
      </c>
      <c r="B1145" s="66">
        <f>SUBTOTAL(103,$A$994:A1145)</f>
        <v>138</v>
      </c>
      <c r="C1145" s="156" t="s">
        <v>681</v>
      </c>
      <c r="D1145" s="31">
        <f t="shared" si="283"/>
        <v>3058347.5</v>
      </c>
      <c r="E1145" s="31">
        <v>0</v>
      </c>
      <c r="F1145" s="31">
        <v>0</v>
      </c>
      <c r="G1145" s="31">
        <v>0</v>
      </c>
      <c r="H1145" s="31">
        <v>0</v>
      </c>
      <c r="I1145" s="31">
        <v>0</v>
      </c>
      <c r="J1145" s="31">
        <v>0</v>
      </c>
      <c r="K1145" s="33">
        <v>0</v>
      </c>
      <c r="L1145" s="31">
        <v>0</v>
      </c>
      <c r="M1145" s="31">
        <v>0</v>
      </c>
      <c r="N1145" s="31">
        <v>0</v>
      </c>
      <c r="O1145" s="31">
        <v>0</v>
      </c>
      <c r="P1145" s="31">
        <v>0</v>
      </c>
      <c r="Q1145" s="31">
        <v>585.5</v>
      </c>
      <c r="R1145" s="31">
        <f>2885071.43-118226.6</f>
        <v>2766844.83</v>
      </c>
      <c r="S1145" s="31">
        <v>0</v>
      </c>
      <c r="T1145" s="31">
        <v>0</v>
      </c>
      <c r="U1145" s="31">
        <v>0</v>
      </c>
      <c r="V1145" s="31">
        <v>0</v>
      </c>
      <c r="W1145" s="31">
        <v>0</v>
      </c>
      <c r="X1145" s="31">
        <v>0</v>
      </c>
      <c r="Y1145" s="31">
        <v>0</v>
      </c>
      <c r="Z1145" s="31">
        <v>0</v>
      </c>
      <c r="AA1145" s="31">
        <v>0</v>
      </c>
      <c r="AB1145" s="31">
        <v>0</v>
      </c>
      <c r="AC1145" s="31">
        <f>ROUND(R1145*1.5%,2)</f>
        <v>41502.67</v>
      </c>
      <c r="AD1145" s="31">
        <v>130000</v>
      </c>
      <c r="AE1145" s="31">
        <v>120000</v>
      </c>
      <c r="AF1145" s="345">
        <v>2022</v>
      </c>
      <c r="AG1145" s="345">
        <v>2022</v>
      </c>
      <c r="AH1145" s="346">
        <v>2022</v>
      </c>
      <c r="AT1145" s="20" t="e">
        <f t="shared" si="282"/>
        <v>#N/A</v>
      </c>
      <c r="BZ1145" s="71"/>
    </row>
    <row r="1146" spans="1:78" ht="61.5" x14ac:dyDescent="0.85">
      <c r="A1146" s="20">
        <v>1</v>
      </c>
      <c r="B1146" s="66">
        <f>SUBTOTAL(103,$A$994:A1146)</f>
        <v>139</v>
      </c>
      <c r="C1146" s="156" t="s">
        <v>680</v>
      </c>
      <c r="D1146" s="31">
        <f t="shared" si="283"/>
        <v>5240868.3999999994</v>
      </c>
      <c r="E1146" s="31">
        <v>0</v>
      </c>
      <c r="F1146" s="31">
        <v>0</v>
      </c>
      <c r="G1146" s="31">
        <v>0</v>
      </c>
      <c r="H1146" s="31">
        <v>0</v>
      </c>
      <c r="I1146" s="31">
        <v>0</v>
      </c>
      <c r="J1146" s="31">
        <v>0</v>
      </c>
      <c r="K1146" s="33">
        <v>0</v>
      </c>
      <c r="L1146" s="31">
        <v>0</v>
      </c>
      <c r="M1146" s="31">
        <v>950</v>
      </c>
      <c r="N1146" s="31">
        <v>5015633.8899999997</v>
      </c>
      <c r="O1146" s="31">
        <v>0</v>
      </c>
      <c r="P1146" s="31">
        <v>0</v>
      </c>
      <c r="Q1146" s="31">
        <v>0</v>
      </c>
      <c r="R1146" s="31">
        <v>0</v>
      </c>
      <c r="S1146" s="31">
        <v>0</v>
      </c>
      <c r="T1146" s="31">
        <v>0</v>
      </c>
      <c r="U1146" s="31">
        <v>0</v>
      </c>
      <c r="V1146" s="31">
        <v>0</v>
      </c>
      <c r="W1146" s="31">
        <v>0</v>
      </c>
      <c r="X1146" s="31">
        <v>0</v>
      </c>
      <c r="Y1146" s="31">
        <v>0</v>
      </c>
      <c r="Z1146" s="31">
        <v>0</v>
      </c>
      <c r="AA1146" s="31">
        <v>0</v>
      </c>
      <c r="AB1146" s="31">
        <v>0</v>
      </c>
      <c r="AC1146" s="31">
        <f>ROUND(N1146*1.5%,2)</f>
        <v>75234.509999999995</v>
      </c>
      <c r="AD1146" s="31">
        <v>150000</v>
      </c>
      <c r="AE1146" s="31">
        <v>0</v>
      </c>
      <c r="AF1146" s="345">
        <v>2022</v>
      </c>
      <c r="AG1146" s="345">
        <v>2022</v>
      </c>
      <c r="AH1146" s="346">
        <v>2022</v>
      </c>
      <c r="AT1146" s="20">
        <f t="shared" si="282"/>
        <v>1</v>
      </c>
      <c r="BZ1146" s="71"/>
    </row>
    <row r="1147" spans="1:78" ht="61.5" x14ac:dyDescent="0.85">
      <c r="A1147" s="20">
        <v>1</v>
      </c>
      <c r="B1147" s="66">
        <f>SUBTOTAL(103,$A$994:A1147)</f>
        <v>140</v>
      </c>
      <c r="C1147" s="156" t="s">
        <v>666</v>
      </c>
      <c r="D1147" s="31">
        <f t="shared" si="283"/>
        <v>2526766.84</v>
      </c>
      <c r="E1147" s="31">
        <v>0</v>
      </c>
      <c r="F1147" s="31">
        <v>0</v>
      </c>
      <c r="G1147" s="31">
        <v>0</v>
      </c>
      <c r="H1147" s="31">
        <v>0</v>
      </c>
      <c r="I1147" s="31">
        <v>0</v>
      </c>
      <c r="J1147" s="31">
        <v>0</v>
      </c>
      <c r="K1147" s="33">
        <v>0</v>
      </c>
      <c r="L1147" s="31">
        <v>0</v>
      </c>
      <c r="M1147" s="31">
        <v>550</v>
      </c>
      <c r="N1147" s="31">
        <v>2341642.21</v>
      </c>
      <c r="O1147" s="31">
        <v>0</v>
      </c>
      <c r="P1147" s="31">
        <v>0</v>
      </c>
      <c r="Q1147" s="31">
        <v>0</v>
      </c>
      <c r="R1147" s="31">
        <v>0</v>
      </c>
      <c r="S1147" s="31">
        <v>0</v>
      </c>
      <c r="T1147" s="31">
        <v>0</v>
      </c>
      <c r="U1147" s="31">
        <v>0</v>
      </c>
      <c r="V1147" s="31">
        <v>0</v>
      </c>
      <c r="W1147" s="31">
        <v>0</v>
      </c>
      <c r="X1147" s="31">
        <v>0</v>
      </c>
      <c r="Y1147" s="31">
        <v>0</v>
      </c>
      <c r="Z1147" s="31">
        <v>0</v>
      </c>
      <c r="AA1147" s="31">
        <v>0</v>
      </c>
      <c r="AB1147" s="31">
        <v>0</v>
      </c>
      <c r="AC1147" s="31">
        <f>ROUND(N1147*1.5%,2)</f>
        <v>35124.629999999997</v>
      </c>
      <c r="AD1147" s="31">
        <v>150000</v>
      </c>
      <c r="AE1147" s="31">
        <v>0</v>
      </c>
      <c r="AF1147" s="345">
        <v>2022</v>
      </c>
      <c r="AG1147" s="345">
        <v>2022</v>
      </c>
      <c r="AH1147" s="346">
        <v>2022</v>
      </c>
      <c r="AT1147" s="20" t="e">
        <f t="shared" si="282"/>
        <v>#N/A</v>
      </c>
      <c r="BZ1147" s="71"/>
    </row>
    <row r="1148" spans="1:78" ht="61.5" x14ac:dyDescent="0.85">
      <c r="A1148" s="20">
        <v>1</v>
      </c>
      <c r="B1148" s="66">
        <f>SUBTOTAL(103,$A$994:A1148)</f>
        <v>141</v>
      </c>
      <c r="C1148" s="156" t="s">
        <v>667</v>
      </c>
      <c r="D1148" s="31">
        <f t="shared" si="283"/>
        <v>4496606</v>
      </c>
      <c r="E1148" s="31">
        <v>0</v>
      </c>
      <c r="F1148" s="31">
        <v>0</v>
      </c>
      <c r="G1148" s="31">
        <v>0</v>
      </c>
      <c r="H1148" s="31">
        <v>0</v>
      </c>
      <c r="I1148" s="31">
        <v>0</v>
      </c>
      <c r="J1148" s="31">
        <v>0</v>
      </c>
      <c r="K1148" s="33">
        <v>2</v>
      </c>
      <c r="L1148" s="31">
        <v>4396606</v>
      </c>
      <c r="M1148" s="31">
        <v>0</v>
      </c>
      <c r="N1148" s="31">
        <v>0</v>
      </c>
      <c r="O1148" s="31">
        <v>0</v>
      </c>
      <c r="P1148" s="31">
        <v>0</v>
      </c>
      <c r="Q1148" s="31">
        <v>0</v>
      </c>
      <c r="R1148" s="31">
        <v>0</v>
      </c>
      <c r="S1148" s="31">
        <v>0</v>
      </c>
      <c r="T1148" s="31">
        <v>0</v>
      </c>
      <c r="U1148" s="31">
        <v>0</v>
      </c>
      <c r="V1148" s="31">
        <v>0</v>
      </c>
      <c r="W1148" s="31">
        <v>0</v>
      </c>
      <c r="X1148" s="31">
        <v>0</v>
      </c>
      <c r="Y1148" s="31">
        <v>0</v>
      </c>
      <c r="Z1148" s="31">
        <v>0</v>
      </c>
      <c r="AA1148" s="31">
        <v>0</v>
      </c>
      <c r="AB1148" s="31">
        <v>0</v>
      </c>
      <c r="AC1148" s="31">
        <v>0</v>
      </c>
      <c r="AD1148" s="31">
        <v>100000</v>
      </c>
      <c r="AE1148" s="31">
        <v>0</v>
      </c>
      <c r="AF1148" s="345">
        <v>2022</v>
      </c>
      <c r="AG1148" s="345">
        <v>2022</v>
      </c>
      <c r="AH1148" s="346" t="s">
        <v>271</v>
      </c>
      <c r="AT1148" s="20" t="e">
        <f t="shared" si="282"/>
        <v>#N/A</v>
      </c>
      <c r="BZ1148" s="71"/>
    </row>
    <row r="1149" spans="1:78" ht="61.5" x14ac:dyDescent="0.85">
      <c r="B1149" s="24" t="s">
        <v>837</v>
      </c>
      <c r="C1149" s="114"/>
      <c r="D1149" s="31">
        <f>D1150+D1151</f>
        <v>12591900</v>
      </c>
      <c r="E1149" s="31">
        <f t="shared" ref="E1149:AE1149" si="284">E1150+E1151</f>
        <v>0</v>
      </c>
      <c r="F1149" s="31">
        <f t="shared" si="284"/>
        <v>0</v>
      </c>
      <c r="G1149" s="31">
        <f t="shared" si="284"/>
        <v>0</v>
      </c>
      <c r="H1149" s="31">
        <f t="shared" si="284"/>
        <v>0</v>
      </c>
      <c r="I1149" s="31">
        <f t="shared" si="284"/>
        <v>0</v>
      </c>
      <c r="J1149" s="31">
        <f t="shared" si="284"/>
        <v>0</v>
      </c>
      <c r="K1149" s="33">
        <f t="shared" si="284"/>
        <v>0</v>
      </c>
      <c r="L1149" s="31">
        <f t="shared" si="284"/>
        <v>0</v>
      </c>
      <c r="M1149" s="31">
        <f t="shared" si="284"/>
        <v>2469</v>
      </c>
      <c r="N1149" s="31">
        <f t="shared" si="284"/>
        <v>12080689.66</v>
      </c>
      <c r="O1149" s="31">
        <f t="shared" si="284"/>
        <v>0</v>
      </c>
      <c r="P1149" s="31">
        <f t="shared" si="284"/>
        <v>0</v>
      </c>
      <c r="Q1149" s="31">
        <f t="shared" si="284"/>
        <v>0</v>
      </c>
      <c r="R1149" s="31">
        <f t="shared" si="284"/>
        <v>0</v>
      </c>
      <c r="S1149" s="31">
        <f t="shared" si="284"/>
        <v>0</v>
      </c>
      <c r="T1149" s="31">
        <f t="shared" si="284"/>
        <v>0</v>
      </c>
      <c r="U1149" s="31">
        <f t="shared" si="284"/>
        <v>0</v>
      </c>
      <c r="V1149" s="31">
        <f t="shared" si="284"/>
        <v>0</v>
      </c>
      <c r="W1149" s="31">
        <f t="shared" si="284"/>
        <v>0</v>
      </c>
      <c r="X1149" s="31">
        <f t="shared" si="284"/>
        <v>0</v>
      </c>
      <c r="Y1149" s="31">
        <f t="shared" si="284"/>
        <v>0</v>
      </c>
      <c r="Z1149" s="31">
        <f t="shared" si="284"/>
        <v>0</v>
      </c>
      <c r="AA1149" s="31">
        <f t="shared" si="284"/>
        <v>0</v>
      </c>
      <c r="AB1149" s="31">
        <f t="shared" si="284"/>
        <v>0</v>
      </c>
      <c r="AC1149" s="31">
        <f t="shared" si="284"/>
        <v>181210.34</v>
      </c>
      <c r="AD1149" s="31">
        <f t="shared" si="284"/>
        <v>330000</v>
      </c>
      <c r="AE1149" s="31">
        <f t="shared" si="284"/>
        <v>0</v>
      </c>
      <c r="AF1149" s="343" t="s">
        <v>764</v>
      </c>
      <c r="AG1149" s="343" t="s">
        <v>764</v>
      </c>
      <c r="AH1149" s="344" t="s">
        <v>764</v>
      </c>
      <c r="AT1149" s="20" t="e">
        <f t="shared" si="282"/>
        <v>#N/A</v>
      </c>
      <c r="BZ1149" s="71">
        <v>12591900</v>
      </c>
    </row>
    <row r="1150" spans="1:78" ht="61.5" x14ac:dyDescent="0.85">
      <c r="A1150" s="20">
        <v>1</v>
      </c>
      <c r="B1150" s="66">
        <f>SUBTOTAL(103,$A$994:A1150)</f>
        <v>142</v>
      </c>
      <c r="C1150" s="156" t="s">
        <v>236</v>
      </c>
      <c r="D1150" s="31">
        <f>E1150+F1150+G1150+H1150+I1150+J1150+L1150+N1150+P1150+R1150+T1150+U1150+V1150+W1150+X1150+Y1150+Z1150+AA1150+AB1150+AC1150+AD1150+AE1150</f>
        <v>4620600</v>
      </c>
      <c r="E1150" s="31">
        <v>0</v>
      </c>
      <c r="F1150" s="31">
        <v>0</v>
      </c>
      <c r="G1150" s="31">
        <v>0</v>
      </c>
      <c r="H1150" s="31">
        <v>0</v>
      </c>
      <c r="I1150" s="31">
        <v>0</v>
      </c>
      <c r="J1150" s="31">
        <v>0</v>
      </c>
      <c r="K1150" s="33">
        <v>0</v>
      </c>
      <c r="L1150" s="31">
        <v>0</v>
      </c>
      <c r="M1150" s="31">
        <v>906</v>
      </c>
      <c r="N1150" s="31">
        <v>4404532.0199999996</v>
      </c>
      <c r="O1150" s="31">
        <v>0</v>
      </c>
      <c r="P1150" s="31">
        <v>0</v>
      </c>
      <c r="Q1150" s="31">
        <v>0</v>
      </c>
      <c r="R1150" s="31">
        <v>0</v>
      </c>
      <c r="S1150" s="31">
        <v>0</v>
      </c>
      <c r="T1150" s="31">
        <v>0</v>
      </c>
      <c r="U1150" s="31">
        <v>0</v>
      </c>
      <c r="V1150" s="31">
        <v>0</v>
      </c>
      <c r="W1150" s="31">
        <v>0</v>
      </c>
      <c r="X1150" s="31">
        <v>0</v>
      </c>
      <c r="Y1150" s="31">
        <v>0</v>
      </c>
      <c r="Z1150" s="31">
        <v>0</v>
      </c>
      <c r="AA1150" s="31">
        <v>0</v>
      </c>
      <c r="AB1150" s="31">
        <v>0</v>
      </c>
      <c r="AC1150" s="31">
        <f>ROUND(N1150*1.5%,2)</f>
        <v>66067.98</v>
      </c>
      <c r="AD1150" s="31">
        <v>150000</v>
      </c>
      <c r="AE1150" s="31">
        <v>0</v>
      </c>
      <c r="AF1150" s="345">
        <v>2022</v>
      </c>
      <c r="AG1150" s="345">
        <v>2022</v>
      </c>
      <c r="AH1150" s="346">
        <v>2022</v>
      </c>
      <c r="AT1150" s="20" t="e">
        <f t="shared" si="282"/>
        <v>#N/A</v>
      </c>
      <c r="BZ1150" s="71"/>
    </row>
    <row r="1151" spans="1:78" ht="61.5" x14ac:dyDescent="0.85">
      <c r="A1151" s="20">
        <v>1</v>
      </c>
      <c r="B1151" s="66">
        <f>SUBTOTAL(103,$A$994:A1151)</f>
        <v>143</v>
      </c>
      <c r="C1151" s="156" t="s">
        <v>240</v>
      </c>
      <c r="D1151" s="31">
        <f>E1151+F1151+G1151+H1151+I1151+J1151+L1151+N1151+P1151+R1151+T1151+U1151+V1151+W1151+X1151+Y1151+Z1151+AA1151+AB1151+AC1151+AD1151+AE1151</f>
        <v>7971300</v>
      </c>
      <c r="E1151" s="31">
        <v>0</v>
      </c>
      <c r="F1151" s="31">
        <v>0</v>
      </c>
      <c r="G1151" s="31">
        <v>0</v>
      </c>
      <c r="H1151" s="31">
        <v>0</v>
      </c>
      <c r="I1151" s="31">
        <v>0</v>
      </c>
      <c r="J1151" s="31">
        <v>0</v>
      </c>
      <c r="K1151" s="33">
        <v>0</v>
      </c>
      <c r="L1151" s="31">
        <v>0</v>
      </c>
      <c r="M1151" s="31">
        <v>1563</v>
      </c>
      <c r="N1151" s="31">
        <v>7676157.6399999997</v>
      </c>
      <c r="O1151" s="31">
        <v>0</v>
      </c>
      <c r="P1151" s="31">
        <v>0</v>
      </c>
      <c r="Q1151" s="31">
        <v>0</v>
      </c>
      <c r="R1151" s="31">
        <v>0</v>
      </c>
      <c r="S1151" s="31">
        <v>0</v>
      </c>
      <c r="T1151" s="31">
        <v>0</v>
      </c>
      <c r="U1151" s="31">
        <v>0</v>
      </c>
      <c r="V1151" s="31">
        <v>0</v>
      </c>
      <c r="W1151" s="31">
        <v>0</v>
      </c>
      <c r="X1151" s="31">
        <v>0</v>
      </c>
      <c r="Y1151" s="31">
        <v>0</v>
      </c>
      <c r="Z1151" s="31">
        <v>0</v>
      </c>
      <c r="AA1151" s="31">
        <v>0</v>
      </c>
      <c r="AB1151" s="31">
        <v>0</v>
      </c>
      <c r="AC1151" s="31">
        <f>ROUND(N1151*1.5%,2)</f>
        <v>115142.36</v>
      </c>
      <c r="AD1151" s="31">
        <v>180000</v>
      </c>
      <c r="AE1151" s="31">
        <v>0</v>
      </c>
      <c r="AF1151" s="345">
        <v>2022</v>
      </c>
      <c r="AG1151" s="345">
        <v>2022</v>
      </c>
      <c r="AH1151" s="346">
        <v>2022</v>
      </c>
      <c r="AT1151" s="20" t="e">
        <f t="shared" si="282"/>
        <v>#N/A</v>
      </c>
      <c r="BZ1151" s="71"/>
    </row>
    <row r="1152" spans="1:78" ht="61.5" x14ac:dyDescent="0.85">
      <c r="B1152" s="24" t="s">
        <v>838</v>
      </c>
      <c r="C1152" s="24"/>
      <c r="D1152" s="31">
        <f>D1153</f>
        <v>1724820</v>
      </c>
      <c r="E1152" s="31">
        <f t="shared" ref="E1152:AE1152" si="285">E1153</f>
        <v>0</v>
      </c>
      <c r="F1152" s="31">
        <f t="shared" si="285"/>
        <v>0</v>
      </c>
      <c r="G1152" s="31">
        <f t="shared" si="285"/>
        <v>0</v>
      </c>
      <c r="H1152" s="31">
        <f t="shared" si="285"/>
        <v>0</v>
      </c>
      <c r="I1152" s="31">
        <f t="shared" si="285"/>
        <v>0</v>
      </c>
      <c r="J1152" s="31">
        <f t="shared" si="285"/>
        <v>0</v>
      </c>
      <c r="K1152" s="33">
        <f t="shared" si="285"/>
        <v>0</v>
      </c>
      <c r="L1152" s="31">
        <f t="shared" si="285"/>
        <v>0</v>
      </c>
      <c r="M1152" s="31">
        <f t="shared" si="285"/>
        <v>338.2</v>
      </c>
      <c r="N1152" s="31">
        <f t="shared" si="285"/>
        <v>1581103.45</v>
      </c>
      <c r="O1152" s="31">
        <f t="shared" si="285"/>
        <v>0</v>
      </c>
      <c r="P1152" s="31">
        <f t="shared" si="285"/>
        <v>0</v>
      </c>
      <c r="Q1152" s="31">
        <f t="shared" si="285"/>
        <v>0</v>
      </c>
      <c r="R1152" s="31">
        <f t="shared" si="285"/>
        <v>0</v>
      </c>
      <c r="S1152" s="31">
        <f t="shared" si="285"/>
        <v>0</v>
      </c>
      <c r="T1152" s="31">
        <f t="shared" si="285"/>
        <v>0</v>
      </c>
      <c r="U1152" s="31">
        <f t="shared" si="285"/>
        <v>0</v>
      </c>
      <c r="V1152" s="31">
        <f t="shared" si="285"/>
        <v>0</v>
      </c>
      <c r="W1152" s="31">
        <f t="shared" si="285"/>
        <v>0</v>
      </c>
      <c r="X1152" s="31">
        <f t="shared" si="285"/>
        <v>0</v>
      </c>
      <c r="Y1152" s="31">
        <f t="shared" si="285"/>
        <v>0</v>
      </c>
      <c r="Z1152" s="31">
        <f t="shared" si="285"/>
        <v>0</v>
      </c>
      <c r="AA1152" s="31">
        <f t="shared" si="285"/>
        <v>0</v>
      </c>
      <c r="AB1152" s="31">
        <f t="shared" si="285"/>
        <v>0</v>
      </c>
      <c r="AC1152" s="31">
        <f t="shared" si="285"/>
        <v>23716.55</v>
      </c>
      <c r="AD1152" s="31">
        <f t="shared" si="285"/>
        <v>120000</v>
      </c>
      <c r="AE1152" s="31">
        <f t="shared" si="285"/>
        <v>0</v>
      </c>
      <c r="AF1152" s="343" t="s">
        <v>764</v>
      </c>
      <c r="AG1152" s="343" t="s">
        <v>764</v>
      </c>
      <c r="AH1152" s="344" t="s">
        <v>764</v>
      </c>
      <c r="AT1152" s="20" t="e">
        <f t="shared" si="282"/>
        <v>#N/A</v>
      </c>
      <c r="BZ1152" s="71">
        <v>1724820</v>
      </c>
    </row>
    <row r="1153" spans="1:78" ht="61.5" x14ac:dyDescent="0.85">
      <c r="A1153" s="20">
        <v>1</v>
      </c>
      <c r="B1153" s="66">
        <f>SUBTOTAL(103,$A$994:A1153)</f>
        <v>144</v>
      </c>
      <c r="C1153" s="156" t="s">
        <v>245</v>
      </c>
      <c r="D1153" s="31">
        <f>E1153+F1153+G1153+H1153+I1153+J1153+L1153+N1153+P1153+R1153+T1153+U1153+V1153+W1153+X1153+Y1153+Z1153+AA1153+AB1153+AC1153+AD1153+AE1153</f>
        <v>1724820</v>
      </c>
      <c r="E1153" s="31">
        <v>0</v>
      </c>
      <c r="F1153" s="31">
        <v>0</v>
      </c>
      <c r="G1153" s="31">
        <v>0</v>
      </c>
      <c r="H1153" s="31">
        <v>0</v>
      </c>
      <c r="I1153" s="31">
        <v>0</v>
      </c>
      <c r="J1153" s="31">
        <v>0</v>
      </c>
      <c r="K1153" s="33">
        <v>0</v>
      </c>
      <c r="L1153" s="31">
        <v>0</v>
      </c>
      <c r="M1153" s="31">
        <v>338.2</v>
      </c>
      <c r="N1153" s="31">
        <v>1581103.45</v>
      </c>
      <c r="O1153" s="31">
        <v>0</v>
      </c>
      <c r="P1153" s="31">
        <v>0</v>
      </c>
      <c r="Q1153" s="31">
        <v>0</v>
      </c>
      <c r="R1153" s="31">
        <v>0</v>
      </c>
      <c r="S1153" s="31">
        <v>0</v>
      </c>
      <c r="T1153" s="31">
        <v>0</v>
      </c>
      <c r="U1153" s="31">
        <v>0</v>
      </c>
      <c r="V1153" s="31">
        <v>0</v>
      </c>
      <c r="W1153" s="31">
        <v>0</v>
      </c>
      <c r="X1153" s="31">
        <v>0</v>
      </c>
      <c r="Y1153" s="31">
        <v>0</v>
      </c>
      <c r="Z1153" s="31">
        <v>0</v>
      </c>
      <c r="AA1153" s="31">
        <v>0</v>
      </c>
      <c r="AB1153" s="31">
        <v>0</v>
      </c>
      <c r="AC1153" s="31">
        <f>ROUND(N1153*1.5%,2)</f>
        <v>23716.55</v>
      </c>
      <c r="AD1153" s="31">
        <v>120000</v>
      </c>
      <c r="AE1153" s="31">
        <v>0</v>
      </c>
      <c r="AF1153" s="345">
        <v>2022</v>
      </c>
      <c r="AG1153" s="345">
        <v>2022</v>
      </c>
      <c r="AH1153" s="346">
        <v>2022</v>
      </c>
      <c r="AT1153" s="20" t="e">
        <f t="shared" si="282"/>
        <v>#N/A</v>
      </c>
      <c r="BZ1153" s="71"/>
    </row>
    <row r="1154" spans="1:78" ht="61.5" x14ac:dyDescent="0.85">
      <c r="B1154" s="24" t="s">
        <v>839</v>
      </c>
      <c r="C1154" s="24"/>
      <c r="D1154" s="31">
        <f>D1155</f>
        <v>1739107.3499999999</v>
      </c>
      <c r="E1154" s="31">
        <f t="shared" ref="E1154:AE1154" si="286">E1155</f>
        <v>0</v>
      </c>
      <c r="F1154" s="31">
        <f t="shared" si="286"/>
        <v>0</v>
      </c>
      <c r="G1154" s="31">
        <f t="shared" si="286"/>
        <v>0</v>
      </c>
      <c r="H1154" s="31">
        <f t="shared" si="286"/>
        <v>0</v>
      </c>
      <c r="I1154" s="31">
        <f t="shared" si="286"/>
        <v>0</v>
      </c>
      <c r="J1154" s="31">
        <f t="shared" si="286"/>
        <v>0</v>
      </c>
      <c r="K1154" s="33">
        <f t="shared" si="286"/>
        <v>0</v>
      </c>
      <c r="L1154" s="31">
        <f t="shared" si="286"/>
        <v>0</v>
      </c>
      <c r="M1154" s="31">
        <f t="shared" si="286"/>
        <v>0</v>
      </c>
      <c r="N1154" s="31">
        <f t="shared" si="286"/>
        <v>0</v>
      </c>
      <c r="O1154" s="31">
        <f t="shared" si="286"/>
        <v>0</v>
      </c>
      <c r="P1154" s="31">
        <f t="shared" si="286"/>
        <v>0</v>
      </c>
      <c r="Q1154" s="31">
        <f t="shared" si="286"/>
        <v>568.70000000000005</v>
      </c>
      <c r="R1154" s="31">
        <f t="shared" si="286"/>
        <v>1585327.44</v>
      </c>
      <c r="S1154" s="31">
        <f t="shared" si="286"/>
        <v>0</v>
      </c>
      <c r="T1154" s="31">
        <f t="shared" si="286"/>
        <v>0</v>
      </c>
      <c r="U1154" s="31">
        <f t="shared" si="286"/>
        <v>0</v>
      </c>
      <c r="V1154" s="31">
        <f t="shared" si="286"/>
        <v>0</v>
      </c>
      <c r="W1154" s="31">
        <f t="shared" si="286"/>
        <v>0</v>
      </c>
      <c r="X1154" s="31">
        <f t="shared" si="286"/>
        <v>0</v>
      </c>
      <c r="Y1154" s="31">
        <f t="shared" si="286"/>
        <v>0</v>
      </c>
      <c r="Z1154" s="31">
        <f t="shared" si="286"/>
        <v>0</v>
      </c>
      <c r="AA1154" s="31">
        <f t="shared" si="286"/>
        <v>0</v>
      </c>
      <c r="AB1154" s="31">
        <f t="shared" si="286"/>
        <v>0</v>
      </c>
      <c r="AC1154" s="31">
        <f t="shared" si="286"/>
        <v>23779.91</v>
      </c>
      <c r="AD1154" s="31">
        <f t="shared" si="286"/>
        <v>130000</v>
      </c>
      <c r="AE1154" s="31">
        <f t="shared" si="286"/>
        <v>0</v>
      </c>
      <c r="AF1154" s="343" t="s">
        <v>764</v>
      </c>
      <c r="AG1154" s="343" t="s">
        <v>764</v>
      </c>
      <c r="AH1154" s="344" t="s">
        <v>764</v>
      </c>
      <c r="AT1154" s="20" t="e">
        <f t="shared" si="282"/>
        <v>#N/A</v>
      </c>
      <c r="BZ1154" s="71">
        <v>1739107.3499999999</v>
      </c>
    </row>
    <row r="1155" spans="1:78" ht="61.5" x14ac:dyDescent="0.85">
      <c r="A1155" s="20">
        <v>1</v>
      </c>
      <c r="B1155" s="66">
        <f>SUBTOTAL(103,$A$994:A1155)</f>
        <v>145</v>
      </c>
      <c r="C1155" s="156" t="s">
        <v>247</v>
      </c>
      <c r="D1155" s="31">
        <f>E1155+F1155+G1155+H1155+I1155+J1155+L1155+N1155+P1155+R1155+T1155+U1155+V1155+W1155+X1155+Y1155+Z1155+AA1155+AB1155+AC1155+AD1155+AE1155</f>
        <v>1739107.3499999999</v>
      </c>
      <c r="E1155" s="31">
        <v>0</v>
      </c>
      <c r="F1155" s="31">
        <v>0</v>
      </c>
      <c r="G1155" s="31">
        <v>0</v>
      </c>
      <c r="H1155" s="31">
        <v>0</v>
      </c>
      <c r="I1155" s="31">
        <v>0</v>
      </c>
      <c r="J1155" s="31">
        <v>0</v>
      </c>
      <c r="K1155" s="33">
        <v>0</v>
      </c>
      <c r="L1155" s="31">
        <v>0</v>
      </c>
      <c r="M1155" s="31">
        <v>0</v>
      </c>
      <c r="N1155" s="31">
        <v>0</v>
      </c>
      <c r="O1155" s="31">
        <v>0</v>
      </c>
      <c r="P1155" s="31">
        <v>0</v>
      </c>
      <c r="Q1155" s="31">
        <v>568.70000000000005</v>
      </c>
      <c r="R1155" s="31">
        <v>1585327.44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1">
        <v>0</v>
      </c>
      <c r="Y1155" s="31">
        <v>0</v>
      </c>
      <c r="Z1155" s="31">
        <v>0</v>
      </c>
      <c r="AA1155" s="31">
        <v>0</v>
      </c>
      <c r="AB1155" s="31">
        <v>0</v>
      </c>
      <c r="AC1155" s="31">
        <f>ROUND(R1155*1.5%,2)</f>
        <v>23779.91</v>
      </c>
      <c r="AD1155" s="31">
        <v>130000</v>
      </c>
      <c r="AE1155" s="31">
        <v>0</v>
      </c>
      <c r="AF1155" s="345">
        <v>2022</v>
      </c>
      <c r="AG1155" s="345">
        <v>2022</v>
      </c>
      <c r="AH1155" s="346">
        <v>2022</v>
      </c>
      <c r="AT1155" s="20" t="e">
        <f t="shared" si="282"/>
        <v>#N/A</v>
      </c>
      <c r="BZ1155" s="71"/>
    </row>
    <row r="1156" spans="1:78" ht="61.5" x14ac:dyDescent="0.85">
      <c r="B1156" s="24" t="s">
        <v>898</v>
      </c>
      <c r="C1156" s="183"/>
      <c r="D1156" s="31">
        <f>D1157</f>
        <v>3373804.98</v>
      </c>
      <c r="E1156" s="31">
        <f t="shared" ref="E1156:AE1156" si="287">E1157</f>
        <v>0</v>
      </c>
      <c r="F1156" s="31">
        <f t="shared" si="287"/>
        <v>0</v>
      </c>
      <c r="G1156" s="31">
        <f t="shared" si="287"/>
        <v>0</v>
      </c>
      <c r="H1156" s="31">
        <f t="shared" si="287"/>
        <v>0</v>
      </c>
      <c r="I1156" s="31">
        <f t="shared" si="287"/>
        <v>0</v>
      </c>
      <c r="J1156" s="31">
        <f t="shared" si="287"/>
        <v>0</v>
      </c>
      <c r="K1156" s="33">
        <f t="shared" si="287"/>
        <v>0</v>
      </c>
      <c r="L1156" s="31">
        <f t="shared" si="287"/>
        <v>0</v>
      </c>
      <c r="M1156" s="31">
        <f t="shared" si="287"/>
        <v>646.1</v>
      </c>
      <c r="N1156" s="31">
        <f t="shared" si="287"/>
        <v>3176162.54</v>
      </c>
      <c r="O1156" s="31">
        <f t="shared" si="287"/>
        <v>0</v>
      </c>
      <c r="P1156" s="31">
        <f t="shared" si="287"/>
        <v>0</v>
      </c>
      <c r="Q1156" s="31">
        <f t="shared" si="287"/>
        <v>0</v>
      </c>
      <c r="R1156" s="31">
        <f t="shared" si="287"/>
        <v>0</v>
      </c>
      <c r="S1156" s="31">
        <f t="shared" si="287"/>
        <v>0</v>
      </c>
      <c r="T1156" s="31">
        <f t="shared" si="287"/>
        <v>0</v>
      </c>
      <c r="U1156" s="31">
        <f t="shared" si="287"/>
        <v>0</v>
      </c>
      <c r="V1156" s="31">
        <f t="shared" si="287"/>
        <v>0</v>
      </c>
      <c r="W1156" s="31">
        <f t="shared" si="287"/>
        <v>0</v>
      </c>
      <c r="X1156" s="31">
        <f t="shared" si="287"/>
        <v>0</v>
      </c>
      <c r="Y1156" s="31">
        <f t="shared" si="287"/>
        <v>0</v>
      </c>
      <c r="Z1156" s="31">
        <f t="shared" si="287"/>
        <v>0</v>
      </c>
      <c r="AA1156" s="31">
        <f t="shared" si="287"/>
        <v>0</v>
      </c>
      <c r="AB1156" s="31">
        <f t="shared" si="287"/>
        <v>0</v>
      </c>
      <c r="AC1156" s="31">
        <f t="shared" si="287"/>
        <v>47642.44</v>
      </c>
      <c r="AD1156" s="31">
        <f t="shared" si="287"/>
        <v>150000</v>
      </c>
      <c r="AE1156" s="31">
        <f t="shared" si="287"/>
        <v>0</v>
      </c>
      <c r="AF1156" s="343" t="s">
        <v>764</v>
      </c>
      <c r="AG1156" s="343" t="s">
        <v>764</v>
      </c>
      <c r="AH1156" s="344" t="s">
        <v>764</v>
      </c>
      <c r="AT1156" s="20" t="e">
        <f t="shared" si="282"/>
        <v>#N/A</v>
      </c>
      <c r="BZ1156" s="71">
        <v>3373804.98</v>
      </c>
    </row>
    <row r="1157" spans="1:78" ht="61.5" x14ac:dyDescent="0.85">
      <c r="A1157" s="20">
        <v>1</v>
      </c>
      <c r="B1157" s="66">
        <f>SUBTOTAL(103,$A$994:A1157)</f>
        <v>146</v>
      </c>
      <c r="C1157" s="156" t="s">
        <v>4</v>
      </c>
      <c r="D1157" s="31">
        <f>E1157+F1157+G1157+H1157+I1157+J1157+L1157+N1157+P1157+R1157+T1157+U1157+V1157+W1157+X1157+Y1157+Z1157+AA1157+AB1157+AC1157+AD1157+AE1157</f>
        <v>3373804.98</v>
      </c>
      <c r="E1157" s="31">
        <v>0</v>
      </c>
      <c r="F1157" s="31">
        <v>0</v>
      </c>
      <c r="G1157" s="31">
        <v>0</v>
      </c>
      <c r="H1157" s="31">
        <v>0</v>
      </c>
      <c r="I1157" s="31">
        <v>0</v>
      </c>
      <c r="J1157" s="31">
        <v>0</v>
      </c>
      <c r="K1157" s="33">
        <v>0</v>
      </c>
      <c r="L1157" s="31">
        <v>0</v>
      </c>
      <c r="M1157" s="31">
        <v>646.1</v>
      </c>
      <c r="N1157" s="31">
        <v>3176162.54</v>
      </c>
      <c r="O1157" s="31">
        <v>0</v>
      </c>
      <c r="P1157" s="31">
        <v>0</v>
      </c>
      <c r="Q1157" s="31">
        <v>0</v>
      </c>
      <c r="R1157" s="31">
        <v>0</v>
      </c>
      <c r="S1157" s="31">
        <v>0</v>
      </c>
      <c r="T1157" s="31">
        <v>0</v>
      </c>
      <c r="U1157" s="31">
        <v>0</v>
      </c>
      <c r="V1157" s="31">
        <v>0</v>
      </c>
      <c r="W1157" s="31">
        <v>0</v>
      </c>
      <c r="X1157" s="31">
        <v>0</v>
      </c>
      <c r="Y1157" s="31">
        <v>0</v>
      </c>
      <c r="Z1157" s="31">
        <v>0</v>
      </c>
      <c r="AA1157" s="31">
        <v>0</v>
      </c>
      <c r="AB1157" s="31">
        <v>0</v>
      </c>
      <c r="AC1157" s="31">
        <f>ROUND(N1157*1.5%,2)</f>
        <v>47642.44</v>
      </c>
      <c r="AD1157" s="31">
        <v>150000</v>
      </c>
      <c r="AE1157" s="31">
        <v>0</v>
      </c>
      <c r="AF1157" s="345">
        <v>2022</v>
      </c>
      <c r="AG1157" s="345">
        <v>2022</v>
      </c>
      <c r="AH1157" s="346">
        <v>2022</v>
      </c>
      <c r="AT1157" s="20" t="e">
        <f t="shared" si="282"/>
        <v>#N/A</v>
      </c>
      <c r="BZ1157" s="71"/>
    </row>
    <row r="1158" spans="1:78" ht="61.5" x14ac:dyDescent="0.85">
      <c r="B1158" s="24" t="s">
        <v>899</v>
      </c>
      <c r="C1158" s="25"/>
      <c r="D1158" s="31">
        <f>SUM(D1159:D1160)</f>
        <v>3916350</v>
      </c>
      <c r="E1158" s="31">
        <f t="shared" ref="E1158:AE1158" si="288">SUM(E1159:E1160)</f>
        <v>0</v>
      </c>
      <c r="F1158" s="31">
        <f t="shared" si="288"/>
        <v>0</v>
      </c>
      <c r="G1158" s="31">
        <f t="shared" si="288"/>
        <v>0</v>
      </c>
      <c r="H1158" s="31">
        <f t="shared" si="288"/>
        <v>0</v>
      </c>
      <c r="I1158" s="31">
        <f t="shared" si="288"/>
        <v>0</v>
      </c>
      <c r="J1158" s="31">
        <f t="shared" si="288"/>
        <v>0</v>
      </c>
      <c r="K1158" s="33">
        <f t="shared" si="288"/>
        <v>0</v>
      </c>
      <c r="L1158" s="31">
        <f t="shared" si="288"/>
        <v>0</v>
      </c>
      <c r="M1158" s="31">
        <f t="shared" si="288"/>
        <v>897</v>
      </c>
      <c r="N1158" s="31">
        <f t="shared" si="288"/>
        <v>3562906.4</v>
      </c>
      <c r="O1158" s="31">
        <f t="shared" si="288"/>
        <v>0</v>
      </c>
      <c r="P1158" s="31">
        <f t="shared" si="288"/>
        <v>0</v>
      </c>
      <c r="Q1158" s="31">
        <f t="shared" si="288"/>
        <v>0</v>
      </c>
      <c r="R1158" s="31">
        <f t="shared" si="288"/>
        <v>0</v>
      </c>
      <c r="S1158" s="31">
        <f t="shared" si="288"/>
        <v>0</v>
      </c>
      <c r="T1158" s="31">
        <f t="shared" si="288"/>
        <v>0</v>
      </c>
      <c r="U1158" s="31">
        <f t="shared" si="288"/>
        <v>0</v>
      </c>
      <c r="V1158" s="31">
        <f t="shared" si="288"/>
        <v>0</v>
      </c>
      <c r="W1158" s="31">
        <f t="shared" si="288"/>
        <v>0</v>
      </c>
      <c r="X1158" s="31">
        <f t="shared" si="288"/>
        <v>0</v>
      </c>
      <c r="Y1158" s="31">
        <f t="shared" si="288"/>
        <v>0</v>
      </c>
      <c r="Z1158" s="31">
        <f t="shared" si="288"/>
        <v>0</v>
      </c>
      <c r="AA1158" s="31">
        <f t="shared" si="288"/>
        <v>0</v>
      </c>
      <c r="AB1158" s="31">
        <f t="shared" si="288"/>
        <v>0</v>
      </c>
      <c r="AC1158" s="31">
        <f t="shared" si="288"/>
        <v>53443.600000000006</v>
      </c>
      <c r="AD1158" s="31">
        <f t="shared" si="288"/>
        <v>300000</v>
      </c>
      <c r="AE1158" s="31">
        <f t="shared" si="288"/>
        <v>0</v>
      </c>
      <c r="AF1158" s="343" t="s">
        <v>764</v>
      </c>
      <c r="AG1158" s="343" t="s">
        <v>764</v>
      </c>
      <c r="AH1158" s="344" t="s">
        <v>764</v>
      </c>
      <c r="AT1158" s="20" t="e">
        <f t="shared" si="282"/>
        <v>#N/A</v>
      </c>
      <c r="BZ1158" s="71">
        <v>3916350</v>
      </c>
    </row>
    <row r="1159" spans="1:78" ht="61.5" x14ac:dyDescent="0.85">
      <c r="A1159" s="20">
        <v>1</v>
      </c>
      <c r="B1159" s="66">
        <f>SUBTOTAL(103,$A$994:A1159)</f>
        <v>147</v>
      </c>
      <c r="C1159" s="156" t="s">
        <v>1717</v>
      </c>
      <c r="D1159" s="31">
        <f>E1159+F1159+G1159+H1159+I1159+J1159+L1159+N1159+P1159+R1159+T1159+U1159+V1159+W1159+X1159+Y1159+Z1159+AA1159+AB1159+AC1159+AD1159+AE1159</f>
        <v>2035617.4</v>
      </c>
      <c r="E1159" s="31">
        <v>0</v>
      </c>
      <c r="F1159" s="31">
        <v>0</v>
      </c>
      <c r="G1159" s="31">
        <v>0</v>
      </c>
      <c r="H1159" s="31">
        <v>0</v>
      </c>
      <c r="I1159" s="31">
        <v>0</v>
      </c>
      <c r="J1159" s="31">
        <v>0</v>
      </c>
      <c r="K1159" s="33">
        <v>0</v>
      </c>
      <c r="L1159" s="31">
        <v>0</v>
      </c>
      <c r="M1159" s="31">
        <v>468</v>
      </c>
      <c r="N1159" s="31">
        <v>1857751.13</v>
      </c>
      <c r="O1159" s="31">
        <v>0</v>
      </c>
      <c r="P1159" s="31">
        <v>0</v>
      </c>
      <c r="Q1159" s="31">
        <v>0</v>
      </c>
      <c r="R1159" s="31">
        <v>0</v>
      </c>
      <c r="S1159" s="31">
        <v>0</v>
      </c>
      <c r="T1159" s="31">
        <v>0</v>
      </c>
      <c r="U1159" s="31">
        <v>0</v>
      </c>
      <c r="V1159" s="31">
        <v>0</v>
      </c>
      <c r="W1159" s="31">
        <v>0</v>
      </c>
      <c r="X1159" s="31">
        <v>0</v>
      </c>
      <c r="Y1159" s="31">
        <v>0</v>
      </c>
      <c r="Z1159" s="31">
        <v>0</v>
      </c>
      <c r="AA1159" s="31">
        <v>0</v>
      </c>
      <c r="AB1159" s="31">
        <v>0</v>
      </c>
      <c r="AC1159" s="31">
        <f>ROUND(N1159*1.5%,2)</f>
        <v>27866.27</v>
      </c>
      <c r="AD1159" s="31">
        <v>150000</v>
      </c>
      <c r="AE1159" s="31">
        <v>0</v>
      </c>
      <c r="AF1159" s="345">
        <v>2022</v>
      </c>
      <c r="AG1159" s="345">
        <v>2022</v>
      </c>
      <c r="AH1159" s="346">
        <v>2022</v>
      </c>
      <c r="AT1159" s="20" t="e">
        <f t="shared" si="282"/>
        <v>#N/A</v>
      </c>
      <c r="BZ1159" s="71"/>
    </row>
    <row r="1160" spans="1:78" ht="61.5" x14ac:dyDescent="0.85">
      <c r="A1160" s="20">
        <v>1</v>
      </c>
      <c r="B1160" s="66">
        <f>SUBTOTAL(103,$A$994:A1160)</f>
        <v>148</v>
      </c>
      <c r="C1160" s="156" t="s">
        <v>1718</v>
      </c>
      <c r="D1160" s="31">
        <f>E1160+F1160+G1160+H1160+I1160+J1160+L1160+N1160+P1160+R1160+T1160+U1160+V1160+W1160+X1160+Y1160+Z1160+AA1160+AB1160+AC1160+AD1160+AE1160</f>
        <v>1880732.6</v>
      </c>
      <c r="E1160" s="31">
        <v>0</v>
      </c>
      <c r="F1160" s="31">
        <v>0</v>
      </c>
      <c r="G1160" s="31">
        <v>0</v>
      </c>
      <c r="H1160" s="31">
        <v>0</v>
      </c>
      <c r="I1160" s="31">
        <v>0</v>
      </c>
      <c r="J1160" s="31">
        <v>0</v>
      </c>
      <c r="K1160" s="33">
        <v>0</v>
      </c>
      <c r="L1160" s="31">
        <v>0</v>
      </c>
      <c r="M1160" s="31">
        <v>429</v>
      </c>
      <c r="N1160" s="31">
        <f>1702938.53+2216.74</f>
        <v>1705155.27</v>
      </c>
      <c r="O1160" s="31">
        <v>0</v>
      </c>
      <c r="P1160" s="31">
        <v>0</v>
      </c>
      <c r="Q1160" s="31">
        <v>0</v>
      </c>
      <c r="R1160" s="31">
        <v>0</v>
      </c>
      <c r="S1160" s="31">
        <v>0</v>
      </c>
      <c r="T1160" s="31">
        <v>0</v>
      </c>
      <c r="U1160" s="31">
        <v>0</v>
      </c>
      <c r="V1160" s="31">
        <v>0</v>
      </c>
      <c r="W1160" s="31">
        <v>0</v>
      </c>
      <c r="X1160" s="31">
        <v>0</v>
      </c>
      <c r="Y1160" s="31">
        <v>0</v>
      </c>
      <c r="Z1160" s="31">
        <v>0</v>
      </c>
      <c r="AA1160" s="31">
        <v>0</v>
      </c>
      <c r="AB1160" s="31">
        <v>0</v>
      </c>
      <c r="AC1160" s="31">
        <f>ROUND(N1160*1.5%,2)</f>
        <v>25577.33</v>
      </c>
      <c r="AD1160" s="31">
        <v>150000</v>
      </c>
      <c r="AE1160" s="31">
        <v>0</v>
      </c>
      <c r="AF1160" s="345">
        <v>2022</v>
      </c>
      <c r="AG1160" s="345">
        <v>2022</v>
      </c>
      <c r="AH1160" s="346">
        <v>2022</v>
      </c>
      <c r="AT1160" s="20" t="e">
        <f t="shared" si="282"/>
        <v>#N/A</v>
      </c>
      <c r="BZ1160" s="71"/>
    </row>
    <row r="1161" spans="1:78" ht="61.5" x14ac:dyDescent="0.85">
      <c r="B1161" s="24" t="s">
        <v>841</v>
      </c>
      <c r="C1161" s="114"/>
      <c r="D1161" s="31">
        <f>D1162+D1163</f>
        <v>3516578.96</v>
      </c>
      <c r="E1161" s="31">
        <f t="shared" ref="E1161:AE1161" si="289">E1162+E1163</f>
        <v>0</v>
      </c>
      <c r="F1161" s="31">
        <f t="shared" si="289"/>
        <v>0</v>
      </c>
      <c r="G1161" s="31">
        <f t="shared" si="289"/>
        <v>0</v>
      </c>
      <c r="H1161" s="31">
        <f t="shared" si="289"/>
        <v>0</v>
      </c>
      <c r="I1161" s="31">
        <f t="shared" si="289"/>
        <v>0</v>
      </c>
      <c r="J1161" s="31">
        <f t="shared" si="289"/>
        <v>0</v>
      </c>
      <c r="K1161" s="33">
        <f t="shared" si="289"/>
        <v>0</v>
      </c>
      <c r="L1161" s="31">
        <f t="shared" si="289"/>
        <v>0</v>
      </c>
      <c r="M1161" s="31">
        <f t="shared" si="289"/>
        <v>856</v>
      </c>
      <c r="N1161" s="31">
        <f t="shared" si="289"/>
        <v>3228156.6100000003</v>
      </c>
      <c r="O1161" s="31">
        <f t="shared" si="289"/>
        <v>0</v>
      </c>
      <c r="P1161" s="31">
        <f t="shared" si="289"/>
        <v>0</v>
      </c>
      <c r="Q1161" s="31">
        <f t="shared" si="289"/>
        <v>0</v>
      </c>
      <c r="R1161" s="31">
        <f t="shared" si="289"/>
        <v>0</v>
      </c>
      <c r="S1161" s="31">
        <f t="shared" si="289"/>
        <v>0</v>
      </c>
      <c r="T1161" s="31">
        <f t="shared" si="289"/>
        <v>0</v>
      </c>
      <c r="U1161" s="31">
        <f t="shared" si="289"/>
        <v>0</v>
      </c>
      <c r="V1161" s="31">
        <f t="shared" si="289"/>
        <v>0</v>
      </c>
      <c r="W1161" s="31">
        <f t="shared" si="289"/>
        <v>0</v>
      </c>
      <c r="X1161" s="31">
        <f t="shared" si="289"/>
        <v>0</v>
      </c>
      <c r="Y1161" s="31">
        <f t="shared" si="289"/>
        <v>0</v>
      </c>
      <c r="Z1161" s="31">
        <f t="shared" si="289"/>
        <v>0</v>
      </c>
      <c r="AA1161" s="31">
        <f t="shared" si="289"/>
        <v>0</v>
      </c>
      <c r="AB1161" s="31">
        <f t="shared" si="289"/>
        <v>0</v>
      </c>
      <c r="AC1161" s="31">
        <f t="shared" si="289"/>
        <v>48422.350000000006</v>
      </c>
      <c r="AD1161" s="31">
        <f t="shared" si="289"/>
        <v>240000</v>
      </c>
      <c r="AE1161" s="31">
        <f t="shared" si="289"/>
        <v>0</v>
      </c>
      <c r="AF1161" s="343" t="s">
        <v>764</v>
      </c>
      <c r="AG1161" s="343" t="s">
        <v>764</v>
      </c>
      <c r="AH1161" s="344" t="s">
        <v>764</v>
      </c>
      <c r="AT1161" s="20" t="e">
        <f t="shared" si="282"/>
        <v>#N/A</v>
      </c>
      <c r="BZ1161" s="71">
        <v>3516578.96</v>
      </c>
    </row>
    <row r="1162" spans="1:78" ht="61.5" x14ac:dyDescent="0.85">
      <c r="A1162" s="20">
        <v>1</v>
      </c>
      <c r="B1162" s="66">
        <f>SUBTOTAL(103,$A$994:A1162)</f>
        <v>149</v>
      </c>
      <c r="C1162" s="156" t="s">
        <v>707</v>
      </c>
      <c r="D1162" s="31">
        <f>E1162+F1162+G1162+H1162+I1162+J1162+L1162+N1162+P1162+R1162+T1162+U1162+V1162+W1162+X1162+Y1162+Z1162+AA1162+AB1162+AC1162+AD1162+AE1162</f>
        <v>1913529.37</v>
      </c>
      <c r="E1162" s="31">
        <v>0</v>
      </c>
      <c r="F1162" s="31">
        <v>0</v>
      </c>
      <c r="G1162" s="31">
        <v>0</v>
      </c>
      <c r="H1162" s="31">
        <v>0</v>
      </c>
      <c r="I1162" s="31">
        <v>0</v>
      </c>
      <c r="J1162" s="31">
        <v>0</v>
      </c>
      <c r="K1162" s="33">
        <v>0</v>
      </c>
      <c r="L1162" s="31">
        <v>0</v>
      </c>
      <c r="M1162" s="31">
        <v>440</v>
      </c>
      <c r="N1162" s="31">
        <v>1767024.01</v>
      </c>
      <c r="O1162" s="31">
        <v>0</v>
      </c>
      <c r="P1162" s="31">
        <v>0</v>
      </c>
      <c r="Q1162" s="31">
        <v>0</v>
      </c>
      <c r="R1162" s="31">
        <v>0</v>
      </c>
      <c r="S1162" s="31">
        <v>0</v>
      </c>
      <c r="T1162" s="31">
        <v>0</v>
      </c>
      <c r="U1162" s="31">
        <v>0</v>
      </c>
      <c r="V1162" s="31">
        <v>0</v>
      </c>
      <c r="W1162" s="31">
        <v>0</v>
      </c>
      <c r="X1162" s="31">
        <v>0</v>
      </c>
      <c r="Y1162" s="31">
        <v>0</v>
      </c>
      <c r="Z1162" s="31">
        <v>0</v>
      </c>
      <c r="AA1162" s="31">
        <v>0</v>
      </c>
      <c r="AB1162" s="31">
        <v>0</v>
      </c>
      <c r="AC1162" s="31">
        <f>ROUND(N1162*1.5%,2)</f>
        <v>26505.360000000001</v>
      </c>
      <c r="AD1162" s="31">
        <v>120000</v>
      </c>
      <c r="AE1162" s="31">
        <v>0</v>
      </c>
      <c r="AF1162" s="345">
        <v>2022</v>
      </c>
      <c r="AG1162" s="345">
        <v>2022</v>
      </c>
      <c r="AH1162" s="346">
        <v>2022</v>
      </c>
      <c r="AT1162" s="20" t="e">
        <f t="shared" si="282"/>
        <v>#N/A</v>
      </c>
      <c r="BZ1162" s="71"/>
    </row>
    <row r="1163" spans="1:78" ht="61.5" x14ac:dyDescent="0.85">
      <c r="A1163" s="20">
        <v>1</v>
      </c>
      <c r="B1163" s="66">
        <f>SUBTOTAL(103,$A$994:A1163)</f>
        <v>150</v>
      </c>
      <c r="C1163" s="156" t="s">
        <v>705</v>
      </c>
      <c r="D1163" s="31">
        <f>E1163+F1163+G1163+H1163+I1163+J1163+L1163+N1163+P1163+R1163+T1163+U1163+V1163+W1163+X1163+Y1163+Z1163+AA1163+AB1163+AC1163+AD1163+AE1163</f>
        <v>1603049.59</v>
      </c>
      <c r="E1163" s="31">
        <v>0</v>
      </c>
      <c r="F1163" s="31">
        <v>0</v>
      </c>
      <c r="G1163" s="31">
        <v>0</v>
      </c>
      <c r="H1163" s="31">
        <v>0</v>
      </c>
      <c r="I1163" s="31">
        <v>0</v>
      </c>
      <c r="J1163" s="31">
        <v>0</v>
      </c>
      <c r="K1163" s="33">
        <v>0</v>
      </c>
      <c r="L1163" s="31">
        <v>0</v>
      </c>
      <c r="M1163" s="31">
        <v>416</v>
      </c>
      <c r="N1163" s="31">
        <v>1461132.6</v>
      </c>
      <c r="O1163" s="31">
        <v>0</v>
      </c>
      <c r="P1163" s="31">
        <v>0</v>
      </c>
      <c r="Q1163" s="31">
        <v>0</v>
      </c>
      <c r="R1163" s="31">
        <v>0</v>
      </c>
      <c r="S1163" s="31">
        <v>0</v>
      </c>
      <c r="T1163" s="31">
        <v>0</v>
      </c>
      <c r="U1163" s="31">
        <v>0</v>
      </c>
      <c r="V1163" s="31">
        <v>0</v>
      </c>
      <c r="W1163" s="31">
        <v>0</v>
      </c>
      <c r="X1163" s="31">
        <v>0</v>
      </c>
      <c r="Y1163" s="31">
        <v>0</v>
      </c>
      <c r="Z1163" s="31">
        <v>0</v>
      </c>
      <c r="AA1163" s="31">
        <v>0</v>
      </c>
      <c r="AB1163" s="31">
        <v>0</v>
      </c>
      <c r="AC1163" s="31">
        <f>ROUND(N1163*1.5%,2)</f>
        <v>21916.99</v>
      </c>
      <c r="AD1163" s="31">
        <v>120000</v>
      </c>
      <c r="AE1163" s="31">
        <v>0</v>
      </c>
      <c r="AF1163" s="345">
        <v>2022</v>
      </c>
      <c r="AG1163" s="345">
        <v>2022</v>
      </c>
      <c r="AH1163" s="346">
        <v>2022</v>
      </c>
      <c r="AT1163" s="20" t="e">
        <f t="shared" si="282"/>
        <v>#N/A</v>
      </c>
      <c r="BZ1163" s="71"/>
    </row>
    <row r="1164" spans="1:78" ht="61.5" x14ac:dyDescent="0.85">
      <c r="B1164" s="24" t="s">
        <v>883</v>
      </c>
      <c r="C1164" s="24"/>
      <c r="D1164" s="31">
        <f>D1165</f>
        <v>3598749.4899999998</v>
      </c>
      <c r="E1164" s="31">
        <f t="shared" ref="E1164:AE1164" si="290">E1165</f>
        <v>0</v>
      </c>
      <c r="F1164" s="31">
        <f t="shared" si="290"/>
        <v>0</v>
      </c>
      <c r="G1164" s="31">
        <f t="shared" si="290"/>
        <v>0</v>
      </c>
      <c r="H1164" s="31">
        <f t="shared" si="290"/>
        <v>0</v>
      </c>
      <c r="I1164" s="31">
        <f t="shared" si="290"/>
        <v>0</v>
      </c>
      <c r="J1164" s="31">
        <f t="shared" si="290"/>
        <v>0</v>
      </c>
      <c r="K1164" s="33">
        <f t="shared" si="290"/>
        <v>0</v>
      </c>
      <c r="L1164" s="31">
        <f t="shared" si="290"/>
        <v>0</v>
      </c>
      <c r="M1164" s="31">
        <f t="shared" si="290"/>
        <v>975.8</v>
      </c>
      <c r="N1164" s="31">
        <f t="shared" si="290"/>
        <v>3427339.4</v>
      </c>
      <c r="O1164" s="31">
        <f t="shared" si="290"/>
        <v>0</v>
      </c>
      <c r="P1164" s="31">
        <f t="shared" si="290"/>
        <v>0</v>
      </c>
      <c r="Q1164" s="31">
        <f t="shared" si="290"/>
        <v>0</v>
      </c>
      <c r="R1164" s="31">
        <f t="shared" si="290"/>
        <v>0</v>
      </c>
      <c r="S1164" s="31">
        <f t="shared" si="290"/>
        <v>0</v>
      </c>
      <c r="T1164" s="31">
        <f t="shared" si="290"/>
        <v>0</v>
      </c>
      <c r="U1164" s="31">
        <f t="shared" si="290"/>
        <v>0</v>
      </c>
      <c r="V1164" s="31">
        <f t="shared" si="290"/>
        <v>0</v>
      </c>
      <c r="W1164" s="31">
        <f t="shared" si="290"/>
        <v>0</v>
      </c>
      <c r="X1164" s="31">
        <f t="shared" si="290"/>
        <v>0</v>
      </c>
      <c r="Y1164" s="31">
        <f t="shared" si="290"/>
        <v>0</v>
      </c>
      <c r="Z1164" s="31">
        <f t="shared" si="290"/>
        <v>0</v>
      </c>
      <c r="AA1164" s="31">
        <f t="shared" si="290"/>
        <v>0</v>
      </c>
      <c r="AB1164" s="31">
        <f t="shared" si="290"/>
        <v>0</v>
      </c>
      <c r="AC1164" s="31">
        <f t="shared" si="290"/>
        <v>51410.09</v>
      </c>
      <c r="AD1164" s="31">
        <f t="shared" si="290"/>
        <v>120000</v>
      </c>
      <c r="AE1164" s="31">
        <f t="shared" si="290"/>
        <v>0</v>
      </c>
      <c r="AF1164" s="343" t="s">
        <v>764</v>
      </c>
      <c r="AG1164" s="343" t="s">
        <v>764</v>
      </c>
      <c r="AH1164" s="344" t="s">
        <v>764</v>
      </c>
      <c r="AT1164" s="20" t="e">
        <f t="shared" si="282"/>
        <v>#N/A</v>
      </c>
      <c r="BZ1164" s="71">
        <v>3598749.4899999998</v>
      </c>
    </row>
    <row r="1165" spans="1:78" ht="61.5" x14ac:dyDescent="0.85">
      <c r="A1165" s="20">
        <v>1</v>
      </c>
      <c r="B1165" s="66">
        <f>SUBTOTAL(103,$A$994:A1165)</f>
        <v>151</v>
      </c>
      <c r="C1165" s="156" t="s">
        <v>713</v>
      </c>
      <c r="D1165" s="31">
        <f>E1165+F1165+G1165+H1165+I1165+J1165+L1165+N1165+P1165+R1165+T1165+U1165+V1165+W1165+X1165+Y1165+Z1165+AA1165+AB1165+AC1165+AD1165+AE1165</f>
        <v>3598749.4899999998</v>
      </c>
      <c r="E1165" s="31">
        <v>0</v>
      </c>
      <c r="F1165" s="31">
        <v>0</v>
      </c>
      <c r="G1165" s="31">
        <v>0</v>
      </c>
      <c r="H1165" s="31">
        <v>0</v>
      </c>
      <c r="I1165" s="31">
        <v>0</v>
      </c>
      <c r="J1165" s="31">
        <v>0</v>
      </c>
      <c r="K1165" s="33">
        <v>0</v>
      </c>
      <c r="L1165" s="31">
        <v>0</v>
      </c>
      <c r="M1165" s="31">
        <v>975.8</v>
      </c>
      <c r="N1165" s="31">
        <v>3427339.4</v>
      </c>
      <c r="O1165" s="31">
        <v>0</v>
      </c>
      <c r="P1165" s="31">
        <v>0</v>
      </c>
      <c r="Q1165" s="31">
        <v>0</v>
      </c>
      <c r="R1165" s="31">
        <v>0</v>
      </c>
      <c r="S1165" s="31">
        <v>0</v>
      </c>
      <c r="T1165" s="31">
        <v>0</v>
      </c>
      <c r="U1165" s="31">
        <v>0</v>
      </c>
      <c r="V1165" s="31">
        <v>0</v>
      </c>
      <c r="W1165" s="31">
        <v>0</v>
      </c>
      <c r="X1165" s="31">
        <v>0</v>
      </c>
      <c r="Y1165" s="31">
        <v>0</v>
      </c>
      <c r="Z1165" s="31">
        <v>0</v>
      </c>
      <c r="AA1165" s="31">
        <v>0</v>
      </c>
      <c r="AB1165" s="31">
        <v>0</v>
      </c>
      <c r="AC1165" s="31">
        <f>ROUND(N1165*1.5%,2)</f>
        <v>51410.09</v>
      </c>
      <c r="AD1165" s="31">
        <v>120000</v>
      </c>
      <c r="AE1165" s="31">
        <v>0</v>
      </c>
      <c r="AF1165" s="345">
        <v>2022</v>
      </c>
      <c r="AG1165" s="345">
        <v>2022</v>
      </c>
      <c r="AH1165" s="346">
        <v>2022</v>
      </c>
      <c r="AT1165" s="20" t="e">
        <f t="shared" si="282"/>
        <v>#N/A</v>
      </c>
      <c r="BZ1165" s="71"/>
    </row>
    <row r="1166" spans="1:78" ht="61.5" x14ac:dyDescent="0.85">
      <c r="B1166" s="24" t="s">
        <v>843</v>
      </c>
      <c r="C1166" s="24"/>
      <c r="D1166" s="31">
        <f>D1167</f>
        <v>1925593.0499999998</v>
      </c>
      <c r="E1166" s="31">
        <f t="shared" ref="E1166:AE1166" si="291">E1167</f>
        <v>0</v>
      </c>
      <c r="F1166" s="31">
        <f t="shared" si="291"/>
        <v>0</v>
      </c>
      <c r="G1166" s="31">
        <f t="shared" si="291"/>
        <v>0</v>
      </c>
      <c r="H1166" s="31">
        <f t="shared" si="291"/>
        <v>0</v>
      </c>
      <c r="I1166" s="31">
        <f t="shared" si="291"/>
        <v>0</v>
      </c>
      <c r="J1166" s="31">
        <f t="shared" si="291"/>
        <v>0</v>
      </c>
      <c r="K1166" s="33">
        <f t="shared" si="291"/>
        <v>0</v>
      </c>
      <c r="L1166" s="31">
        <f t="shared" si="291"/>
        <v>0</v>
      </c>
      <c r="M1166" s="31">
        <f t="shared" si="291"/>
        <v>945</v>
      </c>
      <c r="N1166" s="31">
        <f t="shared" si="291"/>
        <v>1778909.41</v>
      </c>
      <c r="O1166" s="31">
        <f t="shared" si="291"/>
        <v>0</v>
      </c>
      <c r="P1166" s="31">
        <f t="shared" si="291"/>
        <v>0</v>
      </c>
      <c r="Q1166" s="31">
        <f t="shared" si="291"/>
        <v>0</v>
      </c>
      <c r="R1166" s="31">
        <f t="shared" si="291"/>
        <v>0</v>
      </c>
      <c r="S1166" s="31">
        <f t="shared" si="291"/>
        <v>0</v>
      </c>
      <c r="T1166" s="31">
        <f t="shared" si="291"/>
        <v>0</v>
      </c>
      <c r="U1166" s="31">
        <f t="shared" si="291"/>
        <v>0</v>
      </c>
      <c r="V1166" s="31">
        <f t="shared" si="291"/>
        <v>0</v>
      </c>
      <c r="W1166" s="31">
        <f t="shared" si="291"/>
        <v>0</v>
      </c>
      <c r="X1166" s="31">
        <f t="shared" si="291"/>
        <v>0</v>
      </c>
      <c r="Y1166" s="31">
        <f t="shared" si="291"/>
        <v>0</v>
      </c>
      <c r="Z1166" s="31">
        <f t="shared" si="291"/>
        <v>0</v>
      </c>
      <c r="AA1166" s="31">
        <f t="shared" si="291"/>
        <v>0</v>
      </c>
      <c r="AB1166" s="31">
        <f t="shared" si="291"/>
        <v>0</v>
      </c>
      <c r="AC1166" s="31">
        <f t="shared" si="291"/>
        <v>26683.64</v>
      </c>
      <c r="AD1166" s="31">
        <f t="shared" si="291"/>
        <v>120000</v>
      </c>
      <c r="AE1166" s="31">
        <f t="shared" si="291"/>
        <v>0</v>
      </c>
      <c r="AF1166" s="343" t="s">
        <v>764</v>
      </c>
      <c r="AG1166" s="343" t="s">
        <v>764</v>
      </c>
      <c r="AH1166" s="344" t="s">
        <v>764</v>
      </c>
      <c r="AT1166" s="20" t="e">
        <f t="shared" si="282"/>
        <v>#N/A</v>
      </c>
      <c r="BZ1166" s="71">
        <v>3488946.79</v>
      </c>
    </row>
    <row r="1167" spans="1:78" ht="61.5" x14ac:dyDescent="0.85">
      <c r="A1167" s="20">
        <v>1</v>
      </c>
      <c r="B1167" s="66">
        <f>SUBTOTAL(103,$A$994:A1167)</f>
        <v>152</v>
      </c>
      <c r="C1167" s="156" t="s">
        <v>711</v>
      </c>
      <c r="D1167" s="31">
        <f>E1167+F1167+G1167+H1167+I1167+J1167+L1167+N1167+P1167+R1167+T1167+U1167+V1167+W1167+X1167+Y1167+Z1167+AA1167+AB1167+AC1167+AD1167+AE1167</f>
        <v>1925593.0499999998</v>
      </c>
      <c r="E1167" s="31">
        <v>0</v>
      </c>
      <c r="F1167" s="31">
        <v>0</v>
      </c>
      <c r="G1167" s="31">
        <v>0</v>
      </c>
      <c r="H1167" s="31">
        <v>0</v>
      </c>
      <c r="I1167" s="31">
        <v>0</v>
      </c>
      <c r="J1167" s="31">
        <v>0</v>
      </c>
      <c r="K1167" s="33">
        <v>0</v>
      </c>
      <c r="L1167" s="31">
        <v>0</v>
      </c>
      <c r="M1167" s="31">
        <v>945</v>
      </c>
      <c r="N1167" s="206">
        <f>3319159.4-1540249.99</f>
        <v>1778909.41</v>
      </c>
      <c r="O1167" s="31">
        <v>0</v>
      </c>
      <c r="P1167" s="31">
        <v>0</v>
      </c>
      <c r="Q1167" s="31">
        <v>0</v>
      </c>
      <c r="R1167" s="31">
        <v>0</v>
      </c>
      <c r="S1167" s="31">
        <v>0</v>
      </c>
      <c r="T1167" s="31">
        <v>0</v>
      </c>
      <c r="U1167" s="31">
        <v>0</v>
      </c>
      <c r="V1167" s="31">
        <v>0</v>
      </c>
      <c r="W1167" s="31">
        <v>0</v>
      </c>
      <c r="X1167" s="31">
        <v>0</v>
      </c>
      <c r="Y1167" s="31">
        <v>0</v>
      </c>
      <c r="Z1167" s="31">
        <v>0</v>
      </c>
      <c r="AA1167" s="31">
        <v>0</v>
      </c>
      <c r="AB1167" s="31">
        <v>0</v>
      </c>
      <c r="AC1167" s="31">
        <f>ROUND(N1167*1.5%,2)</f>
        <v>26683.64</v>
      </c>
      <c r="AD1167" s="31">
        <v>120000</v>
      </c>
      <c r="AE1167" s="31">
        <v>0</v>
      </c>
      <c r="AF1167" s="345">
        <v>2022</v>
      </c>
      <c r="AG1167" s="345">
        <v>2022</v>
      </c>
      <c r="AH1167" s="346">
        <v>2022</v>
      </c>
      <c r="AT1167" s="20" t="e">
        <f t="shared" si="282"/>
        <v>#N/A</v>
      </c>
      <c r="BZ1167" s="71"/>
    </row>
    <row r="1168" spans="1:78" ht="61.5" x14ac:dyDescent="0.85">
      <c r="B1168" s="24" t="s">
        <v>900</v>
      </c>
      <c r="C1168" s="24"/>
      <c r="D1168" s="31">
        <f>D1169</f>
        <v>1538879.17</v>
      </c>
      <c r="E1168" s="31">
        <f t="shared" ref="E1168:AE1168" si="292">E1169</f>
        <v>0</v>
      </c>
      <c r="F1168" s="31">
        <f t="shared" si="292"/>
        <v>0</v>
      </c>
      <c r="G1168" s="31">
        <f t="shared" si="292"/>
        <v>0</v>
      </c>
      <c r="H1168" s="31">
        <f t="shared" si="292"/>
        <v>0</v>
      </c>
      <c r="I1168" s="31">
        <f t="shared" si="292"/>
        <v>0</v>
      </c>
      <c r="J1168" s="31">
        <f t="shared" si="292"/>
        <v>0</v>
      </c>
      <c r="K1168" s="33">
        <f t="shared" si="292"/>
        <v>0</v>
      </c>
      <c r="L1168" s="31">
        <f t="shared" si="292"/>
        <v>0</v>
      </c>
      <c r="M1168" s="31">
        <f t="shared" si="292"/>
        <v>398</v>
      </c>
      <c r="N1168" s="31">
        <f t="shared" si="292"/>
        <v>1397910.51</v>
      </c>
      <c r="O1168" s="31">
        <f t="shared" si="292"/>
        <v>0</v>
      </c>
      <c r="P1168" s="31">
        <f t="shared" si="292"/>
        <v>0</v>
      </c>
      <c r="Q1168" s="31">
        <f t="shared" si="292"/>
        <v>0</v>
      </c>
      <c r="R1168" s="31">
        <f t="shared" si="292"/>
        <v>0</v>
      </c>
      <c r="S1168" s="31">
        <f t="shared" si="292"/>
        <v>0</v>
      </c>
      <c r="T1168" s="31">
        <f t="shared" si="292"/>
        <v>0</v>
      </c>
      <c r="U1168" s="31">
        <f t="shared" si="292"/>
        <v>0</v>
      </c>
      <c r="V1168" s="31">
        <f t="shared" si="292"/>
        <v>0</v>
      </c>
      <c r="W1168" s="31">
        <f t="shared" si="292"/>
        <v>0</v>
      </c>
      <c r="X1168" s="31">
        <f t="shared" si="292"/>
        <v>0</v>
      </c>
      <c r="Y1168" s="31">
        <f t="shared" si="292"/>
        <v>0</v>
      </c>
      <c r="Z1168" s="31">
        <f t="shared" si="292"/>
        <v>0</v>
      </c>
      <c r="AA1168" s="31">
        <f t="shared" si="292"/>
        <v>0</v>
      </c>
      <c r="AB1168" s="31">
        <f t="shared" si="292"/>
        <v>0</v>
      </c>
      <c r="AC1168" s="31">
        <f t="shared" si="292"/>
        <v>20968.66</v>
      </c>
      <c r="AD1168" s="31">
        <f t="shared" si="292"/>
        <v>120000</v>
      </c>
      <c r="AE1168" s="31">
        <f t="shared" si="292"/>
        <v>0</v>
      </c>
      <c r="AF1168" s="343" t="s">
        <v>764</v>
      </c>
      <c r="AG1168" s="343" t="s">
        <v>764</v>
      </c>
      <c r="AH1168" s="344" t="s">
        <v>764</v>
      </c>
      <c r="AT1168" s="20" t="e">
        <f t="shared" si="282"/>
        <v>#N/A</v>
      </c>
      <c r="BZ1168" s="71">
        <v>1538879.17</v>
      </c>
    </row>
    <row r="1169" spans="1:80" ht="61.5" x14ac:dyDescent="0.85">
      <c r="A1169" s="20">
        <v>1</v>
      </c>
      <c r="B1169" s="66">
        <f>SUBTOTAL(103,$A$994:A1169)</f>
        <v>153</v>
      </c>
      <c r="C1169" s="156" t="s">
        <v>708</v>
      </c>
      <c r="D1169" s="31">
        <f>E1169+F1169+G1169+H1169+I1169+J1169+L1169+N1169+P1169+R1169+T1169+U1169+V1169+W1169+X1169+Y1169+Z1169+AA1169+AB1169+AC1169+AD1169+AE1169</f>
        <v>1538879.17</v>
      </c>
      <c r="E1169" s="31">
        <v>0</v>
      </c>
      <c r="F1169" s="31">
        <v>0</v>
      </c>
      <c r="G1169" s="31">
        <v>0</v>
      </c>
      <c r="H1169" s="31">
        <v>0</v>
      </c>
      <c r="I1169" s="31">
        <v>0</v>
      </c>
      <c r="J1169" s="31">
        <v>0</v>
      </c>
      <c r="K1169" s="33">
        <v>0</v>
      </c>
      <c r="L1169" s="31">
        <v>0</v>
      </c>
      <c r="M1169" s="31">
        <v>398</v>
      </c>
      <c r="N1169" s="31">
        <v>1397910.51</v>
      </c>
      <c r="O1169" s="31">
        <v>0</v>
      </c>
      <c r="P1169" s="31">
        <v>0</v>
      </c>
      <c r="Q1169" s="31">
        <v>0</v>
      </c>
      <c r="R1169" s="31">
        <v>0</v>
      </c>
      <c r="S1169" s="31">
        <v>0</v>
      </c>
      <c r="T1169" s="31">
        <v>0</v>
      </c>
      <c r="U1169" s="31">
        <v>0</v>
      </c>
      <c r="V1169" s="31">
        <v>0</v>
      </c>
      <c r="W1169" s="31">
        <v>0</v>
      </c>
      <c r="X1169" s="31">
        <v>0</v>
      </c>
      <c r="Y1169" s="31">
        <v>0</v>
      </c>
      <c r="Z1169" s="31">
        <v>0</v>
      </c>
      <c r="AA1169" s="31">
        <v>0</v>
      </c>
      <c r="AB1169" s="31">
        <v>0</v>
      </c>
      <c r="AC1169" s="31">
        <f>ROUND(N1169*1.5%,2)</f>
        <v>20968.66</v>
      </c>
      <c r="AD1169" s="31">
        <v>120000</v>
      </c>
      <c r="AE1169" s="31">
        <v>0</v>
      </c>
      <c r="AF1169" s="345">
        <v>2022</v>
      </c>
      <c r="AG1169" s="345">
        <v>2022</v>
      </c>
      <c r="AH1169" s="346">
        <v>2022</v>
      </c>
      <c r="AT1169" s="20" t="e">
        <f t="shared" si="282"/>
        <v>#N/A</v>
      </c>
      <c r="BZ1169" s="71"/>
    </row>
    <row r="1170" spans="1:80" ht="61.5" x14ac:dyDescent="0.85">
      <c r="B1170" s="24" t="s">
        <v>844</v>
      </c>
      <c r="C1170" s="114"/>
      <c r="D1170" s="31">
        <f>SUM(D1171:D1176)</f>
        <v>29368928.999999996</v>
      </c>
      <c r="E1170" s="31">
        <f t="shared" ref="E1170:AE1170" si="293">SUM(E1171:E1176)</f>
        <v>0</v>
      </c>
      <c r="F1170" s="31">
        <f t="shared" si="293"/>
        <v>0</v>
      </c>
      <c r="G1170" s="31">
        <f t="shared" si="293"/>
        <v>0</v>
      </c>
      <c r="H1170" s="31">
        <f t="shared" si="293"/>
        <v>0</v>
      </c>
      <c r="I1170" s="31">
        <f t="shared" si="293"/>
        <v>0</v>
      </c>
      <c r="J1170" s="31">
        <f t="shared" si="293"/>
        <v>0</v>
      </c>
      <c r="K1170" s="33">
        <f t="shared" si="293"/>
        <v>0</v>
      </c>
      <c r="L1170" s="31">
        <f t="shared" si="293"/>
        <v>0</v>
      </c>
      <c r="M1170" s="31">
        <f t="shared" si="293"/>
        <v>3779.6</v>
      </c>
      <c r="N1170" s="31">
        <f t="shared" si="293"/>
        <v>20236969.890000001</v>
      </c>
      <c r="O1170" s="31">
        <f t="shared" si="293"/>
        <v>0</v>
      </c>
      <c r="P1170" s="31">
        <f t="shared" si="293"/>
        <v>0</v>
      </c>
      <c r="Q1170" s="31">
        <f t="shared" si="293"/>
        <v>0</v>
      </c>
      <c r="R1170" s="31">
        <f t="shared" si="293"/>
        <v>0</v>
      </c>
      <c r="S1170" s="31">
        <f t="shared" si="293"/>
        <v>0</v>
      </c>
      <c r="T1170" s="31">
        <f t="shared" si="293"/>
        <v>0</v>
      </c>
      <c r="U1170" s="31">
        <f t="shared" si="293"/>
        <v>7702861.6199999992</v>
      </c>
      <c r="V1170" s="31">
        <f t="shared" si="293"/>
        <v>0</v>
      </c>
      <c r="W1170" s="31">
        <f t="shared" si="293"/>
        <v>0</v>
      </c>
      <c r="X1170" s="31">
        <f t="shared" si="293"/>
        <v>0</v>
      </c>
      <c r="Y1170" s="31">
        <f t="shared" si="293"/>
        <v>0</v>
      </c>
      <c r="Z1170" s="31">
        <f t="shared" si="293"/>
        <v>0</v>
      </c>
      <c r="AA1170" s="31">
        <f t="shared" si="293"/>
        <v>0</v>
      </c>
      <c r="AB1170" s="31">
        <f t="shared" si="293"/>
        <v>0</v>
      </c>
      <c r="AC1170" s="31">
        <f t="shared" si="293"/>
        <v>419097.49</v>
      </c>
      <c r="AD1170" s="31">
        <f t="shared" si="293"/>
        <v>1010000</v>
      </c>
      <c r="AE1170" s="31">
        <f t="shared" si="293"/>
        <v>0</v>
      </c>
      <c r="AF1170" s="343" t="s">
        <v>764</v>
      </c>
      <c r="AG1170" s="343" t="s">
        <v>764</v>
      </c>
      <c r="AH1170" s="344" t="s">
        <v>764</v>
      </c>
      <c r="AT1170" s="20" t="e">
        <f t="shared" si="282"/>
        <v>#N/A</v>
      </c>
      <c r="BZ1170" s="31">
        <v>28415186.599999998</v>
      </c>
      <c r="CA1170" s="31"/>
      <c r="CB1170" s="31">
        <f>BZ1170-D1170</f>
        <v>-953742.39999999851</v>
      </c>
    </row>
    <row r="1171" spans="1:80" ht="61.5" x14ac:dyDescent="0.85">
      <c r="A1171" s="20">
        <v>1</v>
      </c>
      <c r="B1171" s="66">
        <f>SUBTOTAL(103,$A$994:A1171)</f>
        <v>154</v>
      </c>
      <c r="C1171" s="156" t="s">
        <v>134</v>
      </c>
      <c r="D1171" s="31">
        <f t="shared" ref="D1171:D1176" si="294">E1171+F1171+G1171+H1171+I1171+J1171+L1171+N1171+P1171+R1171+T1171+U1171+V1171+W1171+X1171+Y1171+Z1171+AA1171+AB1171+AC1171+AD1171+AE1171</f>
        <v>6533531.75</v>
      </c>
      <c r="E1171" s="31">
        <v>0</v>
      </c>
      <c r="F1171" s="31">
        <v>0</v>
      </c>
      <c r="G1171" s="31">
        <v>0</v>
      </c>
      <c r="H1171" s="31">
        <v>0</v>
      </c>
      <c r="I1171" s="31">
        <v>0</v>
      </c>
      <c r="J1171" s="31">
        <v>0</v>
      </c>
      <c r="K1171" s="33">
        <v>0</v>
      </c>
      <c r="L1171" s="31">
        <v>0</v>
      </c>
      <c r="M1171" s="31">
        <v>1175</v>
      </c>
      <c r="N1171" s="31">
        <f>5610837.44+648799.75</f>
        <v>6259637.1900000004</v>
      </c>
      <c r="O1171" s="31">
        <v>0</v>
      </c>
      <c r="P1171" s="31">
        <v>0</v>
      </c>
      <c r="Q1171" s="31">
        <v>0</v>
      </c>
      <c r="R1171" s="31">
        <v>0</v>
      </c>
      <c r="S1171" s="31">
        <v>0</v>
      </c>
      <c r="T1171" s="31">
        <v>0</v>
      </c>
      <c r="U1171" s="31">
        <v>0</v>
      </c>
      <c r="V1171" s="31">
        <v>0</v>
      </c>
      <c r="W1171" s="31">
        <v>0</v>
      </c>
      <c r="X1171" s="31">
        <v>0</v>
      </c>
      <c r="Y1171" s="31">
        <v>0</v>
      </c>
      <c r="Z1171" s="31">
        <v>0</v>
      </c>
      <c r="AA1171" s="31">
        <v>0</v>
      </c>
      <c r="AB1171" s="31">
        <v>0</v>
      </c>
      <c r="AC1171" s="31">
        <f>ROUND(N1171*1.5%,2)</f>
        <v>93894.56</v>
      </c>
      <c r="AD1171" s="31">
        <v>180000</v>
      </c>
      <c r="AE1171" s="31">
        <v>0</v>
      </c>
      <c r="AF1171" s="345">
        <v>2022</v>
      </c>
      <c r="AG1171" s="345">
        <v>2022</v>
      </c>
      <c r="AH1171" s="346">
        <v>2022</v>
      </c>
      <c r="AT1171" s="20" t="e">
        <f t="shared" si="282"/>
        <v>#N/A</v>
      </c>
      <c r="BZ1171" s="71"/>
    </row>
    <row r="1172" spans="1:80" ht="61.5" x14ac:dyDescent="0.85">
      <c r="A1172" s="20">
        <v>1</v>
      </c>
      <c r="B1172" s="66">
        <f>SUBTOTAL(103,$A$994:A1172)</f>
        <v>155</v>
      </c>
      <c r="C1172" s="156" t="s">
        <v>131</v>
      </c>
      <c r="D1172" s="31">
        <f t="shared" si="294"/>
        <v>5163742.3999999994</v>
      </c>
      <c r="E1172" s="31">
        <v>0</v>
      </c>
      <c r="F1172" s="31">
        <v>0</v>
      </c>
      <c r="G1172" s="31">
        <v>0</v>
      </c>
      <c r="H1172" s="31">
        <v>0</v>
      </c>
      <c r="I1172" s="31">
        <v>0</v>
      </c>
      <c r="J1172" s="31">
        <v>0</v>
      </c>
      <c r="K1172" s="33">
        <v>0</v>
      </c>
      <c r="L1172" s="31">
        <v>0</v>
      </c>
      <c r="M1172" s="31">
        <v>0</v>
      </c>
      <c r="N1172" s="31">
        <v>0</v>
      </c>
      <c r="O1172" s="31">
        <v>0</v>
      </c>
      <c r="P1172" s="31">
        <v>0</v>
      </c>
      <c r="Q1172" s="31">
        <v>0</v>
      </c>
      <c r="R1172" s="31">
        <v>0</v>
      </c>
      <c r="S1172" s="31">
        <v>0</v>
      </c>
      <c r="T1172" s="31">
        <v>0</v>
      </c>
      <c r="U1172" s="31">
        <v>4890386.5999999996</v>
      </c>
      <c r="V1172" s="31">
        <v>0</v>
      </c>
      <c r="W1172" s="31">
        <v>0</v>
      </c>
      <c r="X1172" s="31">
        <v>0</v>
      </c>
      <c r="Y1172" s="31">
        <v>0</v>
      </c>
      <c r="Z1172" s="31">
        <v>0</v>
      </c>
      <c r="AA1172" s="31">
        <v>0</v>
      </c>
      <c r="AB1172" s="31">
        <v>0</v>
      </c>
      <c r="AC1172" s="31">
        <f>ROUND(U1172*1.5%,2)</f>
        <v>73355.8</v>
      </c>
      <c r="AD1172" s="31">
        <v>200000</v>
      </c>
      <c r="AE1172" s="31">
        <v>0</v>
      </c>
      <c r="AF1172" s="345">
        <v>2022</v>
      </c>
      <c r="AG1172" s="345">
        <v>2022</v>
      </c>
      <c r="AH1172" s="346">
        <v>2022</v>
      </c>
      <c r="AT1172" s="20" t="e">
        <f t="shared" si="282"/>
        <v>#N/A</v>
      </c>
      <c r="BZ1172" s="71"/>
    </row>
    <row r="1173" spans="1:80" ht="61.5" x14ac:dyDescent="0.85">
      <c r="A1173" s="20">
        <v>1</v>
      </c>
      <c r="B1173" s="66">
        <f>SUBTOTAL(103,$A$994:A1173)</f>
        <v>156</v>
      </c>
      <c r="C1173" s="156" t="s">
        <v>136</v>
      </c>
      <c r="D1173" s="31">
        <f t="shared" si="294"/>
        <v>4587373.3600000003</v>
      </c>
      <c r="E1173" s="31">
        <v>0</v>
      </c>
      <c r="F1173" s="31">
        <v>0</v>
      </c>
      <c r="G1173" s="31">
        <v>0</v>
      </c>
      <c r="H1173" s="31">
        <v>0</v>
      </c>
      <c r="I1173" s="31">
        <v>0</v>
      </c>
      <c r="J1173" s="31">
        <v>0</v>
      </c>
      <c r="K1173" s="33">
        <v>0</v>
      </c>
      <c r="L1173" s="31">
        <v>0</v>
      </c>
      <c r="M1173" s="31">
        <v>825</v>
      </c>
      <c r="N1173" s="31">
        <f>3916256.16+455540.25</f>
        <v>4371796.41</v>
      </c>
      <c r="O1173" s="31">
        <v>0</v>
      </c>
      <c r="P1173" s="31">
        <v>0</v>
      </c>
      <c r="Q1173" s="31">
        <v>0</v>
      </c>
      <c r="R1173" s="31">
        <v>0</v>
      </c>
      <c r="S1173" s="31">
        <v>0</v>
      </c>
      <c r="T1173" s="31">
        <v>0</v>
      </c>
      <c r="U1173" s="31">
        <v>0</v>
      </c>
      <c r="V1173" s="31">
        <v>0</v>
      </c>
      <c r="W1173" s="31">
        <v>0</v>
      </c>
      <c r="X1173" s="31">
        <v>0</v>
      </c>
      <c r="Y1173" s="31">
        <v>0</v>
      </c>
      <c r="Z1173" s="31">
        <v>0</v>
      </c>
      <c r="AA1173" s="31">
        <v>0</v>
      </c>
      <c r="AB1173" s="31">
        <v>0</v>
      </c>
      <c r="AC1173" s="31">
        <f>ROUND(N1173*1.5%,2)</f>
        <v>65576.95</v>
      </c>
      <c r="AD1173" s="31">
        <v>150000</v>
      </c>
      <c r="AE1173" s="31">
        <v>0</v>
      </c>
      <c r="AF1173" s="345">
        <v>2022</v>
      </c>
      <c r="AG1173" s="345">
        <v>2022</v>
      </c>
      <c r="AH1173" s="346">
        <v>2022</v>
      </c>
      <c r="AT1173" s="20" t="e">
        <f t="shared" si="282"/>
        <v>#N/A</v>
      </c>
      <c r="BZ1173" s="71"/>
    </row>
    <row r="1174" spans="1:80" ht="61.5" x14ac:dyDescent="0.85">
      <c r="A1174" s="20">
        <v>1</v>
      </c>
      <c r="B1174" s="66">
        <f>SUBTOTAL(103,$A$994:A1174)</f>
        <v>157</v>
      </c>
      <c r="C1174" s="156" t="s">
        <v>132</v>
      </c>
      <c r="D1174" s="31">
        <f t="shared" si="294"/>
        <v>5599375.7199999997</v>
      </c>
      <c r="E1174" s="31">
        <v>0</v>
      </c>
      <c r="F1174" s="31">
        <v>0</v>
      </c>
      <c r="G1174" s="31">
        <v>0</v>
      </c>
      <c r="H1174" s="31">
        <v>0</v>
      </c>
      <c r="I1174" s="31">
        <v>0</v>
      </c>
      <c r="J1174" s="31">
        <v>0</v>
      </c>
      <c r="K1174" s="33">
        <v>0</v>
      </c>
      <c r="L1174" s="31">
        <v>0</v>
      </c>
      <c r="M1174" s="31">
        <v>1007</v>
      </c>
      <c r="N1174" s="31">
        <f>4783251.23+556035.19</f>
        <v>5339286.42</v>
      </c>
      <c r="O1174" s="31">
        <v>0</v>
      </c>
      <c r="P1174" s="31">
        <v>0</v>
      </c>
      <c r="Q1174" s="31">
        <v>0</v>
      </c>
      <c r="R1174" s="31">
        <v>0</v>
      </c>
      <c r="S1174" s="31">
        <v>0</v>
      </c>
      <c r="T1174" s="31">
        <v>0</v>
      </c>
      <c r="U1174" s="31">
        <v>0</v>
      </c>
      <c r="V1174" s="31">
        <v>0</v>
      </c>
      <c r="W1174" s="31">
        <v>0</v>
      </c>
      <c r="X1174" s="31">
        <v>0</v>
      </c>
      <c r="Y1174" s="31">
        <v>0</v>
      </c>
      <c r="Z1174" s="31">
        <v>0</v>
      </c>
      <c r="AA1174" s="31">
        <v>0</v>
      </c>
      <c r="AB1174" s="31">
        <v>0</v>
      </c>
      <c r="AC1174" s="31">
        <f>ROUND(N1174*1.5%,2)</f>
        <v>80089.3</v>
      </c>
      <c r="AD1174" s="31">
        <v>180000</v>
      </c>
      <c r="AE1174" s="31">
        <v>0</v>
      </c>
      <c r="AF1174" s="345">
        <v>2022</v>
      </c>
      <c r="AG1174" s="345">
        <v>2022</v>
      </c>
      <c r="AH1174" s="346">
        <v>2022</v>
      </c>
      <c r="AT1174" s="20" t="e">
        <f t="shared" si="282"/>
        <v>#N/A</v>
      </c>
      <c r="BZ1174" s="71"/>
    </row>
    <row r="1175" spans="1:80" ht="61.5" x14ac:dyDescent="0.85">
      <c r="A1175" s="20">
        <v>1</v>
      </c>
      <c r="B1175" s="66">
        <f>SUBTOTAL(103,$A$994:A1175)</f>
        <v>158</v>
      </c>
      <c r="C1175" s="156" t="s">
        <v>133</v>
      </c>
      <c r="D1175" s="31">
        <f t="shared" si="294"/>
        <v>4480243.62</v>
      </c>
      <c r="E1175" s="31">
        <v>0</v>
      </c>
      <c r="F1175" s="31">
        <v>0</v>
      </c>
      <c r="G1175" s="31">
        <v>0</v>
      </c>
      <c r="H1175" s="31">
        <v>0</v>
      </c>
      <c r="I1175" s="31">
        <v>0</v>
      </c>
      <c r="J1175" s="31">
        <v>0</v>
      </c>
      <c r="K1175" s="33">
        <v>0</v>
      </c>
      <c r="L1175" s="31">
        <v>0</v>
      </c>
      <c r="M1175" s="31">
        <v>772.6</v>
      </c>
      <c r="N1175" s="31">
        <f>3201418.72+426606.54+638224.61</f>
        <v>4266249.87</v>
      </c>
      <c r="O1175" s="31">
        <v>0</v>
      </c>
      <c r="P1175" s="31">
        <v>0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1">
        <v>0</v>
      </c>
      <c r="Y1175" s="31">
        <v>0</v>
      </c>
      <c r="Z1175" s="31">
        <v>0</v>
      </c>
      <c r="AA1175" s="31">
        <v>0</v>
      </c>
      <c r="AB1175" s="31">
        <v>0</v>
      </c>
      <c r="AC1175" s="31">
        <f>ROUND(N1175*1.5%,2)</f>
        <v>63993.75</v>
      </c>
      <c r="AD1175" s="31">
        <v>150000</v>
      </c>
      <c r="AE1175" s="31">
        <v>0</v>
      </c>
      <c r="AF1175" s="345">
        <v>2022</v>
      </c>
      <c r="AG1175" s="345">
        <v>2022</v>
      </c>
      <c r="AH1175" s="346">
        <v>2022</v>
      </c>
      <c r="AT1175" s="20" t="e">
        <f t="shared" si="282"/>
        <v>#N/A</v>
      </c>
      <c r="BZ1175" s="71"/>
    </row>
    <row r="1176" spans="1:80" ht="61.5" x14ac:dyDescent="0.85">
      <c r="A1176" s="20">
        <v>1</v>
      </c>
      <c r="B1176" s="66">
        <f>SUBTOTAL(103,$A$994:A1176)</f>
        <v>159</v>
      </c>
      <c r="C1176" s="156" t="s">
        <v>1617</v>
      </c>
      <c r="D1176" s="31">
        <f t="shared" si="294"/>
        <v>3004662.15</v>
      </c>
      <c r="E1176" s="31">
        <v>0</v>
      </c>
      <c r="F1176" s="31">
        <v>0</v>
      </c>
      <c r="G1176" s="31">
        <v>0</v>
      </c>
      <c r="H1176" s="31">
        <v>0</v>
      </c>
      <c r="I1176" s="31">
        <v>0</v>
      </c>
      <c r="J1176" s="31">
        <v>0</v>
      </c>
      <c r="K1176" s="33">
        <v>0</v>
      </c>
      <c r="L1176" s="31">
        <v>0</v>
      </c>
      <c r="M1176" s="31">
        <v>0</v>
      </c>
      <c r="N1176" s="31">
        <v>0</v>
      </c>
      <c r="O1176" s="31">
        <v>0</v>
      </c>
      <c r="P1176" s="31">
        <v>0</v>
      </c>
      <c r="Q1176" s="31">
        <v>0</v>
      </c>
      <c r="R1176" s="31">
        <v>0</v>
      </c>
      <c r="S1176" s="31">
        <v>0</v>
      </c>
      <c r="T1176" s="31">
        <v>0</v>
      </c>
      <c r="U1176" s="31">
        <f>2786886.72+25588.3</f>
        <v>2812475.02</v>
      </c>
      <c r="V1176" s="31">
        <v>0</v>
      </c>
      <c r="W1176" s="31">
        <v>0</v>
      </c>
      <c r="X1176" s="31">
        <v>0</v>
      </c>
      <c r="Y1176" s="31">
        <v>0</v>
      </c>
      <c r="Z1176" s="31">
        <v>0</v>
      </c>
      <c r="AA1176" s="31">
        <v>0</v>
      </c>
      <c r="AB1176" s="31">
        <v>0</v>
      </c>
      <c r="AC1176" s="31">
        <f>ROUND(U1176*1.5%,2)</f>
        <v>42187.13</v>
      </c>
      <c r="AD1176" s="31">
        <v>150000</v>
      </c>
      <c r="AE1176" s="31">
        <v>0</v>
      </c>
      <c r="AF1176" s="345">
        <v>2022</v>
      </c>
      <c r="AG1176" s="345">
        <v>2022</v>
      </c>
      <c r="AH1176" s="346">
        <v>2022</v>
      </c>
      <c r="BZ1176" s="71"/>
    </row>
    <row r="1177" spans="1:80" ht="61.5" x14ac:dyDescent="0.85">
      <c r="B1177" s="24" t="s">
        <v>850</v>
      </c>
      <c r="C1177" s="114"/>
      <c r="D1177" s="31">
        <f>D1178+D1179</f>
        <v>5777967.8699999992</v>
      </c>
      <c r="E1177" s="31">
        <f t="shared" ref="E1177:AE1177" si="295">E1178+E1179</f>
        <v>0</v>
      </c>
      <c r="F1177" s="31">
        <f t="shared" si="295"/>
        <v>0</v>
      </c>
      <c r="G1177" s="31">
        <f t="shared" si="295"/>
        <v>0</v>
      </c>
      <c r="H1177" s="31">
        <f t="shared" si="295"/>
        <v>0</v>
      </c>
      <c r="I1177" s="31">
        <f t="shared" si="295"/>
        <v>0</v>
      </c>
      <c r="J1177" s="31">
        <f t="shared" si="295"/>
        <v>0</v>
      </c>
      <c r="K1177" s="33">
        <f t="shared" si="295"/>
        <v>0</v>
      </c>
      <c r="L1177" s="31">
        <f t="shared" si="295"/>
        <v>0</v>
      </c>
      <c r="M1177" s="31">
        <f t="shared" si="295"/>
        <v>630</v>
      </c>
      <c r="N1177" s="31">
        <f t="shared" si="295"/>
        <v>3258269.85</v>
      </c>
      <c r="O1177" s="31">
        <f t="shared" si="295"/>
        <v>0</v>
      </c>
      <c r="P1177" s="31">
        <f t="shared" si="295"/>
        <v>0</v>
      </c>
      <c r="Q1177" s="31">
        <f t="shared" si="295"/>
        <v>437</v>
      </c>
      <c r="R1177" s="31">
        <f t="shared" si="295"/>
        <v>2158447.2599999998</v>
      </c>
      <c r="S1177" s="31">
        <f t="shared" si="295"/>
        <v>0</v>
      </c>
      <c r="T1177" s="31">
        <f t="shared" si="295"/>
        <v>0</v>
      </c>
      <c r="U1177" s="31">
        <f t="shared" si="295"/>
        <v>0</v>
      </c>
      <c r="V1177" s="31">
        <f t="shared" si="295"/>
        <v>0</v>
      </c>
      <c r="W1177" s="31">
        <f t="shared" si="295"/>
        <v>0</v>
      </c>
      <c r="X1177" s="31">
        <f t="shared" si="295"/>
        <v>0</v>
      </c>
      <c r="Y1177" s="31">
        <f t="shared" si="295"/>
        <v>0</v>
      </c>
      <c r="Z1177" s="31">
        <f t="shared" si="295"/>
        <v>0</v>
      </c>
      <c r="AA1177" s="31">
        <f t="shared" si="295"/>
        <v>0</v>
      </c>
      <c r="AB1177" s="31">
        <f t="shared" si="295"/>
        <v>0</v>
      </c>
      <c r="AC1177" s="31">
        <f t="shared" si="295"/>
        <v>81250.760000000009</v>
      </c>
      <c r="AD1177" s="31">
        <f t="shared" si="295"/>
        <v>280000</v>
      </c>
      <c r="AE1177" s="31">
        <f t="shared" si="295"/>
        <v>0</v>
      </c>
      <c r="AF1177" s="347" t="s">
        <v>764</v>
      </c>
      <c r="AG1177" s="347" t="s">
        <v>764</v>
      </c>
      <c r="AH1177" s="348" t="s">
        <v>764</v>
      </c>
      <c r="AT1177" s="20" t="e">
        <f t="shared" ref="AT1177:AT1219" si="296">VLOOKUP(C1177,AW:AX,2,FALSE)</f>
        <v>#N/A</v>
      </c>
      <c r="BZ1177" s="71">
        <v>5777967.8699999992</v>
      </c>
    </row>
    <row r="1178" spans="1:80" ht="61.5" x14ac:dyDescent="0.85">
      <c r="A1178" s="20">
        <v>1</v>
      </c>
      <c r="B1178" s="66">
        <f>SUBTOTAL(103,$A$994:A1178)</f>
        <v>160</v>
      </c>
      <c r="C1178" s="156" t="s">
        <v>180</v>
      </c>
      <c r="D1178" s="31">
        <f>E1178+F1178+G1178+H1178+I1178+J1178+L1178+N1178+P1178+R1178+T1178+U1178+V1178+W1178+X1178+Y1178+Z1178+AA1178+AB1178+AC1178+AD1178+AE1178</f>
        <v>3457143.9</v>
      </c>
      <c r="E1178" s="31">
        <v>0</v>
      </c>
      <c r="F1178" s="31">
        <v>0</v>
      </c>
      <c r="G1178" s="31">
        <v>0</v>
      </c>
      <c r="H1178" s="31">
        <v>0</v>
      </c>
      <c r="I1178" s="31">
        <v>0</v>
      </c>
      <c r="J1178" s="31">
        <v>0</v>
      </c>
      <c r="K1178" s="33">
        <v>0</v>
      </c>
      <c r="L1178" s="31">
        <v>0</v>
      </c>
      <c r="M1178" s="31">
        <v>630</v>
      </c>
      <c r="N1178" s="31">
        <v>3258269.85</v>
      </c>
      <c r="O1178" s="31">
        <v>0</v>
      </c>
      <c r="P1178" s="31">
        <v>0</v>
      </c>
      <c r="Q1178" s="31">
        <v>0</v>
      </c>
      <c r="R1178" s="31">
        <v>0</v>
      </c>
      <c r="S1178" s="31">
        <v>0</v>
      </c>
      <c r="T1178" s="31">
        <v>0</v>
      </c>
      <c r="U1178" s="31">
        <v>0</v>
      </c>
      <c r="V1178" s="31">
        <v>0</v>
      </c>
      <c r="W1178" s="31">
        <v>0</v>
      </c>
      <c r="X1178" s="31">
        <v>0</v>
      </c>
      <c r="Y1178" s="31">
        <v>0</v>
      </c>
      <c r="Z1178" s="31">
        <v>0</v>
      </c>
      <c r="AA1178" s="31">
        <v>0</v>
      </c>
      <c r="AB1178" s="31">
        <v>0</v>
      </c>
      <c r="AC1178" s="31">
        <f>ROUND(N1178*1.5%,2)</f>
        <v>48874.05</v>
      </c>
      <c r="AD1178" s="31">
        <v>150000</v>
      </c>
      <c r="AE1178" s="31">
        <v>0</v>
      </c>
      <c r="AF1178" s="345">
        <v>2022</v>
      </c>
      <c r="AG1178" s="345">
        <v>2022</v>
      </c>
      <c r="AH1178" s="346">
        <v>2022</v>
      </c>
      <c r="AT1178" s="20" t="e">
        <f t="shared" si="296"/>
        <v>#N/A</v>
      </c>
      <c r="BZ1178" s="71"/>
    </row>
    <row r="1179" spans="1:80" ht="61.5" x14ac:dyDescent="0.85">
      <c r="A1179" s="20">
        <v>1</v>
      </c>
      <c r="B1179" s="66">
        <f>SUBTOTAL(103,$A$994:A1179)</f>
        <v>161</v>
      </c>
      <c r="C1179" s="156" t="s">
        <v>181</v>
      </c>
      <c r="D1179" s="31">
        <f>E1179+F1179+G1179+H1179+I1179+J1179+L1179+N1179+P1179+R1179+T1179+U1179+V1179+W1179+X1179+Y1179+Z1179+AA1179+AB1179+AC1179+AD1179+AE1179</f>
        <v>2320823.9699999997</v>
      </c>
      <c r="E1179" s="31">
        <v>0</v>
      </c>
      <c r="F1179" s="31">
        <v>0</v>
      </c>
      <c r="G1179" s="31">
        <v>0</v>
      </c>
      <c r="H1179" s="31">
        <v>0</v>
      </c>
      <c r="I1179" s="31">
        <v>0</v>
      </c>
      <c r="J1179" s="31">
        <v>0</v>
      </c>
      <c r="K1179" s="33">
        <v>0</v>
      </c>
      <c r="L1179" s="31">
        <v>0</v>
      </c>
      <c r="M1179" s="31">
        <v>0</v>
      </c>
      <c r="N1179" s="31">
        <v>0</v>
      </c>
      <c r="O1179" s="31">
        <v>0</v>
      </c>
      <c r="P1179" s="31">
        <v>0</v>
      </c>
      <c r="Q1179" s="31">
        <v>437</v>
      </c>
      <c r="R1179" s="31">
        <v>2158447.2599999998</v>
      </c>
      <c r="S1179" s="31">
        <v>0</v>
      </c>
      <c r="T1179" s="31">
        <v>0</v>
      </c>
      <c r="U1179" s="31">
        <v>0</v>
      </c>
      <c r="V1179" s="31">
        <v>0</v>
      </c>
      <c r="W1179" s="31">
        <v>0</v>
      </c>
      <c r="X1179" s="31">
        <v>0</v>
      </c>
      <c r="Y1179" s="31">
        <v>0</v>
      </c>
      <c r="Z1179" s="31">
        <v>0</v>
      </c>
      <c r="AA1179" s="31">
        <v>0</v>
      </c>
      <c r="AB1179" s="31">
        <v>0</v>
      </c>
      <c r="AC1179" s="31">
        <f>ROUND(R1179*1.5%,2)</f>
        <v>32376.71</v>
      </c>
      <c r="AD1179" s="31">
        <v>130000</v>
      </c>
      <c r="AE1179" s="31">
        <v>0</v>
      </c>
      <c r="AF1179" s="345">
        <v>2022</v>
      </c>
      <c r="AG1179" s="345">
        <v>2022</v>
      </c>
      <c r="AH1179" s="346">
        <v>2022</v>
      </c>
      <c r="AT1179" s="20" t="e">
        <f t="shared" si="296"/>
        <v>#N/A</v>
      </c>
      <c r="BZ1179" s="71"/>
    </row>
    <row r="1180" spans="1:80" ht="61.5" x14ac:dyDescent="0.85">
      <c r="B1180" s="24" t="s">
        <v>847</v>
      </c>
      <c r="C1180" s="24"/>
      <c r="D1180" s="31">
        <f>D1181+D1182+D1183</f>
        <v>4715781.71</v>
      </c>
      <c r="E1180" s="31">
        <f t="shared" ref="E1180:AE1180" si="297">E1181+E1182+E1183</f>
        <v>0</v>
      </c>
      <c r="F1180" s="31">
        <f t="shared" si="297"/>
        <v>0</v>
      </c>
      <c r="G1180" s="31">
        <f t="shared" si="297"/>
        <v>0</v>
      </c>
      <c r="H1180" s="31">
        <f t="shared" si="297"/>
        <v>0</v>
      </c>
      <c r="I1180" s="31">
        <f t="shared" si="297"/>
        <v>0</v>
      </c>
      <c r="J1180" s="31">
        <f t="shared" si="297"/>
        <v>0</v>
      </c>
      <c r="K1180" s="33">
        <f t="shared" si="297"/>
        <v>0</v>
      </c>
      <c r="L1180" s="31">
        <f t="shared" si="297"/>
        <v>0</v>
      </c>
      <c r="M1180" s="31">
        <f t="shared" si="297"/>
        <v>543</v>
      </c>
      <c r="N1180" s="31">
        <f t="shared" si="297"/>
        <v>2724828.46</v>
      </c>
      <c r="O1180" s="31">
        <f t="shared" si="297"/>
        <v>0</v>
      </c>
      <c r="P1180" s="31">
        <f t="shared" si="297"/>
        <v>0</v>
      </c>
      <c r="Q1180" s="31">
        <f t="shared" si="297"/>
        <v>322</v>
      </c>
      <c r="R1180" s="31">
        <f t="shared" si="297"/>
        <v>1586286.52</v>
      </c>
      <c r="S1180" s="31">
        <f t="shared" si="297"/>
        <v>0</v>
      </c>
      <c r="T1180" s="31">
        <f t="shared" si="297"/>
        <v>0</v>
      </c>
      <c r="U1180" s="31">
        <f t="shared" si="297"/>
        <v>0</v>
      </c>
      <c r="V1180" s="31">
        <f t="shared" si="297"/>
        <v>0</v>
      </c>
      <c r="W1180" s="31">
        <f t="shared" si="297"/>
        <v>0</v>
      </c>
      <c r="X1180" s="31">
        <f t="shared" si="297"/>
        <v>0</v>
      </c>
      <c r="Y1180" s="31">
        <f t="shared" si="297"/>
        <v>0</v>
      </c>
      <c r="Z1180" s="31">
        <f t="shared" si="297"/>
        <v>0</v>
      </c>
      <c r="AA1180" s="31">
        <f t="shared" si="297"/>
        <v>0</v>
      </c>
      <c r="AB1180" s="31">
        <f t="shared" si="297"/>
        <v>0</v>
      </c>
      <c r="AC1180" s="31">
        <f t="shared" si="297"/>
        <v>64666.729999999996</v>
      </c>
      <c r="AD1180" s="31">
        <f t="shared" si="297"/>
        <v>340000</v>
      </c>
      <c r="AE1180" s="31">
        <f t="shared" si="297"/>
        <v>0</v>
      </c>
      <c r="AF1180" s="347" t="s">
        <v>764</v>
      </c>
      <c r="AG1180" s="347" t="s">
        <v>764</v>
      </c>
      <c r="AH1180" s="348" t="s">
        <v>764</v>
      </c>
      <c r="AT1180" s="20" t="e">
        <f t="shared" si="296"/>
        <v>#N/A</v>
      </c>
      <c r="BZ1180" s="71">
        <v>4715781.71</v>
      </c>
    </row>
    <row r="1181" spans="1:80" ht="61.5" x14ac:dyDescent="0.85">
      <c r="A1181" s="20">
        <v>1</v>
      </c>
      <c r="B1181" s="66">
        <f>SUBTOTAL(103,$A$994:A1181)</f>
        <v>162</v>
      </c>
      <c r="C1181" s="156" t="s">
        <v>805</v>
      </c>
      <c r="D1181" s="31">
        <f>E1181+F1181+G1181+H1181+I1181+J1181+L1181+N1181+P1181+R1181+T1181+U1181+V1181+W1181+X1181+Y1181+Z1181+AA1181+AB1181+AC1181+AD1181+AE1181</f>
        <v>1710080.82</v>
      </c>
      <c r="E1181" s="31">
        <v>0</v>
      </c>
      <c r="F1181" s="31">
        <v>0</v>
      </c>
      <c r="G1181" s="31">
        <v>0</v>
      </c>
      <c r="H1181" s="31">
        <v>0</v>
      </c>
      <c r="I1181" s="31">
        <v>0</v>
      </c>
      <c r="J1181" s="31">
        <v>0</v>
      </c>
      <c r="K1181" s="33">
        <v>0</v>
      </c>
      <c r="L1181" s="31">
        <v>0</v>
      </c>
      <c r="M1181" s="31">
        <v>0</v>
      </c>
      <c r="N1181" s="31">
        <v>0</v>
      </c>
      <c r="O1181" s="31">
        <v>0</v>
      </c>
      <c r="P1181" s="31">
        <v>0</v>
      </c>
      <c r="Q1181" s="31">
        <v>322</v>
      </c>
      <c r="R1181" s="31">
        <v>1586286.52</v>
      </c>
      <c r="S1181" s="31">
        <v>0</v>
      </c>
      <c r="T1181" s="31">
        <v>0</v>
      </c>
      <c r="U1181" s="31">
        <v>0</v>
      </c>
      <c r="V1181" s="31">
        <v>0</v>
      </c>
      <c r="W1181" s="31">
        <v>0</v>
      </c>
      <c r="X1181" s="31">
        <v>0</v>
      </c>
      <c r="Y1181" s="31">
        <v>0</v>
      </c>
      <c r="Z1181" s="31">
        <v>0</v>
      </c>
      <c r="AA1181" s="31">
        <v>0</v>
      </c>
      <c r="AB1181" s="31">
        <v>0</v>
      </c>
      <c r="AC1181" s="31">
        <f>ROUND(R1181*1.5%,2)</f>
        <v>23794.3</v>
      </c>
      <c r="AD1181" s="31">
        <v>100000</v>
      </c>
      <c r="AE1181" s="31">
        <v>0</v>
      </c>
      <c r="AF1181" s="345">
        <v>2022</v>
      </c>
      <c r="AG1181" s="345">
        <v>2022</v>
      </c>
      <c r="AH1181" s="346">
        <v>2022</v>
      </c>
      <c r="AT1181" s="20" t="e">
        <f t="shared" si="296"/>
        <v>#N/A</v>
      </c>
      <c r="BZ1181" s="71"/>
    </row>
    <row r="1182" spans="1:80" ht="61.5" x14ac:dyDescent="0.85">
      <c r="A1182" s="20">
        <v>1</v>
      </c>
      <c r="B1182" s="66">
        <f>SUBTOTAL(103,$A$994:A1182)</f>
        <v>163</v>
      </c>
      <c r="C1182" s="156" t="s">
        <v>184</v>
      </c>
      <c r="D1182" s="31">
        <f>E1182+F1182+G1182+H1182+I1182+J1182+L1182+N1182+P1182+R1182+T1182+U1182+V1182+W1182+X1182+Y1182+Z1182+AA1182+AB1182+AC1182+AD1182+AE1182</f>
        <v>1452729.9</v>
      </c>
      <c r="E1182" s="31">
        <v>0</v>
      </c>
      <c r="F1182" s="31">
        <v>0</v>
      </c>
      <c r="G1182" s="31">
        <v>0</v>
      </c>
      <c r="H1182" s="31">
        <v>0</v>
      </c>
      <c r="I1182" s="31">
        <v>0</v>
      </c>
      <c r="J1182" s="31">
        <v>0</v>
      </c>
      <c r="K1182" s="33">
        <v>0</v>
      </c>
      <c r="L1182" s="31">
        <v>0</v>
      </c>
      <c r="M1182" s="31">
        <v>260</v>
      </c>
      <c r="N1182" s="31">
        <v>1313034.3799999999</v>
      </c>
      <c r="O1182" s="31">
        <v>0</v>
      </c>
      <c r="P1182" s="31">
        <v>0</v>
      </c>
      <c r="Q1182" s="31">
        <v>0</v>
      </c>
      <c r="R1182" s="31">
        <v>0</v>
      </c>
      <c r="S1182" s="31">
        <v>0</v>
      </c>
      <c r="T1182" s="31">
        <v>0</v>
      </c>
      <c r="U1182" s="31">
        <v>0</v>
      </c>
      <c r="V1182" s="31">
        <v>0</v>
      </c>
      <c r="W1182" s="31">
        <v>0</v>
      </c>
      <c r="X1182" s="31">
        <v>0</v>
      </c>
      <c r="Y1182" s="31">
        <v>0</v>
      </c>
      <c r="Z1182" s="31">
        <v>0</v>
      </c>
      <c r="AA1182" s="31">
        <v>0</v>
      </c>
      <c r="AB1182" s="31">
        <v>0</v>
      </c>
      <c r="AC1182" s="31">
        <f>ROUND(N1182*1.5%,2)</f>
        <v>19695.52</v>
      </c>
      <c r="AD1182" s="31">
        <v>120000</v>
      </c>
      <c r="AE1182" s="31">
        <v>0</v>
      </c>
      <c r="AF1182" s="345">
        <v>2022</v>
      </c>
      <c r="AG1182" s="345">
        <v>2022</v>
      </c>
      <c r="AH1182" s="346">
        <v>2022</v>
      </c>
      <c r="AT1182" s="20" t="e">
        <f t="shared" si="296"/>
        <v>#N/A</v>
      </c>
      <c r="BZ1182" s="71"/>
    </row>
    <row r="1183" spans="1:80" ht="61.5" x14ac:dyDescent="0.85">
      <c r="A1183" s="20">
        <v>1</v>
      </c>
      <c r="B1183" s="66">
        <f>SUBTOTAL(103,$A$994:A1183)</f>
        <v>164</v>
      </c>
      <c r="C1183" s="156" t="s">
        <v>182</v>
      </c>
      <c r="D1183" s="31">
        <f>E1183+F1183+G1183+H1183+I1183+J1183+L1183+N1183+P1183+R1183+T1183+U1183+V1183+W1183+X1183+Y1183+Z1183+AA1183+AB1183+AC1183+AD1183+AE1183</f>
        <v>1552970.99</v>
      </c>
      <c r="E1183" s="31">
        <v>0</v>
      </c>
      <c r="F1183" s="31">
        <v>0</v>
      </c>
      <c r="G1183" s="31">
        <v>0</v>
      </c>
      <c r="H1183" s="31">
        <v>0</v>
      </c>
      <c r="I1183" s="31">
        <v>0</v>
      </c>
      <c r="J1183" s="31">
        <v>0</v>
      </c>
      <c r="K1183" s="33">
        <v>0</v>
      </c>
      <c r="L1183" s="31">
        <v>0</v>
      </c>
      <c r="M1183" s="31">
        <v>283</v>
      </c>
      <c r="N1183" s="31">
        <v>1411794.08</v>
      </c>
      <c r="O1183" s="31">
        <v>0</v>
      </c>
      <c r="P1183" s="31">
        <v>0</v>
      </c>
      <c r="Q1183" s="31">
        <v>0</v>
      </c>
      <c r="R1183" s="31">
        <v>0</v>
      </c>
      <c r="S1183" s="31">
        <v>0</v>
      </c>
      <c r="T1183" s="31">
        <v>0</v>
      </c>
      <c r="U1183" s="31">
        <v>0</v>
      </c>
      <c r="V1183" s="31">
        <v>0</v>
      </c>
      <c r="W1183" s="31">
        <v>0</v>
      </c>
      <c r="X1183" s="31">
        <v>0</v>
      </c>
      <c r="Y1183" s="31">
        <v>0</v>
      </c>
      <c r="Z1183" s="31">
        <v>0</v>
      </c>
      <c r="AA1183" s="31">
        <v>0</v>
      </c>
      <c r="AB1183" s="31">
        <v>0</v>
      </c>
      <c r="AC1183" s="31">
        <f>ROUND(N1183*1.5%,2)</f>
        <v>21176.91</v>
      </c>
      <c r="AD1183" s="31">
        <v>120000</v>
      </c>
      <c r="AE1183" s="31">
        <v>0</v>
      </c>
      <c r="AF1183" s="345">
        <v>2022</v>
      </c>
      <c r="AG1183" s="345">
        <v>2022</v>
      </c>
      <c r="AH1183" s="346">
        <v>2022</v>
      </c>
      <c r="AT1183" s="20" t="e">
        <f t="shared" si="296"/>
        <v>#N/A</v>
      </c>
      <c r="BZ1183" s="71"/>
    </row>
    <row r="1184" spans="1:80" ht="61.5" x14ac:dyDescent="0.85">
      <c r="B1184" s="24" t="s">
        <v>848</v>
      </c>
      <c r="C1184" s="24"/>
      <c r="D1184" s="31">
        <f>D1185+D1186</f>
        <v>2590114.16</v>
      </c>
      <c r="E1184" s="31">
        <f t="shared" ref="E1184:AE1184" si="298">E1185+E1186</f>
        <v>0</v>
      </c>
      <c r="F1184" s="31">
        <f t="shared" si="298"/>
        <v>0</v>
      </c>
      <c r="G1184" s="31">
        <f t="shared" si="298"/>
        <v>0</v>
      </c>
      <c r="H1184" s="31">
        <f t="shared" si="298"/>
        <v>0</v>
      </c>
      <c r="I1184" s="31">
        <f t="shared" si="298"/>
        <v>0</v>
      </c>
      <c r="J1184" s="31">
        <f t="shared" si="298"/>
        <v>0</v>
      </c>
      <c r="K1184" s="33">
        <f t="shared" si="298"/>
        <v>0</v>
      </c>
      <c r="L1184" s="31">
        <f t="shared" si="298"/>
        <v>0</v>
      </c>
      <c r="M1184" s="31">
        <f t="shared" si="298"/>
        <v>472</v>
      </c>
      <c r="N1184" s="31">
        <f t="shared" si="298"/>
        <v>2315383.41</v>
      </c>
      <c r="O1184" s="31">
        <f t="shared" si="298"/>
        <v>0</v>
      </c>
      <c r="P1184" s="31">
        <f t="shared" si="298"/>
        <v>0</v>
      </c>
      <c r="Q1184" s="31">
        <f t="shared" si="298"/>
        <v>0</v>
      </c>
      <c r="R1184" s="31">
        <f t="shared" si="298"/>
        <v>0</v>
      </c>
      <c r="S1184" s="31">
        <f t="shared" si="298"/>
        <v>0</v>
      </c>
      <c r="T1184" s="31">
        <f t="shared" si="298"/>
        <v>0</v>
      </c>
      <c r="U1184" s="31">
        <f t="shared" si="298"/>
        <v>0</v>
      </c>
      <c r="V1184" s="31">
        <f t="shared" si="298"/>
        <v>0</v>
      </c>
      <c r="W1184" s="31">
        <f t="shared" si="298"/>
        <v>0</v>
      </c>
      <c r="X1184" s="31">
        <f t="shared" si="298"/>
        <v>0</v>
      </c>
      <c r="Y1184" s="31">
        <f t="shared" si="298"/>
        <v>0</v>
      </c>
      <c r="Z1184" s="31">
        <f t="shared" si="298"/>
        <v>0</v>
      </c>
      <c r="AA1184" s="31">
        <f t="shared" si="298"/>
        <v>0</v>
      </c>
      <c r="AB1184" s="31">
        <f t="shared" si="298"/>
        <v>0</v>
      </c>
      <c r="AC1184" s="31">
        <f t="shared" si="298"/>
        <v>34730.75</v>
      </c>
      <c r="AD1184" s="31">
        <f t="shared" si="298"/>
        <v>240000</v>
      </c>
      <c r="AE1184" s="31">
        <f t="shared" si="298"/>
        <v>0</v>
      </c>
      <c r="AF1184" s="347" t="s">
        <v>764</v>
      </c>
      <c r="AG1184" s="347" t="s">
        <v>764</v>
      </c>
      <c r="AH1184" s="348" t="s">
        <v>764</v>
      </c>
      <c r="AT1184" s="20" t="e">
        <f t="shared" si="296"/>
        <v>#N/A</v>
      </c>
      <c r="BZ1184" s="71">
        <v>2590114.16</v>
      </c>
    </row>
    <row r="1185" spans="1:78" ht="61.5" x14ac:dyDescent="0.85">
      <c r="A1185" s="20">
        <v>1</v>
      </c>
      <c r="B1185" s="66">
        <f>SUBTOTAL(103,$A$994:A1185)</f>
        <v>165</v>
      </c>
      <c r="C1185" s="156" t="s">
        <v>1719</v>
      </c>
      <c r="D1185" s="31">
        <f>E1185+F1185+G1185+H1185+I1185+J1185+L1185+N1185+P1185+R1185+T1185+U1185+V1185+W1185+X1185+Y1185+Z1185+AA1185+AB1185+AC1185+AD1185+AE1185</f>
        <v>1262131.9000000001</v>
      </c>
      <c r="E1185" s="31">
        <v>0</v>
      </c>
      <c r="F1185" s="31">
        <v>0</v>
      </c>
      <c r="G1185" s="31">
        <v>0</v>
      </c>
      <c r="H1185" s="31">
        <v>0</v>
      </c>
      <c r="I1185" s="31">
        <v>0</v>
      </c>
      <c r="J1185" s="31">
        <v>0</v>
      </c>
      <c r="K1185" s="33">
        <v>0</v>
      </c>
      <c r="L1185" s="31">
        <v>0</v>
      </c>
      <c r="M1185" s="31">
        <v>230</v>
      </c>
      <c r="N1185" s="31">
        <v>1125253.1000000001</v>
      </c>
      <c r="O1185" s="31">
        <v>0</v>
      </c>
      <c r="P1185" s="31">
        <v>0</v>
      </c>
      <c r="Q1185" s="31">
        <v>0</v>
      </c>
      <c r="R1185" s="31">
        <v>0</v>
      </c>
      <c r="S1185" s="31">
        <v>0</v>
      </c>
      <c r="T1185" s="31">
        <v>0</v>
      </c>
      <c r="U1185" s="31">
        <v>0</v>
      </c>
      <c r="V1185" s="31">
        <v>0</v>
      </c>
      <c r="W1185" s="31">
        <v>0</v>
      </c>
      <c r="X1185" s="31">
        <v>0</v>
      </c>
      <c r="Y1185" s="31">
        <v>0</v>
      </c>
      <c r="Z1185" s="31">
        <v>0</v>
      </c>
      <c r="AA1185" s="31">
        <v>0</v>
      </c>
      <c r="AB1185" s="31">
        <v>0</v>
      </c>
      <c r="AC1185" s="31">
        <f>ROUND(N1185*1.5%,2)</f>
        <v>16878.8</v>
      </c>
      <c r="AD1185" s="31">
        <v>120000</v>
      </c>
      <c r="AE1185" s="31">
        <v>0</v>
      </c>
      <c r="AF1185" s="345">
        <v>2022</v>
      </c>
      <c r="AG1185" s="345">
        <v>2022</v>
      </c>
      <c r="AH1185" s="346">
        <v>2022</v>
      </c>
      <c r="AT1185" s="20" t="e">
        <f t="shared" si="296"/>
        <v>#N/A</v>
      </c>
      <c r="BZ1185" s="71"/>
    </row>
    <row r="1186" spans="1:78" ht="61.5" x14ac:dyDescent="0.85">
      <c r="A1186" s="20">
        <v>1</v>
      </c>
      <c r="B1186" s="66">
        <f>SUBTOTAL(103,$A$994:A1186)</f>
        <v>166</v>
      </c>
      <c r="C1186" s="156" t="s">
        <v>179</v>
      </c>
      <c r="D1186" s="31">
        <f>E1186+F1186+G1186+H1186+I1186+J1186+L1186+N1186+P1186+R1186+T1186+U1186+V1186+W1186+X1186+Y1186+Z1186+AA1186+AB1186+AC1186+AD1186+AE1186</f>
        <v>1327982.26</v>
      </c>
      <c r="E1186" s="31">
        <v>0</v>
      </c>
      <c r="F1186" s="31">
        <v>0</v>
      </c>
      <c r="G1186" s="31">
        <v>0</v>
      </c>
      <c r="H1186" s="31">
        <v>0</v>
      </c>
      <c r="I1186" s="31">
        <v>0</v>
      </c>
      <c r="J1186" s="31">
        <v>0</v>
      </c>
      <c r="K1186" s="33">
        <v>0</v>
      </c>
      <c r="L1186" s="31">
        <v>0</v>
      </c>
      <c r="M1186" s="31">
        <v>242</v>
      </c>
      <c r="N1186" s="31">
        <v>1190130.31</v>
      </c>
      <c r="O1186" s="31">
        <v>0</v>
      </c>
      <c r="P1186" s="31">
        <v>0</v>
      </c>
      <c r="Q1186" s="31">
        <v>0</v>
      </c>
      <c r="R1186" s="31">
        <v>0</v>
      </c>
      <c r="S1186" s="31">
        <v>0</v>
      </c>
      <c r="T1186" s="31">
        <v>0</v>
      </c>
      <c r="U1186" s="31">
        <v>0</v>
      </c>
      <c r="V1186" s="31">
        <v>0</v>
      </c>
      <c r="W1186" s="31">
        <v>0</v>
      </c>
      <c r="X1186" s="31">
        <v>0</v>
      </c>
      <c r="Y1186" s="31">
        <v>0</v>
      </c>
      <c r="Z1186" s="31">
        <v>0</v>
      </c>
      <c r="AA1186" s="31">
        <v>0</v>
      </c>
      <c r="AB1186" s="31">
        <v>0</v>
      </c>
      <c r="AC1186" s="31">
        <f>ROUND(N1186*1.5%,2)</f>
        <v>17851.95</v>
      </c>
      <c r="AD1186" s="31">
        <v>120000</v>
      </c>
      <c r="AE1186" s="31">
        <v>0</v>
      </c>
      <c r="AF1186" s="345">
        <v>2022</v>
      </c>
      <c r="AG1186" s="345">
        <v>2022</v>
      </c>
      <c r="AH1186" s="346">
        <v>2022</v>
      </c>
      <c r="AT1186" s="20" t="e">
        <f t="shared" si="296"/>
        <v>#N/A</v>
      </c>
      <c r="BZ1186" s="71"/>
    </row>
    <row r="1187" spans="1:78" ht="61.5" x14ac:dyDescent="0.85">
      <c r="B1187" s="24" t="s">
        <v>849</v>
      </c>
      <c r="C1187" s="24"/>
      <c r="D1187" s="31">
        <f>D1188</f>
        <v>1456533.11</v>
      </c>
      <c r="E1187" s="31">
        <f t="shared" ref="E1187:AE1187" si="299">E1188</f>
        <v>0</v>
      </c>
      <c r="F1187" s="31">
        <f t="shared" si="299"/>
        <v>0</v>
      </c>
      <c r="G1187" s="31">
        <f t="shared" si="299"/>
        <v>0</v>
      </c>
      <c r="H1187" s="31">
        <f t="shared" si="299"/>
        <v>0</v>
      </c>
      <c r="I1187" s="31">
        <f t="shared" si="299"/>
        <v>0</v>
      </c>
      <c r="J1187" s="31">
        <f t="shared" si="299"/>
        <v>0</v>
      </c>
      <c r="K1187" s="33">
        <f t="shared" si="299"/>
        <v>0</v>
      </c>
      <c r="L1187" s="31">
        <f t="shared" si="299"/>
        <v>0</v>
      </c>
      <c r="M1187" s="31">
        <f t="shared" si="299"/>
        <v>280</v>
      </c>
      <c r="N1187" s="31">
        <f t="shared" si="299"/>
        <v>1356190.26</v>
      </c>
      <c r="O1187" s="31">
        <f t="shared" si="299"/>
        <v>0</v>
      </c>
      <c r="P1187" s="31">
        <f t="shared" si="299"/>
        <v>0</v>
      </c>
      <c r="Q1187" s="31">
        <f t="shared" si="299"/>
        <v>0</v>
      </c>
      <c r="R1187" s="31">
        <f t="shared" si="299"/>
        <v>0</v>
      </c>
      <c r="S1187" s="31">
        <f t="shared" si="299"/>
        <v>0</v>
      </c>
      <c r="T1187" s="31">
        <f t="shared" si="299"/>
        <v>0</v>
      </c>
      <c r="U1187" s="31">
        <f t="shared" si="299"/>
        <v>0</v>
      </c>
      <c r="V1187" s="31">
        <f t="shared" si="299"/>
        <v>0</v>
      </c>
      <c r="W1187" s="31">
        <f t="shared" si="299"/>
        <v>0</v>
      </c>
      <c r="X1187" s="31">
        <f t="shared" si="299"/>
        <v>0</v>
      </c>
      <c r="Y1187" s="31">
        <f t="shared" si="299"/>
        <v>0</v>
      </c>
      <c r="Z1187" s="31">
        <f t="shared" si="299"/>
        <v>0</v>
      </c>
      <c r="AA1187" s="31">
        <f t="shared" si="299"/>
        <v>0</v>
      </c>
      <c r="AB1187" s="31">
        <f t="shared" si="299"/>
        <v>0</v>
      </c>
      <c r="AC1187" s="31">
        <f t="shared" si="299"/>
        <v>20342.849999999999</v>
      </c>
      <c r="AD1187" s="31">
        <f t="shared" si="299"/>
        <v>80000</v>
      </c>
      <c r="AE1187" s="31">
        <f t="shared" si="299"/>
        <v>0</v>
      </c>
      <c r="AF1187" s="347" t="s">
        <v>764</v>
      </c>
      <c r="AG1187" s="347" t="s">
        <v>764</v>
      </c>
      <c r="AH1187" s="348" t="s">
        <v>764</v>
      </c>
      <c r="AT1187" s="20" t="e">
        <f t="shared" si="296"/>
        <v>#N/A</v>
      </c>
      <c r="BZ1187" s="71">
        <v>1456533.11</v>
      </c>
    </row>
    <row r="1188" spans="1:78" ht="61.5" x14ac:dyDescent="0.85">
      <c r="A1188" s="20">
        <v>1</v>
      </c>
      <c r="B1188" s="66">
        <f>SUBTOTAL(103,$A$994:A1188)</f>
        <v>167</v>
      </c>
      <c r="C1188" s="156" t="s">
        <v>806</v>
      </c>
      <c r="D1188" s="31">
        <f>E1188+F1188+G1188+H1188+I1188+J1188+L1188+N1188+P1188+R1188+T1188+U1188+V1188+W1188+X1188+Y1188+Z1188+AA1188+AB1188+AC1188+AD1188+AE1188</f>
        <v>1456533.11</v>
      </c>
      <c r="E1188" s="31">
        <v>0</v>
      </c>
      <c r="F1188" s="31">
        <v>0</v>
      </c>
      <c r="G1188" s="31">
        <v>0</v>
      </c>
      <c r="H1188" s="31">
        <v>0</v>
      </c>
      <c r="I1188" s="31">
        <v>0</v>
      </c>
      <c r="J1188" s="31">
        <v>0</v>
      </c>
      <c r="K1188" s="33">
        <v>0</v>
      </c>
      <c r="L1188" s="31">
        <v>0</v>
      </c>
      <c r="M1188" s="31">
        <v>280</v>
      </c>
      <c r="N1188" s="31">
        <v>1356190.26</v>
      </c>
      <c r="O1188" s="31">
        <v>0</v>
      </c>
      <c r="P1188" s="31">
        <v>0</v>
      </c>
      <c r="Q1188" s="31">
        <v>0</v>
      </c>
      <c r="R1188" s="31">
        <v>0</v>
      </c>
      <c r="S1188" s="31">
        <v>0</v>
      </c>
      <c r="T1188" s="31">
        <v>0</v>
      </c>
      <c r="U1188" s="31">
        <v>0</v>
      </c>
      <c r="V1188" s="31">
        <v>0</v>
      </c>
      <c r="W1188" s="31">
        <v>0</v>
      </c>
      <c r="X1188" s="31">
        <v>0</v>
      </c>
      <c r="Y1188" s="31">
        <v>0</v>
      </c>
      <c r="Z1188" s="31">
        <v>0</v>
      </c>
      <c r="AA1188" s="31">
        <v>0</v>
      </c>
      <c r="AB1188" s="31">
        <v>0</v>
      </c>
      <c r="AC1188" s="31">
        <f>ROUND(N1188*1.5%,2)</f>
        <v>20342.849999999999</v>
      </c>
      <c r="AD1188" s="31">
        <v>80000</v>
      </c>
      <c r="AE1188" s="31">
        <v>0</v>
      </c>
      <c r="AF1188" s="345">
        <v>2022</v>
      </c>
      <c r="AG1188" s="345">
        <v>2022</v>
      </c>
      <c r="AH1188" s="346">
        <v>2022</v>
      </c>
      <c r="AT1188" s="20" t="e">
        <f t="shared" si="296"/>
        <v>#N/A</v>
      </c>
      <c r="BZ1188" s="71"/>
    </row>
    <row r="1189" spans="1:78" ht="61.5" x14ac:dyDescent="0.85">
      <c r="B1189" s="24" t="s">
        <v>851</v>
      </c>
      <c r="C1189" s="114"/>
      <c r="D1189" s="31">
        <f>D1190+D1191+D1192</f>
        <v>10290828.25</v>
      </c>
      <c r="E1189" s="31">
        <f t="shared" ref="E1189:AE1189" si="300">E1190+E1191+E1192</f>
        <v>0</v>
      </c>
      <c r="F1189" s="31">
        <f t="shared" si="300"/>
        <v>0</v>
      </c>
      <c r="G1189" s="31">
        <f t="shared" si="300"/>
        <v>0</v>
      </c>
      <c r="H1189" s="31">
        <f t="shared" si="300"/>
        <v>0</v>
      </c>
      <c r="I1189" s="31">
        <f t="shared" si="300"/>
        <v>0</v>
      </c>
      <c r="J1189" s="31">
        <f t="shared" si="300"/>
        <v>0</v>
      </c>
      <c r="K1189" s="33">
        <f t="shared" si="300"/>
        <v>0</v>
      </c>
      <c r="L1189" s="31">
        <f t="shared" si="300"/>
        <v>0</v>
      </c>
      <c r="M1189" s="31">
        <f t="shared" si="300"/>
        <v>1825</v>
      </c>
      <c r="N1189" s="31">
        <f t="shared" si="300"/>
        <v>9695397.290000001</v>
      </c>
      <c r="O1189" s="31">
        <f t="shared" si="300"/>
        <v>0</v>
      </c>
      <c r="P1189" s="31">
        <f t="shared" si="300"/>
        <v>0</v>
      </c>
      <c r="Q1189" s="31">
        <f t="shared" si="300"/>
        <v>0</v>
      </c>
      <c r="R1189" s="31">
        <f t="shared" si="300"/>
        <v>0</v>
      </c>
      <c r="S1189" s="31">
        <f t="shared" si="300"/>
        <v>0</v>
      </c>
      <c r="T1189" s="31">
        <f t="shared" si="300"/>
        <v>0</v>
      </c>
      <c r="U1189" s="31">
        <f t="shared" si="300"/>
        <v>0</v>
      </c>
      <c r="V1189" s="31">
        <f t="shared" si="300"/>
        <v>0</v>
      </c>
      <c r="W1189" s="31">
        <f t="shared" si="300"/>
        <v>0</v>
      </c>
      <c r="X1189" s="31">
        <f t="shared" si="300"/>
        <v>0</v>
      </c>
      <c r="Y1189" s="31">
        <f t="shared" si="300"/>
        <v>0</v>
      </c>
      <c r="Z1189" s="31">
        <f t="shared" si="300"/>
        <v>0</v>
      </c>
      <c r="AA1189" s="31">
        <f t="shared" si="300"/>
        <v>0</v>
      </c>
      <c r="AB1189" s="31">
        <f t="shared" si="300"/>
        <v>0</v>
      </c>
      <c r="AC1189" s="31">
        <f t="shared" si="300"/>
        <v>145430.96</v>
      </c>
      <c r="AD1189" s="31">
        <f t="shared" si="300"/>
        <v>450000</v>
      </c>
      <c r="AE1189" s="31">
        <f t="shared" si="300"/>
        <v>0</v>
      </c>
      <c r="AF1189" s="347" t="s">
        <v>764</v>
      </c>
      <c r="AG1189" s="347" t="s">
        <v>764</v>
      </c>
      <c r="AH1189" s="348" t="s">
        <v>764</v>
      </c>
      <c r="AT1189" s="20" t="e">
        <f t="shared" si="296"/>
        <v>#N/A</v>
      </c>
      <c r="BZ1189" s="71">
        <v>10290828.25</v>
      </c>
    </row>
    <row r="1190" spans="1:78" ht="61.5" x14ac:dyDescent="0.85">
      <c r="A1190" s="20">
        <v>1</v>
      </c>
      <c r="B1190" s="66">
        <f>SUBTOTAL(103,$A$994:A1190)</f>
        <v>168</v>
      </c>
      <c r="C1190" s="156" t="s">
        <v>85</v>
      </c>
      <c r="D1190" s="31">
        <f>E1190+F1190+G1190+H1190+I1190+J1190+L1190+N1190+P1190+R1190+T1190+U1190+V1190+W1190+X1190+Y1190+Z1190+AA1190+AB1190+AC1190+AD1190+AE1190</f>
        <v>3665226.5</v>
      </c>
      <c r="E1190" s="31">
        <v>0</v>
      </c>
      <c r="F1190" s="31">
        <v>0</v>
      </c>
      <c r="G1190" s="31">
        <v>0</v>
      </c>
      <c r="H1190" s="31">
        <v>0</v>
      </c>
      <c r="I1190" s="31">
        <v>0</v>
      </c>
      <c r="J1190" s="31">
        <v>0</v>
      </c>
      <c r="K1190" s="33">
        <v>0</v>
      </c>
      <c r="L1190" s="31">
        <v>0</v>
      </c>
      <c r="M1190" s="31">
        <v>650</v>
      </c>
      <c r="N1190" s="31">
        <v>3463277.34</v>
      </c>
      <c r="O1190" s="31">
        <v>0</v>
      </c>
      <c r="P1190" s="31">
        <v>0</v>
      </c>
      <c r="Q1190" s="31">
        <v>0</v>
      </c>
      <c r="R1190" s="31">
        <v>0</v>
      </c>
      <c r="S1190" s="31">
        <v>0</v>
      </c>
      <c r="T1190" s="31">
        <v>0</v>
      </c>
      <c r="U1190" s="31">
        <v>0</v>
      </c>
      <c r="V1190" s="31">
        <v>0</v>
      </c>
      <c r="W1190" s="31">
        <v>0</v>
      </c>
      <c r="X1190" s="31">
        <v>0</v>
      </c>
      <c r="Y1190" s="31">
        <v>0</v>
      </c>
      <c r="Z1190" s="31">
        <v>0</v>
      </c>
      <c r="AA1190" s="31">
        <v>0</v>
      </c>
      <c r="AB1190" s="31">
        <v>0</v>
      </c>
      <c r="AC1190" s="31">
        <f>ROUND(N1190*1.5%,2)</f>
        <v>51949.16</v>
      </c>
      <c r="AD1190" s="31">
        <v>150000</v>
      </c>
      <c r="AE1190" s="31">
        <v>0</v>
      </c>
      <c r="AF1190" s="345">
        <v>2022</v>
      </c>
      <c r="AG1190" s="345">
        <v>2022</v>
      </c>
      <c r="AH1190" s="346">
        <v>2022</v>
      </c>
      <c r="AT1190" s="20" t="e">
        <f t="shared" si="296"/>
        <v>#N/A</v>
      </c>
      <c r="BZ1190" s="71"/>
    </row>
    <row r="1191" spans="1:78" ht="61.5" x14ac:dyDescent="0.85">
      <c r="A1191" s="20">
        <v>1</v>
      </c>
      <c r="B1191" s="66">
        <f>SUBTOTAL(103,$A$994:A1191)</f>
        <v>169</v>
      </c>
      <c r="C1191" s="156" t="s">
        <v>86</v>
      </c>
      <c r="D1191" s="31">
        <f>E1191+F1191+G1191+H1191+I1191+J1191+L1191+N1191+P1191+R1191+T1191+U1191+V1191+W1191+X1191+Y1191+Z1191+AA1191+AB1191+AC1191+AD1191+AE1191</f>
        <v>3185927.6500000004</v>
      </c>
      <c r="E1191" s="31">
        <v>0</v>
      </c>
      <c r="F1191" s="31">
        <v>0</v>
      </c>
      <c r="G1191" s="31">
        <v>0</v>
      </c>
      <c r="H1191" s="31">
        <v>0</v>
      </c>
      <c r="I1191" s="31">
        <v>0</v>
      </c>
      <c r="J1191" s="31">
        <v>0</v>
      </c>
      <c r="K1191" s="33">
        <v>0</v>
      </c>
      <c r="L1191" s="31">
        <v>0</v>
      </c>
      <c r="M1191" s="31">
        <v>565</v>
      </c>
      <c r="N1191" s="31">
        <v>2991061.72</v>
      </c>
      <c r="O1191" s="31">
        <v>0</v>
      </c>
      <c r="P1191" s="31">
        <v>0</v>
      </c>
      <c r="Q1191" s="31">
        <v>0</v>
      </c>
      <c r="R1191" s="31">
        <v>0</v>
      </c>
      <c r="S1191" s="31">
        <v>0</v>
      </c>
      <c r="T1191" s="31">
        <v>0</v>
      </c>
      <c r="U1191" s="31">
        <v>0</v>
      </c>
      <c r="V1191" s="31">
        <v>0</v>
      </c>
      <c r="W1191" s="31">
        <v>0</v>
      </c>
      <c r="X1191" s="31">
        <v>0</v>
      </c>
      <c r="Y1191" s="31">
        <v>0</v>
      </c>
      <c r="Z1191" s="31">
        <v>0</v>
      </c>
      <c r="AA1191" s="31">
        <v>0</v>
      </c>
      <c r="AB1191" s="31">
        <v>0</v>
      </c>
      <c r="AC1191" s="31">
        <f>ROUND(N1191*1.5%,2)</f>
        <v>44865.93</v>
      </c>
      <c r="AD1191" s="31">
        <v>150000</v>
      </c>
      <c r="AE1191" s="31">
        <v>0</v>
      </c>
      <c r="AF1191" s="345">
        <v>2022</v>
      </c>
      <c r="AG1191" s="345">
        <v>2022</v>
      </c>
      <c r="AH1191" s="346">
        <v>2022</v>
      </c>
      <c r="AT1191" s="20" t="e">
        <f t="shared" si="296"/>
        <v>#N/A</v>
      </c>
      <c r="BZ1191" s="71"/>
    </row>
    <row r="1192" spans="1:78" ht="61.5" x14ac:dyDescent="0.85">
      <c r="A1192" s="20">
        <v>1</v>
      </c>
      <c r="B1192" s="66">
        <f>SUBTOTAL(103,$A$994:A1192)</f>
        <v>170</v>
      </c>
      <c r="C1192" s="156" t="s">
        <v>84</v>
      </c>
      <c r="D1192" s="31">
        <f>E1192+F1192+G1192+H1192+I1192+J1192+L1192+N1192+P1192+R1192+T1192+U1192+V1192+W1192+X1192+Y1192+Z1192+AA1192+AB1192+AC1192+AD1192+AE1192</f>
        <v>3439674.1</v>
      </c>
      <c r="E1192" s="31">
        <v>0</v>
      </c>
      <c r="F1192" s="31">
        <v>0</v>
      </c>
      <c r="G1192" s="31">
        <v>0</v>
      </c>
      <c r="H1192" s="31">
        <v>0</v>
      </c>
      <c r="I1192" s="31">
        <v>0</v>
      </c>
      <c r="J1192" s="31">
        <v>0</v>
      </c>
      <c r="K1192" s="33">
        <v>0</v>
      </c>
      <c r="L1192" s="31">
        <v>0</v>
      </c>
      <c r="M1192" s="31">
        <v>610</v>
      </c>
      <c r="N1192" s="31">
        <v>3241058.23</v>
      </c>
      <c r="O1192" s="31">
        <v>0</v>
      </c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  <c r="V1192" s="31">
        <v>0</v>
      </c>
      <c r="W1192" s="31">
        <v>0</v>
      </c>
      <c r="X1192" s="31">
        <v>0</v>
      </c>
      <c r="Y1192" s="31">
        <v>0</v>
      </c>
      <c r="Z1192" s="31">
        <v>0</v>
      </c>
      <c r="AA1192" s="31">
        <v>0</v>
      </c>
      <c r="AB1192" s="31">
        <v>0</v>
      </c>
      <c r="AC1192" s="31">
        <f>ROUND(N1192*1.5%,2)</f>
        <v>48615.87</v>
      </c>
      <c r="AD1192" s="31">
        <v>150000</v>
      </c>
      <c r="AE1192" s="31">
        <v>0</v>
      </c>
      <c r="AF1192" s="345">
        <v>2022</v>
      </c>
      <c r="AG1192" s="345">
        <v>2022</v>
      </c>
      <c r="AH1192" s="346">
        <v>2022</v>
      </c>
      <c r="AT1192" s="20" t="e">
        <f t="shared" si="296"/>
        <v>#N/A</v>
      </c>
      <c r="BZ1192" s="71"/>
    </row>
    <row r="1193" spans="1:78" ht="61.5" x14ac:dyDescent="0.85">
      <c r="B1193" s="24" t="s">
        <v>852</v>
      </c>
      <c r="C1193" s="24"/>
      <c r="D1193" s="31">
        <f>D1194</f>
        <v>3013803.8600000003</v>
      </c>
      <c r="E1193" s="31">
        <f t="shared" ref="E1193:AE1193" si="301">E1194</f>
        <v>0</v>
      </c>
      <c r="F1193" s="31">
        <f t="shared" si="301"/>
        <v>0</v>
      </c>
      <c r="G1193" s="31">
        <f t="shared" si="301"/>
        <v>0</v>
      </c>
      <c r="H1193" s="31">
        <f t="shared" si="301"/>
        <v>0</v>
      </c>
      <c r="I1193" s="31">
        <f t="shared" si="301"/>
        <v>0</v>
      </c>
      <c r="J1193" s="31">
        <f t="shared" si="301"/>
        <v>0</v>
      </c>
      <c r="K1193" s="33">
        <f t="shared" si="301"/>
        <v>0</v>
      </c>
      <c r="L1193" s="31">
        <f t="shared" si="301"/>
        <v>0</v>
      </c>
      <c r="M1193" s="31">
        <f t="shared" si="301"/>
        <v>586</v>
      </c>
      <c r="N1193" s="31">
        <f t="shared" si="301"/>
        <v>2821481.64</v>
      </c>
      <c r="O1193" s="31">
        <f t="shared" si="301"/>
        <v>0</v>
      </c>
      <c r="P1193" s="31">
        <f t="shared" si="301"/>
        <v>0</v>
      </c>
      <c r="Q1193" s="31">
        <f t="shared" si="301"/>
        <v>0</v>
      </c>
      <c r="R1193" s="31">
        <f t="shared" si="301"/>
        <v>0</v>
      </c>
      <c r="S1193" s="31">
        <f t="shared" si="301"/>
        <v>0</v>
      </c>
      <c r="T1193" s="31">
        <f t="shared" si="301"/>
        <v>0</v>
      </c>
      <c r="U1193" s="31">
        <f t="shared" si="301"/>
        <v>0</v>
      </c>
      <c r="V1193" s="31">
        <f t="shared" si="301"/>
        <v>0</v>
      </c>
      <c r="W1193" s="31">
        <f t="shared" si="301"/>
        <v>0</v>
      </c>
      <c r="X1193" s="31">
        <f t="shared" si="301"/>
        <v>0</v>
      </c>
      <c r="Y1193" s="31">
        <f t="shared" si="301"/>
        <v>0</v>
      </c>
      <c r="Z1193" s="31">
        <f t="shared" si="301"/>
        <v>0</v>
      </c>
      <c r="AA1193" s="31">
        <f t="shared" si="301"/>
        <v>0</v>
      </c>
      <c r="AB1193" s="31">
        <f t="shared" si="301"/>
        <v>0</v>
      </c>
      <c r="AC1193" s="31">
        <f t="shared" si="301"/>
        <v>42322.22</v>
      </c>
      <c r="AD1193" s="31">
        <f t="shared" si="301"/>
        <v>150000</v>
      </c>
      <c r="AE1193" s="31">
        <f t="shared" si="301"/>
        <v>0</v>
      </c>
      <c r="AF1193" s="347" t="s">
        <v>764</v>
      </c>
      <c r="AG1193" s="347" t="s">
        <v>764</v>
      </c>
      <c r="AH1193" s="348" t="s">
        <v>764</v>
      </c>
      <c r="AT1193" s="20" t="e">
        <f t="shared" si="296"/>
        <v>#N/A</v>
      </c>
      <c r="BZ1193" s="71">
        <v>3013803.8600000003</v>
      </c>
    </row>
    <row r="1194" spans="1:78" ht="61.5" x14ac:dyDescent="0.85">
      <c r="A1194" s="20">
        <v>1</v>
      </c>
      <c r="B1194" s="66">
        <f>SUBTOTAL(103,$A$994:A1194)</f>
        <v>171</v>
      </c>
      <c r="C1194" s="156" t="s">
        <v>88</v>
      </c>
      <c r="D1194" s="31">
        <f>E1194+F1194+G1194+H1194+I1194+J1194+L1194+N1194+P1194+R1194+T1194+U1194+V1194+W1194+X1194+Y1194+Z1194+AA1194+AB1194+AC1194+AD1194+AE1194</f>
        <v>3013803.8600000003</v>
      </c>
      <c r="E1194" s="31">
        <v>0</v>
      </c>
      <c r="F1194" s="31">
        <v>0</v>
      </c>
      <c r="G1194" s="31">
        <v>0</v>
      </c>
      <c r="H1194" s="31">
        <v>0</v>
      </c>
      <c r="I1194" s="31">
        <v>0</v>
      </c>
      <c r="J1194" s="31">
        <v>0</v>
      </c>
      <c r="K1194" s="33">
        <v>0</v>
      </c>
      <c r="L1194" s="31">
        <v>0</v>
      </c>
      <c r="M1194" s="31">
        <v>586</v>
      </c>
      <c r="N1194" s="31">
        <v>2821481.64</v>
      </c>
      <c r="O1194" s="31">
        <v>0</v>
      </c>
      <c r="P1194" s="31">
        <v>0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1">
        <v>0</v>
      </c>
      <c r="Y1194" s="31">
        <v>0</v>
      </c>
      <c r="Z1194" s="31">
        <v>0</v>
      </c>
      <c r="AA1194" s="31">
        <v>0</v>
      </c>
      <c r="AB1194" s="31">
        <v>0</v>
      </c>
      <c r="AC1194" s="31">
        <f>ROUND(N1194*1.5%,2)</f>
        <v>42322.22</v>
      </c>
      <c r="AD1194" s="31">
        <v>150000</v>
      </c>
      <c r="AE1194" s="31">
        <v>0</v>
      </c>
      <c r="AF1194" s="345">
        <v>2022</v>
      </c>
      <c r="AG1194" s="345">
        <v>2022</v>
      </c>
      <c r="AH1194" s="346">
        <v>2022</v>
      </c>
      <c r="AT1194" s="20" t="e">
        <f t="shared" si="296"/>
        <v>#N/A</v>
      </c>
      <c r="BZ1194" s="71"/>
    </row>
    <row r="1195" spans="1:78" ht="61.5" x14ac:dyDescent="0.85">
      <c r="B1195" s="24" t="s">
        <v>901</v>
      </c>
      <c r="C1195" s="24"/>
      <c r="D1195" s="31">
        <f>D1196</f>
        <v>2036502</v>
      </c>
      <c r="E1195" s="31">
        <f t="shared" ref="E1195:AE1195" si="302">E1196</f>
        <v>0</v>
      </c>
      <c r="F1195" s="31">
        <f t="shared" si="302"/>
        <v>0</v>
      </c>
      <c r="G1195" s="31">
        <f t="shared" si="302"/>
        <v>0</v>
      </c>
      <c r="H1195" s="31">
        <f t="shared" si="302"/>
        <v>0</v>
      </c>
      <c r="I1195" s="31">
        <f t="shared" si="302"/>
        <v>0</v>
      </c>
      <c r="J1195" s="31">
        <f t="shared" si="302"/>
        <v>0</v>
      </c>
      <c r="K1195" s="33">
        <f t="shared" si="302"/>
        <v>0</v>
      </c>
      <c r="L1195" s="31">
        <f t="shared" si="302"/>
        <v>0</v>
      </c>
      <c r="M1195" s="31">
        <f t="shared" si="302"/>
        <v>390</v>
      </c>
      <c r="N1195" s="31">
        <f t="shared" si="302"/>
        <v>1888179.31</v>
      </c>
      <c r="O1195" s="31">
        <f t="shared" si="302"/>
        <v>0</v>
      </c>
      <c r="P1195" s="31">
        <f t="shared" si="302"/>
        <v>0</v>
      </c>
      <c r="Q1195" s="31">
        <f t="shared" si="302"/>
        <v>0</v>
      </c>
      <c r="R1195" s="31">
        <f t="shared" si="302"/>
        <v>0</v>
      </c>
      <c r="S1195" s="31">
        <f t="shared" si="302"/>
        <v>0</v>
      </c>
      <c r="T1195" s="31">
        <f t="shared" si="302"/>
        <v>0</v>
      </c>
      <c r="U1195" s="31">
        <f t="shared" si="302"/>
        <v>0</v>
      </c>
      <c r="V1195" s="31">
        <f t="shared" si="302"/>
        <v>0</v>
      </c>
      <c r="W1195" s="31">
        <f t="shared" si="302"/>
        <v>0</v>
      </c>
      <c r="X1195" s="31">
        <f t="shared" si="302"/>
        <v>0</v>
      </c>
      <c r="Y1195" s="31">
        <f t="shared" si="302"/>
        <v>0</v>
      </c>
      <c r="Z1195" s="31">
        <f t="shared" si="302"/>
        <v>0</v>
      </c>
      <c r="AA1195" s="31">
        <f t="shared" si="302"/>
        <v>0</v>
      </c>
      <c r="AB1195" s="31">
        <f t="shared" si="302"/>
        <v>0</v>
      </c>
      <c r="AC1195" s="31">
        <f t="shared" si="302"/>
        <v>28322.69</v>
      </c>
      <c r="AD1195" s="31">
        <f t="shared" si="302"/>
        <v>120000</v>
      </c>
      <c r="AE1195" s="31">
        <f t="shared" si="302"/>
        <v>0</v>
      </c>
      <c r="AF1195" s="347" t="s">
        <v>764</v>
      </c>
      <c r="AG1195" s="347" t="s">
        <v>764</v>
      </c>
      <c r="AH1195" s="348" t="s">
        <v>764</v>
      </c>
      <c r="AT1195" s="20" t="e">
        <f t="shared" si="296"/>
        <v>#N/A</v>
      </c>
      <c r="BZ1195" s="71">
        <v>2036502</v>
      </c>
    </row>
    <row r="1196" spans="1:78" ht="61.5" x14ac:dyDescent="0.85">
      <c r="A1196" s="20">
        <v>1</v>
      </c>
      <c r="B1196" s="66">
        <f>SUBTOTAL(103,$A$994:A1196)</f>
        <v>172</v>
      </c>
      <c r="C1196" s="156" t="s">
        <v>87</v>
      </c>
      <c r="D1196" s="31">
        <f>E1196+F1196+G1196+H1196+I1196+J1196+L1196+N1196+P1196+R1196+T1196+U1196+V1196+W1196+X1196+Y1196+Z1196+AA1196+AB1196+AC1196+AD1196+AE1196</f>
        <v>2036502</v>
      </c>
      <c r="E1196" s="31">
        <v>0</v>
      </c>
      <c r="F1196" s="31">
        <v>0</v>
      </c>
      <c r="G1196" s="31">
        <v>0</v>
      </c>
      <c r="H1196" s="31">
        <v>0</v>
      </c>
      <c r="I1196" s="31">
        <v>0</v>
      </c>
      <c r="J1196" s="31">
        <v>0</v>
      </c>
      <c r="K1196" s="33">
        <v>0</v>
      </c>
      <c r="L1196" s="31">
        <v>0</v>
      </c>
      <c r="M1196" s="31">
        <v>390</v>
      </c>
      <c r="N1196" s="31">
        <v>1888179.31</v>
      </c>
      <c r="O1196" s="31">
        <v>0</v>
      </c>
      <c r="P1196" s="31">
        <v>0</v>
      </c>
      <c r="Q1196" s="31">
        <v>0</v>
      </c>
      <c r="R1196" s="31">
        <v>0</v>
      </c>
      <c r="S1196" s="31">
        <v>0</v>
      </c>
      <c r="T1196" s="31">
        <v>0</v>
      </c>
      <c r="U1196" s="31">
        <v>0</v>
      </c>
      <c r="V1196" s="31">
        <v>0</v>
      </c>
      <c r="W1196" s="31">
        <v>0</v>
      </c>
      <c r="X1196" s="31">
        <v>0</v>
      </c>
      <c r="Y1196" s="31">
        <v>0</v>
      </c>
      <c r="Z1196" s="31">
        <v>0</v>
      </c>
      <c r="AA1196" s="31">
        <v>0</v>
      </c>
      <c r="AB1196" s="31">
        <v>0</v>
      </c>
      <c r="AC1196" s="31">
        <f>ROUND(N1196*1.5%,2)</f>
        <v>28322.69</v>
      </c>
      <c r="AD1196" s="31">
        <v>120000</v>
      </c>
      <c r="AE1196" s="31">
        <v>0</v>
      </c>
      <c r="AF1196" s="345">
        <v>2022</v>
      </c>
      <c r="AG1196" s="345">
        <v>2022</v>
      </c>
      <c r="AH1196" s="346">
        <v>2022</v>
      </c>
      <c r="AT1196" s="20" t="e">
        <f t="shared" si="296"/>
        <v>#N/A</v>
      </c>
      <c r="BZ1196" s="71"/>
    </row>
    <row r="1197" spans="1:78" ht="61.5" x14ac:dyDescent="0.85">
      <c r="B1197" s="24" t="s">
        <v>853</v>
      </c>
      <c r="C1197" s="114"/>
      <c r="D1197" s="31">
        <f>D1198</f>
        <v>3592598.4</v>
      </c>
      <c r="E1197" s="31">
        <f t="shared" ref="E1197:AE1197" si="303">E1198</f>
        <v>0</v>
      </c>
      <c r="F1197" s="31">
        <f t="shared" si="303"/>
        <v>0</v>
      </c>
      <c r="G1197" s="31">
        <f t="shared" si="303"/>
        <v>0</v>
      </c>
      <c r="H1197" s="31">
        <f t="shared" si="303"/>
        <v>0</v>
      </c>
      <c r="I1197" s="31">
        <f t="shared" si="303"/>
        <v>0</v>
      </c>
      <c r="J1197" s="31">
        <f t="shared" si="303"/>
        <v>0</v>
      </c>
      <c r="K1197" s="33">
        <f t="shared" si="303"/>
        <v>0</v>
      </c>
      <c r="L1197" s="31">
        <f t="shared" si="303"/>
        <v>0</v>
      </c>
      <c r="M1197" s="31">
        <f t="shared" si="303"/>
        <v>688</v>
      </c>
      <c r="N1197" s="31">
        <f t="shared" si="303"/>
        <v>3391722.56</v>
      </c>
      <c r="O1197" s="31">
        <f t="shared" si="303"/>
        <v>0</v>
      </c>
      <c r="P1197" s="31">
        <f t="shared" si="303"/>
        <v>0</v>
      </c>
      <c r="Q1197" s="31">
        <f t="shared" si="303"/>
        <v>0</v>
      </c>
      <c r="R1197" s="31">
        <f t="shared" si="303"/>
        <v>0</v>
      </c>
      <c r="S1197" s="31">
        <f t="shared" si="303"/>
        <v>0</v>
      </c>
      <c r="T1197" s="31">
        <f t="shared" si="303"/>
        <v>0</v>
      </c>
      <c r="U1197" s="31">
        <f t="shared" si="303"/>
        <v>0</v>
      </c>
      <c r="V1197" s="31">
        <f t="shared" si="303"/>
        <v>0</v>
      </c>
      <c r="W1197" s="31">
        <f t="shared" si="303"/>
        <v>0</v>
      </c>
      <c r="X1197" s="31">
        <f t="shared" si="303"/>
        <v>0</v>
      </c>
      <c r="Y1197" s="31">
        <f t="shared" si="303"/>
        <v>0</v>
      </c>
      <c r="Z1197" s="31">
        <f t="shared" si="303"/>
        <v>0</v>
      </c>
      <c r="AA1197" s="31">
        <f t="shared" si="303"/>
        <v>0</v>
      </c>
      <c r="AB1197" s="31">
        <f t="shared" si="303"/>
        <v>0</v>
      </c>
      <c r="AC1197" s="31">
        <f t="shared" si="303"/>
        <v>50875.839999999997</v>
      </c>
      <c r="AD1197" s="31">
        <f t="shared" si="303"/>
        <v>150000</v>
      </c>
      <c r="AE1197" s="31">
        <f t="shared" si="303"/>
        <v>0</v>
      </c>
      <c r="AF1197" s="347" t="s">
        <v>764</v>
      </c>
      <c r="AG1197" s="347" t="s">
        <v>764</v>
      </c>
      <c r="AH1197" s="348" t="s">
        <v>764</v>
      </c>
      <c r="AT1197" s="20" t="e">
        <f t="shared" si="296"/>
        <v>#N/A</v>
      </c>
      <c r="BZ1197" s="71">
        <v>3592598.4</v>
      </c>
    </row>
    <row r="1198" spans="1:78" ht="61.5" x14ac:dyDescent="0.85">
      <c r="A1198" s="20">
        <v>1</v>
      </c>
      <c r="B1198" s="66">
        <f>SUBTOTAL(103,$A$994:A1198)</f>
        <v>173</v>
      </c>
      <c r="C1198" s="156" t="s">
        <v>108</v>
      </c>
      <c r="D1198" s="31">
        <f>E1198+F1198+G1198+H1198+I1198+J1198+L1198+N1198+P1198+R1198+T1198+U1198+V1198+W1198+X1198+Y1198+Z1198+AA1198+AB1198+AC1198+AD1198+AE1198</f>
        <v>3592598.4</v>
      </c>
      <c r="E1198" s="31">
        <v>0</v>
      </c>
      <c r="F1198" s="31">
        <v>0</v>
      </c>
      <c r="G1198" s="31">
        <v>0</v>
      </c>
      <c r="H1198" s="31">
        <v>0</v>
      </c>
      <c r="I1198" s="31">
        <v>0</v>
      </c>
      <c r="J1198" s="31">
        <v>0</v>
      </c>
      <c r="K1198" s="33">
        <v>0</v>
      </c>
      <c r="L1198" s="31">
        <v>0</v>
      </c>
      <c r="M1198" s="31">
        <v>688</v>
      </c>
      <c r="N1198" s="31">
        <v>3391722.56</v>
      </c>
      <c r="O1198" s="31">
        <v>0</v>
      </c>
      <c r="P1198" s="31">
        <v>0</v>
      </c>
      <c r="Q1198" s="31">
        <v>0</v>
      </c>
      <c r="R1198" s="31">
        <v>0</v>
      </c>
      <c r="S1198" s="31">
        <v>0</v>
      </c>
      <c r="T1198" s="31">
        <v>0</v>
      </c>
      <c r="U1198" s="31">
        <v>0</v>
      </c>
      <c r="V1198" s="31">
        <v>0</v>
      </c>
      <c r="W1198" s="31">
        <v>0</v>
      </c>
      <c r="X1198" s="31">
        <v>0</v>
      </c>
      <c r="Y1198" s="31">
        <v>0</v>
      </c>
      <c r="Z1198" s="31">
        <v>0</v>
      </c>
      <c r="AA1198" s="31">
        <v>0</v>
      </c>
      <c r="AB1198" s="31">
        <v>0</v>
      </c>
      <c r="AC1198" s="31">
        <f>ROUND(N1198*1.5%,2)</f>
        <v>50875.839999999997</v>
      </c>
      <c r="AD1198" s="31">
        <v>150000</v>
      </c>
      <c r="AE1198" s="31">
        <v>0</v>
      </c>
      <c r="AF1198" s="345">
        <v>2022</v>
      </c>
      <c r="AG1198" s="345">
        <v>2022</v>
      </c>
      <c r="AH1198" s="346">
        <v>2022</v>
      </c>
      <c r="AT1198" s="20" t="e">
        <f t="shared" si="296"/>
        <v>#N/A</v>
      </c>
      <c r="BZ1198" s="71"/>
    </row>
    <row r="1199" spans="1:78" ht="61.5" x14ac:dyDescent="0.85">
      <c r="B1199" s="24" t="s">
        <v>888</v>
      </c>
      <c r="C1199" s="24"/>
      <c r="D1199" s="31">
        <f>D1200</f>
        <v>4454195.3999999994</v>
      </c>
      <c r="E1199" s="31">
        <f t="shared" ref="E1199:AE1199" si="304">E1200</f>
        <v>0</v>
      </c>
      <c r="F1199" s="31">
        <f t="shared" si="304"/>
        <v>0</v>
      </c>
      <c r="G1199" s="31">
        <f t="shared" si="304"/>
        <v>0</v>
      </c>
      <c r="H1199" s="31">
        <f t="shared" si="304"/>
        <v>0</v>
      </c>
      <c r="I1199" s="31">
        <f t="shared" si="304"/>
        <v>0</v>
      </c>
      <c r="J1199" s="31">
        <f t="shared" si="304"/>
        <v>0</v>
      </c>
      <c r="K1199" s="33">
        <f t="shared" si="304"/>
        <v>0</v>
      </c>
      <c r="L1199" s="31">
        <f t="shared" si="304"/>
        <v>0</v>
      </c>
      <c r="M1199" s="31">
        <f t="shared" si="304"/>
        <v>853</v>
      </c>
      <c r="N1199" s="31">
        <f t="shared" si="304"/>
        <v>4240586.5999999996</v>
      </c>
      <c r="O1199" s="31">
        <f t="shared" si="304"/>
        <v>0</v>
      </c>
      <c r="P1199" s="31">
        <f t="shared" si="304"/>
        <v>0</v>
      </c>
      <c r="Q1199" s="31">
        <f t="shared" si="304"/>
        <v>0</v>
      </c>
      <c r="R1199" s="31">
        <f t="shared" si="304"/>
        <v>0</v>
      </c>
      <c r="S1199" s="31">
        <f t="shared" si="304"/>
        <v>0</v>
      </c>
      <c r="T1199" s="31">
        <f t="shared" si="304"/>
        <v>0</v>
      </c>
      <c r="U1199" s="31">
        <f t="shared" si="304"/>
        <v>0</v>
      </c>
      <c r="V1199" s="31">
        <f t="shared" si="304"/>
        <v>0</v>
      </c>
      <c r="W1199" s="31">
        <f t="shared" si="304"/>
        <v>0</v>
      </c>
      <c r="X1199" s="31">
        <f t="shared" si="304"/>
        <v>0</v>
      </c>
      <c r="Y1199" s="31">
        <f t="shared" si="304"/>
        <v>0</v>
      </c>
      <c r="Z1199" s="31">
        <f t="shared" si="304"/>
        <v>0</v>
      </c>
      <c r="AA1199" s="31">
        <f t="shared" si="304"/>
        <v>0</v>
      </c>
      <c r="AB1199" s="31">
        <f t="shared" si="304"/>
        <v>0</v>
      </c>
      <c r="AC1199" s="31">
        <f t="shared" si="304"/>
        <v>63608.800000000003</v>
      </c>
      <c r="AD1199" s="31">
        <f t="shared" si="304"/>
        <v>150000</v>
      </c>
      <c r="AE1199" s="31">
        <f t="shared" si="304"/>
        <v>0</v>
      </c>
      <c r="AF1199" s="347" t="s">
        <v>764</v>
      </c>
      <c r="AG1199" s="347" t="s">
        <v>764</v>
      </c>
      <c r="AH1199" s="348" t="s">
        <v>764</v>
      </c>
      <c r="AT1199" s="20" t="e">
        <f t="shared" si="296"/>
        <v>#N/A</v>
      </c>
      <c r="BZ1199" s="71">
        <v>4454195.3999999994</v>
      </c>
    </row>
    <row r="1200" spans="1:78" ht="61.5" x14ac:dyDescent="0.85">
      <c r="A1200" s="20">
        <v>1</v>
      </c>
      <c r="B1200" s="66">
        <f>SUBTOTAL(103,$A$994:A1200)</f>
        <v>174</v>
      </c>
      <c r="C1200" s="156" t="s">
        <v>110</v>
      </c>
      <c r="D1200" s="31">
        <f>E1200+F1200+G1200+H1200+I1200+J1200+L1200+N1200+P1200+R1200+T1200+U1200+V1200+W1200+X1200+Y1200+Z1200+AA1200+AB1200+AC1200+AD1200+AE1200</f>
        <v>4454195.3999999994</v>
      </c>
      <c r="E1200" s="31">
        <v>0</v>
      </c>
      <c r="F1200" s="31">
        <v>0</v>
      </c>
      <c r="G1200" s="31">
        <v>0</v>
      </c>
      <c r="H1200" s="31">
        <v>0</v>
      </c>
      <c r="I1200" s="31">
        <v>0</v>
      </c>
      <c r="J1200" s="31">
        <v>0</v>
      </c>
      <c r="K1200" s="33">
        <v>0</v>
      </c>
      <c r="L1200" s="31">
        <v>0</v>
      </c>
      <c r="M1200" s="31">
        <v>853</v>
      </c>
      <c r="N1200" s="31">
        <v>4240586.5999999996</v>
      </c>
      <c r="O1200" s="31">
        <v>0</v>
      </c>
      <c r="P1200" s="31">
        <v>0</v>
      </c>
      <c r="Q1200" s="31">
        <v>0</v>
      </c>
      <c r="R1200" s="31">
        <v>0</v>
      </c>
      <c r="S1200" s="31">
        <v>0</v>
      </c>
      <c r="T1200" s="31">
        <v>0</v>
      </c>
      <c r="U1200" s="31">
        <v>0</v>
      </c>
      <c r="V1200" s="31">
        <v>0</v>
      </c>
      <c r="W1200" s="31">
        <v>0</v>
      </c>
      <c r="X1200" s="31">
        <v>0</v>
      </c>
      <c r="Y1200" s="31">
        <v>0</v>
      </c>
      <c r="Z1200" s="31">
        <v>0</v>
      </c>
      <c r="AA1200" s="31">
        <v>0</v>
      </c>
      <c r="AB1200" s="31">
        <v>0</v>
      </c>
      <c r="AC1200" s="31">
        <f>ROUND(N1200*1.5%,2)</f>
        <v>63608.800000000003</v>
      </c>
      <c r="AD1200" s="31">
        <v>150000</v>
      </c>
      <c r="AE1200" s="31">
        <v>0</v>
      </c>
      <c r="AF1200" s="345">
        <v>2022</v>
      </c>
      <c r="AG1200" s="345">
        <v>2022</v>
      </c>
      <c r="AH1200" s="346">
        <v>2022</v>
      </c>
      <c r="AT1200" s="20" t="e">
        <f t="shared" si="296"/>
        <v>#N/A</v>
      </c>
      <c r="BZ1200" s="71"/>
    </row>
    <row r="1201" spans="1:78" ht="61.5" x14ac:dyDescent="0.85">
      <c r="B1201" s="24" t="s">
        <v>902</v>
      </c>
      <c r="C1201" s="114"/>
      <c r="D1201" s="31">
        <f>D1202</f>
        <v>5304624.57</v>
      </c>
      <c r="E1201" s="31">
        <f t="shared" ref="E1201:AE1201" si="305">E1202</f>
        <v>0</v>
      </c>
      <c r="F1201" s="31">
        <f t="shared" si="305"/>
        <v>0</v>
      </c>
      <c r="G1201" s="31">
        <f t="shared" si="305"/>
        <v>0</v>
      </c>
      <c r="H1201" s="31">
        <f t="shared" si="305"/>
        <v>0</v>
      </c>
      <c r="I1201" s="31">
        <f t="shared" si="305"/>
        <v>0</v>
      </c>
      <c r="J1201" s="31">
        <f t="shared" si="305"/>
        <v>0</v>
      </c>
      <c r="K1201" s="33">
        <f t="shared" si="305"/>
        <v>0</v>
      </c>
      <c r="L1201" s="31">
        <f t="shared" si="305"/>
        <v>0</v>
      </c>
      <c r="M1201" s="31">
        <f t="shared" si="305"/>
        <v>926.83</v>
      </c>
      <c r="N1201" s="31">
        <f t="shared" si="305"/>
        <v>5078447.8500000006</v>
      </c>
      <c r="O1201" s="31">
        <f t="shared" si="305"/>
        <v>0</v>
      </c>
      <c r="P1201" s="31">
        <f t="shared" si="305"/>
        <v>0</v>
      </c>
      <c r="Q1201" s="31">
        <f t="shared" si="305"/>
        <v>0</v>
      </c>
      <c r="R1201" s="31">
        <f t="shared" si="305"/>
        <v>0</v>
      </c>
      <c r="S1201" s="31">
        <f t="shared" si="305"/>
        <v>0</v>
      </c>
      <c r="T1201" s="31">
        <f t="shared" si="305"/>
        <v>0</v>
      </c>
      <c r="U1201" s="31">
        <f t="shared" si="305"/>
        <v>0</v>
      </c>
      <c r="V1201" s="31">
        <f t="shared" si="305"/>
        <v>0</v>
      </c>
      <c r="W1201" s="31">
        <f t="shared" si="305"/>
        <v>0</v>
      </c>
      <c r="X1201" s="31">
        <f t="shared" si="305"/>
        <v>0</v>
      </c>
      <c r="Y1201" s="31">
        <f t="shared" si="305"/>
        <v>0</v>
      </c>
      <c r="Z1201" s="31">
        <f t="shared" si="305"/>
        <v>0</v>
      </c>
      <c r="AA1201" s="31">
        <f t="shared" si="305"/>
        <v>0</v>
      </c>
      <c r="AB1201" s="31">
        <f t="shared" si="305"/>
        <v>0</v>
      </c>
      <c r="AC1201" s="31">
        <f t="shared" si="305"/>
        <v>76176.72</v>
      </c>
      <c r="AD1201" s="31">
        <f t="shared" si="305"/>
        <v>150000</v>
      </c>
      <c r="AE1201" s="31">
        <f t="shared" si="305"/>
        <v>0</v>
      </c>
      <c r="AF1201" s="347" t="s">
        <v>764</v>
      </c>
      <c r="AG1201" s="347" t="s">
        <v>764</v>
      </c>
      <c r="AH1201" s="348" t="s">
        <v>764</v>
      </c>
      <c r="AT1201" s="20" t="e">
        <f t="shared" si="296"/>
        <v>#N/A</v>
      </c>
      <c r="BZ1201" s="71">
        <v>4839701.7600000007</v>
      </c>
    </row>
    <row r="1202" spans="1:78" ht="61.5" x14ac:dyDescent="0.85">
      <c r="A1202" s="20">
        <v>1</v>
      </c>
      <c r="B1202" s="66">
        <f>SUBTOTAL(103,$A$994:A1202)</f>
        <v>175</v>
      </c>
      <c r="C1202" s="156" t="s">
        <v>212</v>
      </c>
      <c r="D1202" s="31">
        <f>E1202+F1202+G1202+H1202+I1202+J1202+L1202+N1202+P1202+R1202+T1202+U1202+V1202+W1202+X1202+Y1202+Z1202+AA1202+AB1202+AC1202+AD1202+AE1202</f>
        <v>5304624.57</v>
      </c>
      <c r="E1202" s="31">
        <v>0</v>
      </c>
      <c r="F1202" s="31">
        <v>0</v>
      </c>
      <c r="G1202" s="31">
        <v>0</v>
      </c>
      <c r="H1202" s="31">
        <v>0</v>
      </c>
      <c r="I1202" s="31">
        <v>0</v>
      </c>
      <c r="J1202" s="31">
        <v>0</v>
      </c>
      <c r="K1202" s="33">
        <v>0</v>
      </c>
      <c r="L1202" s="31">
        <v>0</v>
      </c>
      <c r="M1202" s="31">
        <v>926.83</v>
      </c>
      <c r="N1202" s="31">
        <f>4620395.82+ROUND(464922.81/101.5*100,2)</f>
        <v>5078447.8500000006</v>
      </c>
      <c r="O1202" s="31">
        <v>0</v>
      </c>
      <c r="P1202" s="31">
        <v>0</v>
      </c>
      <c r="Q1202" s="31">
        <v>0</v>
      </c>
      <c r="R1202" s="31">
        <v>0</v>
      </c>
      <c r="S1202" s="31">
        <v>0</v>
      </c>
      <c r="T1202" s="31">
        <v>0</v>
      </c>
      <c r="U1202" s="31">
        <v>0</v>
      </c>
      <c r="V1202" s="31">
        <v>0</v>
      </c>
      <c r="W1202" s="31">
        <v>0</v>
      </c>
      <c r="X1202" s="31">
        <v>0</v>
      </c>
      <c r="Y1202" s="31">
        <v>0</v>
      </c>
      <c r="Z1202" s="31">
        <v>0</v>
      </c>
      <c r="AA1202" s="31">
        <v>0</v>
      </c>
      <c r="AB1202" s="31">
        <v>0</v>
      </c>
      <c r="AC1202" s="31">
        <f>ROUND(N1202*1.5%,2)</f>
        <v>76176.72</v>
      </c>
      <c r="AD1202" s="31">
        <v>150000</v>
      </c>
      <c r="AE1202" s="31">
        <v>0</v>
      </c>
      <c r="AF1202" s="345">
        <v>2022</v>
      </c>
      <c r="AG1202" s="345">
        <v>2022</v>
      </c>
      <c r="AH1202" s="346">
        <v>2022</v>
      </c>
      <c r="AT1202" s="20" t="e">
        <f t="shared" si="296"/>
        <v>#N/A</v>
      </c>
      <c r="BZ1202" s="71"/>
    </row>
    <row r="1203" spans="1:78" ht="61.5" x14ac:dyDescent="0.85">
      <c r="B1203" s="24" t="s">
        <v>854</v>
      </c>
      <c r="C1203" s="114"/>
      <c r="D1203" s="31">
        <f>D1204</f>
        <v>3231458.3</v>
      </c>
      <c r="E1203" s="31">
        <f t="shared" ref="E1203:AE1203" si="306">E1204</f>
        <v>0</v>
      </c>
      <c r="F1203" s="31">
        <f t="shared" si="306"/>
        <v>0</v>
      </c>
      <c r="G1203" s="31">
        <f t="shared" si="306"/>
        <v>0</v>
      </c>
      <c r="H1203" s="31">
        <f t="shared" si="306"/>
        <v>0</v>
      </c>
      <c r="I1203" s="31">
        <f t="shared" si="306"/>
        <v>0</v>
      </c>
      <c r="J1203" s="31">
        <f t="shared" si="306"/>
        <v>0</v>
      </c>
      <c r="K1203" s="33">
        <f t="shared" si="306"/>
        <v>0</v>
      </c>
      <c r="L1203" s="31">
        <f t="shared" si="306"/>
        <v>0</v>
      </c>
      <c r="M1203" s="31">
        <f t="shared" si="306"/>
        <v>0</v>
      </c>
      <c r="N1203" s="31">
        <f t="shared" si="306"/>
        <v>0</v>
      </c>
      <c r="O1203" s="31">
        <f t="shared" si="306"/>
        <v>0</v>
      </c>
      <c r="P1203" s="31">
        <f t="shared" si="306"/>
        <v>0</v>
      </c>
      <c r="Q1203" s="31">
        <f t="shared" si="306"/>
        <v>670.8</v>
      </c>
      <c r="R1203" s="31">
        <f t="shared" si="306"/>
        <v>3035919.51</v>
      </c>
      <c r="S1203" s="31">
        <f t="shared" si="306"/>
        <v>0</v>
      </c>
      <c r="T1203" s="31">
        <f t="shared" si="306"/>
        <v>0</v>
      </c>
      <c r="U1203" s="31">
        <f t="shared" si="306"/>
        <v>0</v>
      </c>
      <c r="V1203" s="31">
        <f t="shared" si="306"/>
        <v>0</v>
      </c>
      <c r="W1203" s="31">
        <f t="shared" si="306"/>
        <v>0</v>
      </c>
      <c r="X1203" s="31">
        <f t="shared" si="306"/>
        <v>0</v>
      </c>
      <c r="Y1203" s="31">
        <f t="shared" si="306"/>
        <v>0</v>
      </c>
      <c r="Z1203" s="31">
        <f t="shared" si="306"/>
        <v>0</v>
      </c>
      <c r="AA1203" s="31">
        <f t="shared" si="306"/>
        <v>0</v>
      </c>
      <c r="AB1203" s="31">
        <f t="shared" si="306"/>
        <v>0</v>
      </c>
      <c r="AC1203" s="31">
        <f t="shared" si="306"/>
        <v>45538.79</v>
      </c>
      <c r="AD1203" s="31">
        <f t="shared" si="306"/>
        <v>150000</v>
      </c>
      <c r="AE1203" s="31">
        <f t="shared" si="306"/>
        <v>0</v>
      </c>
      <c r="AF1203" s="347" t="s">
        <v>764</v>
      </c>
      <c r="AG1203" s="347" t="s">
        <v>764</v>
      </c>
      <c r="AH1203" s="348" t="s">
        <v>764</v>
      </c>
      <c r="AT1203" s="20" t="e">
        <f t="shared" si="296"/>
        <v>#N/A</v>
      </c>
      <c r="BZ1203" s="71">
        <v>3231458.3</v>
      </c>
    </row>
    <row r="1204" spans="1:78" ht="61.5" x14ac:dyDescent="0.85">
      <c r="A1204" s="20">
        <v>1</v>
      </c>
      <c r="B1204" s="66">
        <f>SUBTOTAL(103,$A$994:A1204)</f>
        <v>176</v>
      </c>
      <c r="C1204" s="156" t="s">
        <v>66</v>
      </c>
      <c r="D1204" s="31">
        <f>E1204+F1204+G1204+H1204+I1204+J1204+L1204+N1204+P1204+R1204+T1204+U1204+V1204+W1204+X1204+Y1204+Z1204+AA1204+AB1204+AC1204+AD1204+AE1204</f>
        <v>3231458.3</v>
      </c>
      <c r="E1204" s="31">
        <v>0</v>
      </c>
      <c r="F1204" s="31">
        <v>0</v>
      </c>
      <c r="G1204" s="31">
        <v>0</v>
      </c>
      <c r="H1204" s="31">
        <v>0</v>
      </c>
      <c r="I1204" s="31">
        <v>0</v>
      </c>
      <c r="J1204" s="31">
        <v>0</v>
      </c>
      <c r="K1204" s="33">
        <v>0</v>
      </c>
      <c r="L1204" s="31">
        <v>0</v>
      </c>
      <c r="M1204" s="31">
        <v>0</v>
      </c>
      <c r="N1204" s="31">
        <v>0</v>
      </c>
      <c r="O1204" s="31">
        <v>0</v>
      </c>
      <c r="P1204" s="31">
        <v>0</v>
      </c>
      <c r="Q1204" s="31">
        <v>670.8</v>
      </c>
      <c r="R1204" s="31">
        <v>3035919.51</v>
      </c>
      <c r="S1204" s="31">
        <v>0</v>
      </c>
      <c r="T1204" s="31">
        <v>0</v>
      </c>
      <c r="U1204" s="31">
        <v>0</v>
      </c>
      <c r="V1204" s="31">
        <v>0</v>
      </c>
      <c r="W1204" s="31">
        <v>0</v>
      </c>
      <c r="X1204" s="31">
        <v>0</v>
      </c>
      <c r="Y1204" s="31">
        <v>0</v>
      </c>
      <c r="Z1204" s="31">
        <v>0</v>
      </c>
      <c r="AA1204" s="31">
        <v>0</v>
      </c>
      <c r="AB1204" s="31">
        <v>0</v>
      </c>
      <c r="AC1204" s="31">
        <f>ROUND(R1204*1.5%,2)</f>
        <v>45538.79</v>
      </c>
      <c r="AD1204" s="31">
        <v>150000</v>
      </c>
      <c r="AE1204" s="31">
        <v>0</v>
      </c>
      <c r="AF1204" s="345">
        <v>2022</v>
      </c>
      <c r="AG1204" s="345">
        <v>2022</v>
      </c>
      <c r="AH1204" s="346">
        <v>2022</v>
      </c>
      <c r="AT1204" s="20" t="e">
        <f t="shared" si="296"/>
        <v>#N/A</v>
      </c>
      <c r="BZ1204" s="71"/>
    </row>
    <row r="1205" spans="1:78" ht="61.5" x14ac:dyDescent="0.85">
      <c r="B1205" s="24" t="s">
        <v>856</v>
      </c>
      <c r="C1205" s="24"/>
      <c r="D1205" s="31">
        <f>D1206+D1207+D1208</f>
        <v>16849360.93</v>
      </c>
      <c r="E1205" s="31">
        <f t="shared" ref="E1205:AE1205" si="307">E1206+E1207+E1208</f>
        <v>451170.83</v>
      </c>
      <c r="F1205" s="31">
        <f t="shared" si="307"/>
        <v>885201.84</v>
      </c>
      <c r="G1205" s="31">
        <f t="shared" si="307"/>
        <v>1880858.0000000002</v>
      </c>
      <c r="H1205" s="31">
        <f t="shared" si="307"/>
        <v>667182.5</v>
      </c>
      <c r="I1205" s="31">
        <f t="shared" si="307"/>
        <v>0</v>
      </c>
      <c r="J1205" s="31">
        <f t="shared" si="307"/>
        <v>0</v>
      </c>
      <c r="K1205" s="33">
        <f t="shared" si="307"/>
        <v>0</v>
      </c>
      <c r="L1205" s="31">
        <f t="shared" si="307"/>
        <v>0</v>
      </c>
      <c r="M1205" s="31">
        <f t="shared" si="307"/>
        <v>2286.5</v>
      </c>
      <c r="N1205" s="31">
        <f t="shared" si="307"/>
        <v>12065696.120000001</v>
      </c>
      <c r="O1205" s="31">
        <f t="shared" si="307"/>
        <v>0</v>
      </c>
      <c r="P1205" s="31">
        <f t="shared" si="307"/>
        <v>0</v>
      </c>
      <c r="Q1205" s="31">
        <f t="shared" si="307"/>
        <v>0</v>
      </c>
      <c r="R1205" s="31">
        <f t="shared" si="307"/>
        <v>0</v>
      </c>
      <c r="S1205" s="31">
        <f t="shared" si="307"/>
        <v>0</v>
      </c>
      <c r="T1205" s="31">
        <f t="shared" si="307"/>
        <v>0</v>
      </c>
      <c r="U1205" s="31">
        <f t="shared" si="307"/>
        <v>0</v>
      </c>
      <c r="V1205" s="31">
        <f t="shared" si="307"/>
        <v>0</v>
      </c>
      <c r="W1205" s="31">
        <f t="shared" si="307"/>
        <v>0</v>
      </c>
      <c r="X1205" s="31">
        <f t="shared" si="307"/>
        <v>0</v>
      </c>
      <c r="Y1205" s="31">
        <f t="shared" si="307"/>
        <v>0</v>
      </c>
      <c r="Z1205" s="31">
        <f t="shared" si="307"/>
        <v>0</v>
      </c>
      <c r="AA1205" s="31">
        <f t="shared" si="307"/>
        <v>0</v>
      </c>
      <c r="AB1205" s="31">
        <f t="shared" si="307"/>
        <v>0</v>
      </c>
      <c r="AC1205" s="31">
        <f t="shared" si="307"/>
        <v>239251.64</v>
      </c>
      <c r="AD1205" s="31">
        <f t="shared" si="307"/>
        <v>660000</v>
      </c>
      <c r="AE1205" s="31">
        <f t="shared" si="307"/>
        <v>0</v>
      </c>
      <c r="AF1205" s="347" t="s">
        <v>764</v>
      </c>
      <c r="AG1205" s="347" t="s">
        <v>764</v>
      </c>
      <c r="AH1205" s="348" t="s">
        <v>764</v>
      </c>
      <c r="AT1205" s="20" t="e">
        <f t="shared" si="296"/>
        <v>#N/A</v>
      </c>
      <c r="BZ1205" s="71">
        <v>16849360.93</v>
      </c>
    </row>
    <row r="1206" spans="1:78" ht="61.5" x14ac:dyDescent="0.85">
      <c r="A1206" s="20">
        <v>1</v>
      </c>
      <c r="B1206" s="66">
        <f>SUBTOTAL(103,$A$994:A1206)</f>
        <v>177</v>
      </c>
      <c r="C1206" s="156" t="s">
        <v>69</v>
      </c>
      <c r="D1206" s="31">
        <f>E1206+F1206+G1206+H1206+I1206+J1206+L1206+N1206+P1206+R1206+T1206+U1206+V1206+W1206+X1206+Y1206+Z1206+AA1206+AB1206+AC1206+AD1206+AE1206</f>
        <v>5782944.25</v>
      </c>
      <c r="E1206" s="31">
        <v>0</v>
      </c>
      <c r="F1206" s="31">
        <v>0</v>
      </c>
      <c r="G1206" s="31">
        <v>0</v>
      </c>
      <c r="H1206" s="31">
        <v>0</v>
      </c>
      <c r="I1206" s="31">
        <v>0</v>
      </c>
      <c r="J1206" s="31">
        <v>0</v>
      </c>
      <c r="K1206" s="33">
        <v>0</v>
      </c>
      <c r="L1206" s="31">
        <v>0</v>
      </c>
      <c r="M1206" s="31">
        <v>1047.5999999999999</v>
      </c>
      <c r="N1206" s="31">
        <v>5520142.1200000001</v>
      </c>
      <c r="O1206" s="31">
        <v>0</v>
      </c>
      <c r="P1206" s="31">
        <v>0</v>
      </c>
      <c r="Q1206" s="31">
        <v>0</v>
      </c>
      <c r="R1206" s="31">
        <v>0</v>
      </c>
      <c r="S1206" s="31">
        <v>0</v>
      </c>
      <c r="T1206" s="31">
        <v>0</v>
      </c>
      <c r="U1206" s="31">
        <v>0</v>
      </c>
      <c r="V1206" s="31">
        <v>0</v>
      </c>
      <c r="W1206" s="31">
        <v>0</v>
      </c>
      <c r="X1206" s="31">
        <v>0</v>
      </c>
      <c r="Y1206" s="31">
        <v>0</v>
      </c>
      <c r="Z1206" s="31">
        <v>0</v>
      </c>
      <c r="AA1206" s="31">
        <v>0</v>
      </c>
      <c r="AB1206" s="31">
        <v>0</v>
      </c>
      <c r="AC1206" s="31">
        <f>ROUND(N1206*1.5%,2)</f>
        <v>82802.13</v>
      </c>
      <c r="AD1206" s="31">
        <v>180000</v>
      </c>
      <c r="AE1206" s="31">
        <v>0</v>
      </c>
      <c r="AF1206" s="345">
        <v>2022</v>
      </c>
      <c r="AG1206" s="345">
        <v>2022</v>
      </c>
      <c r="AH1206" s="346">
        <v>2022</v>
      </c>
      <c r="AT1206" s="20" t="e">
        <f t="shared" si="296"/>
        <v>#N/A</v>
      </c>
      <c r="BZ1206" s="71"/>
    </row>
    <row r="1207" spans="1:78" ht="61.5" x14ac:dyDescent="0.85">
      <c r="A1207" s="20">
        <v>1</v>
      </c>
      <c r="B1207" s="66">
        <f>SUBTOTAL(103,$A$994:A1207)</f>
        <v>178</v>
      </c>
      <c r="C1207" s="156" t="s">
        <v>68</v>
      </c>
      <c r="D1207" s="31">
        <f>E1207+F1207+G1207+H1207+I1207+J1207+L1207+N1207+P1207+R1207+T1207+U1207+V1207+W1207+X1207+Y1207+Z1207+AA1207+AB1207+AC1207+AD1207+AE1207</f>
        <v>6823737.3099999996</v>
      </c>
      <c r="E1207" s="31">
        <v>0</v>
      </c>
      <c r="F1207" s="31">
        <v>0</v>
      </c>
      <c r="G1207" s="31">
        <v>0</v>
      </c>
      <c r="H1207" s="31">
        <v>0</v>
      </c>
      <c r="I1207" s="31">
        <v>0</v>
      </c>
      <c r="J1207" s="31">
        <v>0</v>
      </c>
      <c r="K1207" s="33">
        <v>0</v>
      </c>
      <c r="L1207" s="31">
        <v>0</v>
      </c>
      <c r="M1207" s="31">
        <v>1238.9000000000001</v>
      </c>
      <c r="N1207" s="31">
        <v>6545554</v>
      </c>
      <c r="O1207" s="31">
        <v>0</v>
      </c>
      <c r="P1207" s="31">
        <v>0</v>
      </c>
      <c r="Q1207" s="31">
        <v>0</v>
      </c>
      <c r="R1207" s="31">
        <v>0</v>
      </c>
      <c r="S1207" s="31">
        <v>0</v>
      </c>
      <c r="T1207" s="31">
        <v>0</v>
      </c>
      <c r="U1207" s="31">
        <v>0</v>
      </c>
      <c r="V1207" s="31">
        <v>0</v>
      </c>
      <c r="W1207" s="31">
        <v>0</v>
      </c>
      <c r="X1207" s="31">
        <v>0</v>
      </c>
      <c r="Y1207" s="31">
        <v>0</v>
      </c>
      <c r="Z1207" s="31">
        <v>0</v>
      </c>
      <c r="AA1207" s="31">
        <v>0</v>
      </c>
      <c r="AB1207" s="31">
        <v>0</v>
      </c>
      <c r="AC1207" s="31">
        <f>ROUND(N1207*1.5%,2)</f>
        <v>98183.31</v>
      </c>
      <c r="AD1207" s="31">
        <v>180000</v>
      </c>
      <c r="AE1207" s="31">
        <v>0</v>
      </c>
      <c r="AF1207" s="345">
        <v>2022</v>
      </c>
      <c r="AG1207" s="345">
        <v>2022</v>
      </c>
      <c r="AH1207" s="346">
        <v>2022</v>
      </c>
      <c r="AT1207" s="20" t="e">
        <f t="shared" si="296"/>
        <v>#N/A</v>
      </c>
      <c r="BZ1207" s="71"/>
    </row>
    <row r="1208" spans="1:78" ht="61.5" x14ac:dyDescent="0.85">
      <c r="A1208" s="20">
        <v>1</v>
      </c>
      <c r="B1208" s="66">
        <f>SUBTOTAL(103,$A$994:A1208)</f>
        <v>179</v>
      </c>
      <c r="C1208" s="156" t="s">
        <v>67</v>
      </c>
      <c r="D1208" s="31">
        <f>E1208+F1208+G1208+H1208+I1208+J1208+L1208+N1208+P1208+R1208+T1208+U1208+V1208+W1208+X1208+Y1208+Z1208+AA1208+AB1208+AC1208+AD1208+AE1208</f>
        <v>4242679.37</v>
      </c>
      <c r="E1208" s="31">
        <v>451170.83</v>
      </c>
      <c r="F1208" s="31">
        <v>885201.84</v>
      </c>
      <c r="G1208" s="31">
        <v>1880858.0000000002</v>
      </c>
      <c r="H1208" s="31">
        <v>667182.5</v>
      </c>
      <c r="I1208" s="31">
        <v>0</v>
      </c>
      <c r="J1208" s="31">
        <v>0</v>
      </c>
      <c r="K1208" s="33">
        <v>0</v>
      </c>
      <c r="L1208" s="31">
        <v>0</v>
      </c>
      <c r="M1208" s="31">
        <v>0</v>
      </c>
      <c r="N1208" s="31">
        <v>0</v>
      </c>
      <c r="O1208" s="31">
        <v>0</v>
      </c>
      <c r="P1208" s="31">
        <v>0</v>
      </c>
      <c r="Q1208" s="31">
        <v>0</v>
      </c>
      <c r="R1208" s="31">
        <v>0</v>
      </c>
      <c r="S1208" s="31">
        <v>0</v>
      </c>
      <c r="T1208" s="31">
        <v>0</v>
      </c>
      <c r="U1208" s="31">
        <v>0</v>
      </c>
      <c r="V1208" s="31">
        <v>0</v>
      </c>
      <c r="W1208" s="31">
        <v>0</v>
      </c>
      <c r="X1208" s="31">
        <v>0</v>
      </c>
      <c r="Y1208" s="31">
        <v>0</v>
      </c>
      <c r="Z1208" s="31">
        <v>0</v>
      </c>
      <c r="AA1208" s="31">
        <v>0</v>
      </c>
      <c r="AB1208" s="31">
        <v>0</v>
      </c>
      <c r="AC1208" s="31">
        <f>ROUND((E1208+F1208+G1208+H1208+I1208+J1208)*1.5%,2)</f>
        <v>58266.2</v>
      </c>
      <c r="AD1208" s="31">
        <v>300000</v>
      </c>
      <c r="AE1208" s="31">
        <v>0</v>
      </c>
      <c r="AF1208" s="345">
        <v>2022</v>
      </c>
      <c r="AG1208" s="345">
        <v>2022</v>
      </c>
      <c r="AH1208" s="346">
        <v>2022</v>
      </c>
      <c r="AT1208" s="20" t="e">
        <f t="shared" si="296"/>
        <v>#N/A</v>
      </c>
      <c r="BZ1208" s="71"/>
    </row>
    <row r="1209" spans="1:78" ht="61.5" x14ac:dyDescent="0.85">
      <c r="B1209" s="24" t="s">
        <v>857</v>
      </c>
      <c r="C1209" s="24"/>
      <c r="D1209" s="31">
        <f>D1210</f>
        <v>2872957.67</v>
      </c>
      <c r="E1209" s="31">
        <f t="shared" ref="E1209:AE1209" si="308">E1210</f>
        <v>0</v>
      </c>
      <c r="F1209" s="31">
        <f t="shared" si="308"/>
        <v>0</v>
      </c>
      <c r="G1209" s="31">
        <f t="shared" si="308"/>
        <v>0</v>
      </c>
      <c r="H1209" s="31">
        <f t="shared" si="308"/>
        <v>0</v>
      </c>
      <c r="I1209" s="31">
        <f t="shared" si="308"/>
        <v>0</v>
      </c>
      <c r="J1209" s="31">
        <f t="shared" si="308"/>
        <v>0</v>
      </c>
      <c r="K1209" s="33">
        <f t="shared" si="308"/>
        <v>0</v>
      </c>
      <c r="L1209" s="31">
        <f t="shared" si="308"/>
        <v>0</v>
      </c>
      <c r="M1209" s="31">
        <f t="shared" si="308"/>
        <v>0</v>
      </c>
      <c r="N1209" s="31">
        <f t="shared" si="308"/>
        <v>0</v>
      </c>
      <c r="O1209" s="31">
        <f t="shared" si="308"/>
        <v>0</v>
      </c>
      <c r="P1209" s="31">
        <f t="shared" si="308"/>
        <v>0</v>
      </c>
      <c r="Q1209" s="31">
        <f t="shared" si="308"/>
        <v>0</v>
      </c>
      <c r="R1209" s="31">
        <f t="shared" si="308"/>
        <v>0</v>
      </c>
      <c r="S1209" s="31">
        <f t="shared" si="308"/>
        <v>72.77</v>
      </c>
      <c r="T1209" s="31">
        <f t="shared" si="308"/>
        <v>2682716.92</v>
      </c>
      <c r="U1209" s="31">
        <f t="shared" si="308"/>
        <v>0</v>
      </c>
      <c r="V1209" s="31">
        <f t="shared" si="308"/>
        <v>0</v>
      </c>
      <c r="W1209" s="31">
        <f t="shared" si="308"/>
        <v>0</v>
      </c>
      <c r="X1209" s="31">
        <f t="shared" si="308"/>
        <v>0</v>
      </c>
      <c r="Y1209" s="31">
        <f t="shared" si="308"/>
        <v>0</v>
      </c>
      <c r="Z1209" s="31">
        <f t="shared" si="308"/>
        <v>0</v>
      </c>
      <c r="AA1209" s="31">
        <f t="shared" si="308"/>
        <v>0</v>
      </c>
      <c r="AB1209" s="31">
        <f t="shared" si="308"/>
        <v>0</v>
      </c>
      <c r="AC1209" s="31">
        <f t="shared" si="308"/>
        <v>40240.75</v>
      </c>
      <c r="AD1209" s="31">
        <f t="shared" si="308"/>
        <v>150000</v>
      </c>
      <c r="AE1209" s="31">
        <f t="shared" si="308"/>
        <v>0</v>
      </c>
      <c r="AF1209" s="347" t="s">
        <v>764</v>
      </c>
      <c r="AG1209" s="347" t="s">
        <v>764</v>
      </c>
      <c r="AH1209" s="348" t="s">
        <v>764</v>
      </c>
      <c r="AT1209" s="20" t="e">
        <f t="shared" si="296"/>
        <v>#N/A</v>
      </c>
      <c r="BZ1209" s="71">
        <v>3799734.79</v>
      </c>
    </row>
    <row r="1210" spans="1:78" ht="61.5" x14ac:dyDescent="0.85">
      <c r="A1210" s="20">
        <v>1</v>
      </c>
      <c r="B1210" s="66">
        <f>SUBTOTAL(103,$A$994:A1210)</f>
        <v>180</v>
      </c>
      <c r="C1210" s="156" t="s">
        <v>65</v>
      </c>
      <c r="D1210" s="31">
        <f>E1210+F1210+G1210+H1210+I1210+J1210+L1210+N1210+P1210+R1210+T1210+U1210+V1210+W1210+X1210+Y1210+Z1210+AA1210+AB1210+AC1210+AD1210+AE1210</f>
        <v>2872957.67</v>
      </c>
      <c r="E1210" s="31">
        <v>0</v>
      </c>
      <c r="F1210" s="31">
        <v>0</v>
      </c>
      <c r="G1210" s="31">
        <v>0</v>
      </c>
      <c r="H1210" s="31">
        <v>0</v>
      </c>
      <c r="I1210" s="31">
        <v>0</v>
      </c>
      <c r="J1210" s="31">
        <v>0</v>
      </c>
      <c r="K1210" s="33">
        <v>0</v>
      </c>
      <c r="L1210" s="31">
        <v>0</v>
      </c>
      <c r="M1210" s="31">
        <v>0</v>
      </c>
      <c r="N1210" s="31">
        <v>0</v>
      </c>
      <c r="O1210" s="31">
        <v>0</v>
      </c>
      <c r="P1210" s="31">
        <v>0</v>
      </c>
      <c r="Q1210" s="31">
        <v>0</v>
      </c>
      <c r="R1210" s="31">
        <v>0</v>
      </c>
      <c r="S1210" s="31">
        <v>72.77</v>
      </c>
      <c r="T1210" s="31">
        <f>3595797.82-913080.9</f>
        <v>2682716.92</v>
      </c>
      <c r="U1210" s="31">
        <v>0</v>
      </c>
      <c r="V1210" s="31">
        <v>0</v>
      </c>
      <c r="W1210" s="31">
        <v>0</v>
      </c>
      <c r="X1210" s="31">
        <v>0</v>
      </c>
      <c r="Y1210" s="31">
        <v>0</v>
      </c>
      <c r="Z1210" s="31">
        <v>0</v>
      </c>
      <c r="AA1210" s="31">
        <v>0</v>
      </c>
      <c r="AB1210" s="31">
        <v>0</v>
      </c>
      <c r="AC1210" s="31">
        <f>ROUND(T1210*1.5%,2)</f>
        <v>40240.75</v>
      </c>
      <c r="AD1210" s="31">
        <v>150000</v>
      </c>
      <c r="AE1210" s="31">
        <v>0</v>
      </c>
      <c r="AF1210" s="345">
        <v>2022</v>
      </c>
      <c r="AG1210" s="345">
        <v>2022</v>
      </c>
      <c r="AH1210" s="346">
        <v>2022</v>
      </c>
      <c r="AT1210" s="20" t="e">
        <f t="shared" si="296"/>
        <v>#N/A</v>
      </c>
      <c r="BZ1210" s="71"/>
    </row>
    <row r="1211" spans="1:78" ht="61.5" x14ac:dyDescent="0.85">
      <c r="B1211" s="24" t="s">
        <v>858</v>
      </c>
      <c r="C1211" s="24"/>
      <c r="D1211" s="31">
        <f>D1212</f>
        <v>2311215.4500000002</v>
      </c>
      <c r="E1211" s="31">
        <f t="shared" ref="E1211:AE1211" si="309">E1212</f>
        <v>0</v>
      </c>
      <c r="F1211" s="31">
        <f t="shared" si="309"/>
        <v>0</v>
      </c>
      <c r="G1211" s="31">
        <f t="shared" si="309"/>
        <v>0</v>
      </c>
      <c r="H1211" s="31">
        <f t="shared" si="309"/>
        <v>0</v>
      </c>
      <c r="I1211" s="31">
        <f t="shared" si="309"/>
        <v>0</v>
      </c>
      <c r="J1211" s="31">
        <f t="shared" si="309"/>
        <v>0</v>
      </c>
      <c r="K1211" s="33">
        <f t="shared" si="309"/>
        <v>0</v>
      </c>
      <c r="L1211" s="31">
        <f t="shared" si="309"/>
        <v>0</v>
      </c>
      <c r="M1211" s="31">
        <f t="shared" si="309"/>
        <v>470</v>
      </c>
      <c r="N1211" s="31">
        <f t="shared" si="309"/>
        <v>2158832.96</v>
      </c>
      <c r="O1211" s="31">
        <f t="shared" si="309"/>
        <v>0</v>
      </c>
      <c r="P1211" s="31">
        <f t="shared" si="309"/>
        <v>0</v>
      </c>
      <c r="Q1211" s="31">
        <f t="shared" si="309"/>
        <v>0</v>
      </c>
      <c r="R1211" s="31">
        <f t="shared" si="309"/>
        <v>0</v>
      </c>
      <c r="S1211" s="31">
        <f t="shared" si="309"/>
        <v>0</v>
      </c>
      <c r="T1211" s="31">
        <f t="shared" si="309"/>
        <v>0</v>
      </c>
      <c r="U1211" s="31">
        <f t="shared" si="309"/>
        <v>0</v>
      </c>
      <c r="V1211" s="31">
        <f t="shared" si="309"/>
        <v>0</v>
      </c>
      <c r="W1211" s="31">
        <f t="shared" si="309"/>
        <v>0</v>
      </c>
      <c r="X1211" s="31">
        <f t="shared" si="309"/>
        <v>0</v>
      </c>
      <c r="Y1211" s="31">
        <f t="shared" si="309"/>
        <v>0</v>
      </c>
      <c r="Z1211" s="31">
        <f t="shared" si="309"/>
        <v>0</v>
      </c>
      <c r="AA1211" s="31">
        <f t="shared" si="309"/>
        <v>0</v>
      </c>
      <c r="AB1211" s="31">
        <f t="shared" si="309"/>
        <v>0</v>
      </c>
      <c r="AC1211" s="31">
        <f t="shared" si="309"/>
        <v>32382.49</v>
      </c>
      <c r="AD1211" s="31">
        <f t="shared" si="309"/>
        <v>120000</v>
      </c>
      <c r="AE1211" s="31">
        <f t="shared" si="309"/>
        <v>0</v>
      </c>
      <c r="AF1211" s="347" t="s">
        <v>764</v>
      </c>
      <c r="AG1211" s="347" t="s">
        <v>764</v>
      </c>
      <c r="AH1211" s="348" t="s">
        <v>764</v>
      </c>
      <c r="AT1211" s="20" t="e">
        <f t="shared" si="296"/>
        <v>#N/A</v>
      </c>
      <c r="BZ1211" s="71">
        <v>2311215.4500000002</v>
      </c>
    </row>
    <row r="1212" spans="1:78" ht="61.5" x14ac:dyDescent="0.85">
      <c r="A1212" s="20">
        <v>1</v>
      </c>
      <c r="B1212" s="66">
        <f>SUBTOTAL(103,$A$994:A1212)</f>
        <v>181</v>
      </c>
      <c r="C1212" s="156" t="s">
        <v>64</v>
      </c>
      <c r="D1212" s="31">
        <f>E1212+F1212+G1212+H1212+I1212+J1212+L1212+N1212+P1212+R1212+T1212+U1212+V1212+W1212+X1212+Y1212+Z1212+AA1212+AB1212+AC1212+AD1212+AE1212</f>
        <v>2311215.4500000002</v>
      </c>
      <c r="E1212" s="31">
        <v>0</v>
      </c>
      <c r="F1212" s="31">
        <v>0</v>
      </c>
      <c r="G1212" s="31">
        <v>0</v>
      </c>
      <c r="H1212" s="31">
        <v>0</v>
      </c>
      <c r="I1212" s="31">
        <v>0</v>
      </c>
      <c r="J1212" s="31">
        <v>0</v>
      </c>
      <c r="K1212" s="33">
        <v>0</v>
      </c>
      <c r="L1212" s="31">
        <v>0</v>
      </c>
      <c r="M1212" s="31">
        <v>470</v>
      </c>
      <c r="N1212" s="31">
        <v>2158832.96</v>
      </c>
      <c r="O1212" s="31">
        <v>0</v>
      </c>
      <c r="P1212" s="31">
        <v>0</v>
      </c>
      <c r="Q1212" s="31">
        <v>0</v>
      </c>
      <c r="R1212" s="31">
        <v>0</v>
      </c>
      <c r="S1212" s="31">
        <v>0</v>
      </c>
      <c r="T1212" s="31">
        <v>0</v>
      </c>
      <c r="U1212" s="31">
        <v>0</v>
      </c>
      <c r="V1212" s="31">
        <v>0</v>
      </c>
      <c r="W1212" s="31">
        <v>0</v>
      </c>
      <c r="X1212" s="31">
        <v>0</v>
      </c>
      <c r="Y1212" s="31">
        <v>0</v>
      </c>
      <c r="Z1212" s="31">
        <v>0</v>
      </c>
      <c r="AA1212" s="31">
        <v>0</v>
      </c>
      <c r="AB1212" s="31">
        <v>0</v>
      </c>
      <c r="AC1212" s="31">
        <f>ROUND(N1212*1.5%,2)</f>
        <v>32382.49</v>
      </c>
      <c r="AD1212" s="31">
        <v>120000</v>
      </c>
      <c r="AE1212" s="31">
        <v>0</v>
      </c>
      <c r="AF1212" s="345">
        <v>2022</v>
      </c>
      <c r="AG1212" s="345">
        <v>2022</v>
      </c>
      <c r="AH1212" s="346">
        <v>2022</v>
      </c>
      <c r="AT1212" s="20" t="e">
        <f t="shared" si="296"/>
        <v>#N/A</v>
      </c>
      <c r="BZ1212" s="71"/>
    </row>
    <row r="1213" spans="1:78" ht="61.5" x14ac:dyDescent="0.85">
      <c r="B1213" s="24" t="s">
        <v>896</v>
      </c>
      <c r="C1213" s="24"/>
      <c r="D1213" s="31">
        <f>D1214</f>
        <v>3215375.5700000003</v>
      </c>
      <c r="E1213" s="31">
        <f t="shared" ref="E1213:AE1213" si="310">E1214</f>
        <v>0</v>
      </c>
      <c r="F1213" s="31">
        <f t="shared" si="310"/>
        <v>0</v>
      </c>
      <c r="G1213" s="31">
        <f t="shared" si="310"/>
        <v>0</v>
      </c>
      <c r="H1213" s="31">
        <f t="shared" si="310"/>
        <v>0</v>
      </c>
      <c r="I1213" s="31">
        <f t="shared" si="310"/>
        <v>0</v>
      </c>
      <c r="J1213" s="31">
        <f t="shared" si="310"/>
        <v>0</v>
      </c>
      <c r="K1213" s="33">
        <f t="shared" si="310"/>
        <v>0</v>
      </c>
      <c r="L1213" s="31">
        <f t="shared" si="310"/>
        <v>0</v>
      </c>
      <c r="M1213" s="31">
        <f t="shared" si="310"/>
        <v>615.76</v>
      </c>
      <c r="N1213" s="31">
        <f t="shared" si="310"/>
        <v>3020074.45</v>
      </c>
      <c r="O1213" s="31">
        <f t="shared" si="310"/>
        <v>0</v>
      </c>
      <c r="P1213" s="31">
        <f t="shared" si="310"/>
        <v>0</v>
      </c>
      <c r="Q1213" s="31">
        <f t="shared" si="310"/>
        <v>0</v>
      </c>
      <c r="R1213" s="31">
        <f t="shared" si="310"/>
        <v>0</v>
      </c>
      <c r="S1213" s="31">
        <f t="shared" si="310"/>
        <v>0</v>
      </c>
      <c r="T1213" s="31">
        <f t="shared" si="310"/>
        <v>0</v>
      </c>
      <c r="U1213" s="31">
        <f t="shared" si="310"/>
        <v>0</v>
      </c>
      <c r="V1213" s="31">
        <f t="shared" si="310"/>
        <v>0</v>
      </c>
      <c r="W1213" s="31">
        <f t="shared" si="310"/>
        <v>0</v>
      </c>
      <c r="X1213" s="31">
        <f t="shared" si="310"/>
        <v>0</v>
      </c>
      <c r="Y1213" s="31">
        <f t="shared" si="310"/>
        <v>0</v>
      </c>
      <c r="Z1213" s="31">
        <f t="shared" si="310"/>
        <v>0</v>
      </c>
      <c r="AA1213" s="31">
        <f t="shared" si="310"/>
        <v>0</v>
      </c>
      <c r="AB1213" s="31">
        <f t="shared" si="310"/>
        <v>0</v>
      </c>
      <c r="AC1213" s="31">
        <f t="shared" si="310"/>
        <v>45301.120000000003</v>
      </c>
      <c r="AD1213" s="31">
        <f t="shared" si="310"/>
        <v>150000</v>
      </c>
      <c r="AE1213" s="31">
        <f t="shared" si="310"/>
        <v>0</v>
      </c>
      <c r="AF1213" s="347" t="s">
        <v>764</v>
      </c>
      <c r="AG1213" s="347" t="s">
        <v>764</v>
      </c>
      <c r="AH1213" s="348" t="s">
        <v>764</v>
      </c>
      <c r="AT1213" s="20" t="e">
        <f t="shared" si="296"/>
        <v>#N/A</v>
      </c>
      <c r="BZ1213" s="71">
        <v>3215375.5700000003</v>
      </c>
    </row>
    <row r="1214" spans="1:78" ht="61.5" x14ac:dyDescent="0.85">
      <c r="A1214" s="20">
        <v>1</v>
      </c>
      <c r="B1214" s="66">
        <f>SUBTOTAL(103,$A$994:A1214)</f>
        <v>182</v>
      </c>
      <c r="C1214" s="156" t="s">
        <v>70</v>
      </c>
      <c r="D1214" s="31">
        <f>E1214+F1214+G1214+H1214+I1214+J1214+L1214+N1214+P1214+R1214+T1214+U1214+V1214+W1214+X1214+Y1214+Z1214+AA1214+AB1214+AC1214+AD1214+AE1214</f>
        <v>3215375.5700000003</v>
      </c>
      <c r="E1214" s="31">
        <v>0</v>
      </c>
      <c r="F1214" s="31">
        <v>0</v>
      </c>
      <c r="G1214" s="31">
        <v>0</v>
      </c>
      <c r="H1214" s="31">
        <v>0</v>
      </c>
      <c r="I1214" s="31">
        <v>0</v>
      </c>
      <c r="J1214" s="31">
        <v>0</v>
      </c>
      <c r="K1214" s="33">
        <v>0</v>
      </c>
      <c r="L1214" s="31">
        <v>0</v>
      </c>
      <c r="M1214" s="31">
        <v>615.76</v>
      </c>
      <c r="N1214" s="31">
        <v>3020074.45</v>
      </c>
      <c r="O1214" s="31">
        <v>0</v>
      </c>
      <c r="P1214" s="31">
        <v>0</v>
      </c>
      <c r="Q1214" s="31">
        <v>0</v>
      </c>
      <c r="R1214" s="31">
        <v>0</v>
      </c>
      <c r="S1214" s="31">
        <v>0</v>
      </c>
      <c r="T1214" s="31">
        <v>0</v>
      </c>
      <c r="U1214" s="31">
        <v>0</v>
      </c>
      <c r="V1214" s="31">
        <v>0</v>
      </c>
      <c r="W1214" s="31">
        <v>0</v>
      </c>
      <c r="X1214" s="31">
        <v>0</v>
      </c>
      <c r="Y1214" s="31">
        <v>0</v>
      </c>
      <c r="Z1214" s="31">
        <v>0</v>
      </c>
      <c r="AA1214" s="31">
        <v>0</v>
      </c>
      <c r="AB1214" s="31">
        <v>0</v>
      </c>
      <c r="AC1214" s="31">
        <f>ROUND(N1214*1.5%,2)</f>
        <v>45301.120000000003</v>
      </c>
      <c r="AD1214" s="31">
        <v>150000</v>
      </c>
      <c r="AE1214" s="31">
        <v>0</v>
      </c>
      <c r="AF1214" s="345">
        <v>2022</v>
      </c>
      <c r="AG1214" s="345">
        <v>2022</v>
      </c>
      <c r="AH1214" s="346">
        <v>2022</v>
      </c>
      <c r="AT1214" s="20" t="e">
        <f t="shared" si="296"/>
        <v>#N/A</v>
      </c>
      <c r="BZ1214" s="71"/>
    </row>
    <row r="1215" spans="1:78" ht="61.5" x14ac:dyDescent="0.85">
      <c r="B1215" s="24" t="s">
        <v>859</v>
      </c>
      <c r="C1215" s="24"/>
      <c r="D1215" s="31">
        <f>D1216+D1217+D1218</f>
        <v>10672314.84</v>
      </c>
      <c r="E1215" s="31">
        <f t="shared" ref="E1215:AE1215" si="311">E1216+E1217+E1218</f>
        <v>0</v>
      </c>
      <c r="F1215" s="31">
        <f t="shared" si="311"/>
        <v>0</v>
      </c>
      <c r="G1215" s="31">
        <f t="shared" si="311"/>
        <v>0</v>
      </c>
      <c r="H1215" s="31">
        <f t="shared" si="311"/>
        <v>0</v>
      </c>
      <c r="I1215" s="31">
        <f t="shared" si="311"/>
        <v>0</v>
      </c>
      <c r="J1215" s="31">
        <f t="shared" si="311"/>
        <v>0</v>
      </c>
      <c r="K1215" s="33">
        <f t="shared" si="311"/>
        <v>0</v>
      </c>
      <c r="L1215" s="31">
        <f t="shared" si="311"/>
        <v>0</v>
      </c>
      <c r="M1215" s="31">
        <f t="shared" si="311"/>
        <v>2043.8</v>
      </c>
      <c r="N1215" s="31">
        <f t="shared" si="311"/>
        <v>10100802.800000001</v>
      </c>
      <c r="O1215" s="31">
        <f t="shared" si="311"/>
        <v>0</v>
      </c>
      <c r="P1215" s="31">
        <f t="shared" si="311"/>
        <v>0</v>
      </c>
      <c r="Q1215" s="31">
        <f t="shared" si="311"/>
        <v>0</v>
      </c>
      <c r="R1215" s="31">
        <f t="shared" si="311"/>
        <v>0</v>
      </c>
      <c r="S1215" s="31">
        <f t="shared" si="311"/>
        <v>0</v>
      </c>
      <c r="T1215" s="31">
        <f t="shared" si="311"/>
        <v>0</v>
      </c>
      <c r="U1215" s="31">
        <f t="shared" si="311"/>
        <v>0</v>
      </c>
      <c r="V1215" s="31">
        <f t="shared" si="311"/>
        <v>0</v>
      </c>
      <c r="W1215" s="31">
        <f t="shared" si="311"/>
        <v>0</v>
      </c>
      <c r="X1215" s="31">
        <f t="shared" si="311"/>
        <v>0</v>
      </c>
      <c r="Y1215" s="31">
        <f t="shared" si="311"/>
        <v>0</v>
      </c>
      <c r="Z1215" s="31">
        <f t="shared" si="311"/>
        <v>0</v>
      </c>
      <c r="AA1215" s="31">
        <f t="shared" si="311"/>
        <v>0</v>
      </c>
      <c r="AB1215" s="31">
        <f t="shared" si="311"/>
        <v>0</v>
      </c>
      <c r="AC1215" s="31">
        <f t="shared" si="311"/>
        <v>151512.04</v>
      </c>
      <c r="AD1215" s="31">
        <f t="shared" si="311"/>
        <v>420000</v>
      </c>
      <c r="AE1215" s="31">
        <f t="shared" si="311"/>
        <v>0</v>
      </c>
      <c r="AF1215" s="347" t="s">
        <v>764</v>
      </c>
      <c r="AG1215" s="347" t="s">
        <v>764</v>
      </c>
      <c r="AH1215" s="348" t="s">
        <v>764</v>
      </c>
      <c r="AT1215" s="20" t="e">
        <f t="shared" si="296"/>
        <v>#N/A</v>
      </c>
      <c r="BZ1215" s="71">
        <v>10672314.84</v>
      </c>
    </row>
    <row r="1216" spans="1:78" ht="61.5" x14ac:dyDescent="0.85">
      <c r="A1216" s="20">
        <v>1</v>
      </c>
      <c r="B1216" s="66">
        <f>SUBTOTAL(103,$A$994:A1216)</f>
        <v>183</v>
      </c>
      <c r="C1216" s="156" t="s">
        <v>71</v>
      </c>
      <c r="D1216" s="31">
        <f>E1216+F1216+G1216+H1216+I1216+J1216+L1216+N1216+P1216+R1216+T1216+U1216+V1216+W1216+X1216+Y1216+Z1216+AA1216+AB1216+AC1216+AD1216+AE1216</f>
        <v>2391584.4</v>
      </c>
      <c r="E1216" s="31">
        <v>0</v>
      </c>
      <c r="F1216" s="31">
        <v>0</v>
      </c>
      <c r="G1216" s="31">
        <v>0</v>
      </c>
      <c r="H1216" s="31">
        <v>0</v>
      </c>
      <c r="I1216" s="31">
        <v>0</v>
      </c>
      <c r="J1216" s="31">
        <v>0</v>
      </c>
      <c r="K1216" s="33">
        <v>0</v>
      </c>
      <c r="L1216" s="31">
        <v>0</v>
      </c>
      <c r="M1216" s="31">
        <v>458</v>
      </c>
      <c r="N1216" s="31">
        <v>2238014.19</v>
      </c>
      <c r="O1216" s="31">
        <v>0</v>
      </c>
      <c r="P1216" s="31">
        <v>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  <c r="V1216" s="31">
        <v>0</v>
      </c>
      <c r="W1216" s="31">
        <v>0</v>
      </c>
      <c r="X1216" s="31">
        <v>0</v>
      </c>
      <c r="Y1216" s="31">
        <v>0</v>
      </c>
      <c r="Z1216" s="31">
        <v>0</v>
      </c>
      <c r="AA1216" s="31">
        <v>0</v>
      </c>
      <c r="AB1216" s="31">
        <v>0</v>
      </c>
      <c r="AC1216" s="31">
        <f>ROUND(N1216*1.5%,2)</f>
        <v>33570.21</v>
      </c>
      <c r="AD1216" s="31">
        <v>120000</v>
      </c>
      <c r="AE1216" s="31">
        <v>0</v>
      </c>
      <c r="AF1216" s="345">
        <v>2022</v>
      </c>
      <c r="AG1216" s="345">
        <v>2022</v>
      </c>
      <c r="AH1216" s="346">
        <v>2022</v>
      </c>
      <c r="AT1216" s="20" t="e">
        <f t="shared" si="296"/>
        <v>#N/A</v>
      </c>
      <c r="BZ1216" s="71"/>
    </row>
    <row r="1217" spans="1:78" ht="61.5" x14ac:dyDescent="0.85">
      <c r="A1217" s="20">
        <v>1</v>
      </c>
      <c r="B1217" s="66">
        <f>SUBTOTAL(103,$A$994:A1217)</f>
        <v>184</v>
      </c>
      <c r="C1217" s="156" t="s">
        <v>72</v>
      </c>
      <c r="D1217" s="31">
        <f>E1217+F1217+G1217+H1217+I1217+J1217+L1217+N1217+P1217+R1217+T1217+U1217+V1217+W1217+X1217+Y1217+Z1217+AA1217+AB1217+AC1217+AD1217+AE1217</f>
        <v>4908492</v>
      </c>
      <c r="E1217" s="31">
        <v>0</v>
      </c>
      <c r="F1217" s="31">
        <v>0</v>
      </c>
      <c r="G1217" s="31">
        <v>0</v>
      </c>
      <c r="H1217" s="31">
        <v>0</v>
      </c>
      <c r="I1217" s="31">
        <v>0</v>
      </c>
      <c r="J1217" s="31">
        <v>0</v>
      </c>
      <c r="K1217" s="33">
        <v>0</v>
      </c>
      <c r="L1217" s="31">
        <v>0</v>
      </c>
      <c r="M1217" s="31">
        <v>940</v>
      </c>
      <c r="N1217" s="31">
        <v>4688169.46</v>
      </c>
      <c r="O1217" s="31">
        <v>0</v>
      </c>
      <c r="P1217" s="31">
        <v>0</v>
      </c>
      <c r="Q1217" s="31">
        <v>0</v>
      </c>
      <c r="R1217" s="31">
        <v>0</v>
      </c>
      <c r="S1217" s="31">
        <v>0</v>
      </c>
      <c r="T1217" s="31">
        <v>0</v>
      </c>
      <c r="U1217" s="31">
        <v>0</v>
      </c>
      <c r="V1217" s="31">
        <v>0</v>
      </c>
      <c r="W1217" s="31">
        <v>0</v>
      </c>
      <c r="X1217" s="31">
        <v>0</v>
      </c>
      <c r="Y1217" s="31">
        <v>0</v>
      </c>
      <c r="Z1217" s="31">
        <v>0</v>
      </c>
      <c r="AA1217" s="31">
        <v>0</v>
      </c>
      <c r="AB1217" s="31">
        <v>0</v>
      </c>
      <c r="AC1217" s="31">
        <f>ROUND(N1217*1.5%,2)</f>
        <v>70322.539999999994</v>
      </c>
      <c r="AD1217" s="31">
        <v>150000</v>
      </c>
      <c r="AE1217" s="31">
        <v>0</v>
      </c>
      <c r="AF1217" s="345">
        <v>2022</v>
      </c>
      <c r="AG1217" s="345">
        <v>2022</v>
      </c>
      <c r="AH1217" s="346">
        <v>2022</v>
      </c>
      <c r="AT1217" s="20" t="e">
        <f t="shared" si="296"/>
        <v>#N/A</v>
      </c>
      <c r="BZ1217" s="71"/>
    </row>
    <row r="1218" spans="1:78" ht="61.5" x14ac:dyDescent="0.85">
      <c r="A1218" s="20">
        <v>1</v>
      </c>
      <c r="B1218" s="66">
        <f>SUBTOTAL(103,$A$994:A1218)</f>
        <v>185</v>
      </c>
      <c r="C1218" s="156" t="s">
        <v>73</v>
      </c>
      <c r="D1218" s="31">
        <f>E1218+F1218+G1218+H1218+I1218+J1218+L1218+N1218+P1218+R1218+T1218+U1218+V1218+W1218+X1218+Y1218+Z1218+AA1218+AB1218+AC1218+AD1218+AE1218</f>
        <v>3372238.44</v>
      </c>
      <c r="E1218" s="31">
        <v>0</v>
      </c>
      <c r="F1218" s="31">
        <v>0</v>
      </c>
      <c r="G1218" s="31">
        <v>0</v>
      </c>
      <c r="H1218" s="31">
        <v>0</v>
      </c>
      <c r="I1218" s="31">
        <v>0</v>
      </c>
      <c r="J1218" s="31">
        <v>0</v>
      </c>
      <c r="K1218" s="33">
        <v>0</v>
      </c>
      <c r="L1218" s="31">
        <v>0</v>
      </c>
      <c r="M1218" s="31">
        <v>645.79999999999995</v>
      </c>
      <c r="N1218" s="31">
        <v>3174619.15</v>
      </c>
      <c r="O1218" s="31">
        <v>0</v>
      </c>
      <c r="P1218" s="31">
        <v>0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1">
        <v>0</v>
      </c>
      <c r="Y1218" s="31">
        <v>0</v>
      </c>
      <c r="Z1218" s="31">
        <v>0</v>
      </c>
      <c r="AA1218" s="31">
        <v>0</v>
      </c>
      <c r="AB1218" s="31">
        <v>0</v>
      </c>
      <c r="AC1218" s="31">
        <f>ROUND(N1218*1.5%,2)</f>
        <v>47619.29</v>
      </c>
      <c r="AD1218" s="31">
        <v>150000</v>
      </c>
      <c r="AE1218" s="31">
        <v>0</v>
      </c>
      <c r="AF1218" s="345">
        <v>2022</v>
      </c>
      <c r="AG1218" s="345">
        <v>2022</v>
      </c>
      <c r="AH1218" s="346">
        <v>2022</v>
      </c>
      <c r="AT1218" s="20" t="e">
        <f t="shared" si="296"/>
        <v>#N/A</v>
      </c>
      <c r="BZ1218" s="71"/>
    </row>
    <row r="1219" spans="1:78" ht="61.5" x14ac:dyDescent="0.85">
      <c r="B1219" s="24" t="s">
        <v>855</v>
      </c>
      <c r="C1219" s="24"/>
      <c r="D1219" s="31">
        <f>D1220</f>
        <v>3912770.8299999996</v>
      </c>
      <c r="E1219" s="31">
        <f t="shared" ref="E1219:AE1219" si="312">E1220</f>
        <v>0</v>
      </c>
      <c r="F1219" s="31">
        <f t="shared" si="312"/>
        <v>0</v>
      </c>
      <c r="G1219" s="31">
        <f t="shared" si="312"/>
        <v>0</v>
      </c>
      <c r="H1219" s="31">
        <f t="shared" si="312"/>
        <v>0</v>
      </c>
      <c r="I1219" s="31">
        <f t="shared" si="312"/>
        <v>0</v>
      </c>
      <c r="J1219" s="31">
        <f t="shared" si="312"/>
        <v>0</v>
      </c>
      <c r="K1219" s="33">
        <f t="shared" si="312"/>
        <v>0</v>
      </c>
      <c r="L1219" s="31">
        <f t="shared" si="312"/>
        <v>0</v>
      </c>
      <c r="M1219" s="31">
        <f t="shared" si="312"/>
        <v>1320</v>
      </c>
      <c r="N1219" s="31">
        <f t="shared" si="312"/>
        <v>3736720.03</v>
      </c>
      <c r="O1219" s="31">
        <f t="shared" si="312"/>
        <v>0</v>
      </c>
      <c r="P1219" s="31">
        <f t="shared" si="312"/>
        <v>0</v>
      </c>
      <c r="Q1219" s="31">
        <f t="shared" si="312"/>
        <v>0</v>
      </c>
      <c r="R1219" s="31">
        <f t="shared" si="312"/>
        <v>0</v>
      </c>
      <c r="S1219" s="31">
        <f t="shared" si="312"/>
        <v>0</v>
      </c>
      <c r="T1219" s="31">
        <f t="shared" si="312"/>
        <v>0</v>
      </c>
      <c r="U1219" s="31">
        <f t="shared" si="312"/>
        <v>0</v>
      </c>
      <c r="V1219" s="31">
        <f t="shared" si="312"/>
        <v>0</v>
      </c>
      <c r="W1219" s="31">
        <f t="shared" si="312"/>
        <v>0</v>
      </c>
      <c r="X1219" s="31">
        <f t="shared" si="312"/>
        <v>0</v>
      </c>
      <c r="Y1219" s="31">
        <f t="shared" si="312"/>
        <v>0</v>
      </c>
      <c r="Z1219" s="31">
        <f t="shared" si="312"/>
        <v>0</v>
      </c>
      <c r="AA1219" s="31">
        <f t="shared" si="312"/>
        <v>0</v>
      </c>
      <c r="AB1219" s="31">
        <f t="shared" si="312"/>
        <v>0</v>
      </c>
      <c r="AC1219" s="31">
        <f t="shared" si="312"/>
        <v>56050.8</v>
      </c>
      <c r="AD1219" s="31">
        <f t="shared" si="312"/>
        <v>120000</v>
      </c>
      <c r="AE1219" s="31">
        <f t="shared" si="312"/>
        <v>0</v>
      </c>
      <c r="AF1219" s="347" t="s">
        <v>764</v>
      </c>
      <c r="AG1219" s="347" t="s">
        <v>764</v>
      </c>
      <c r="AH1219" s="348" t="s">
        <v>764</v>
      </c>
      <c r="AT1219" s="20" t="e">
        <f t="shared" si="296"/>
        <v>#N/A</v>
      </c>
      <c r="BZ1219" s="71">
        <v>3912770.8299999996</v>
      </c>
    </row>
    <row r="1220" spans="1:78" ht="61.5" x14ac:dyDescent="0.85">
      <c r="A1220" s="20">
        <v>1</v>
      </c>
      <c r="B1220" s="66">
        <f>SUBTOTAL(103,$A$994:A1220)</f>
        <v>186</v>
      </c>
      <c r="C1220" s="156" t="s">
        <v>1586</v>
      </c>
      <c r="D1220" s="31">
        <f>E1220+F1220+G1220+H1220+I1220+J1220+L1220+N1220+P1220+R1220+T1220+U1220+V1220+W1220+X1220+Y1220+Z1220+AA1220+AB1220+AC1220+AD1220+AE1220</f>
        <v>3912770.8299999996</v>
      </c>
      <c r="E1220" s="31">
        <v>0</v>
      </c>
      <c r="F1220" s="31">
        <v>0</v>
      </c>
      <c r="G1220" s="31">
        <v>0</v>
      </c>
      <c r="H1220" s="31">
        <v>0</v>
      </c>
      <c r="I1220" s="31">
        <v>0</v>
      </c>
      <c r="J1220" s="31">
        <v>0</v>
      </c>
      <c r="K1220" s="33">
        <v>0</v>
      </c>
      <c r="L1220" s="31">
        <v>0</v>
      </c>
      <c r="M1220" s="31">
        <v>1320</v>
      </c>
      <c r="N1220" s="31">
        <v>3736720.03</v>
      </c>
      <c r="O1220" s="31">
        <v>0</v>
      </c>
      <c r="P1220" s="31">
        <v>0</v>
      </c>
      <c r="Q1220" s="31">
        <v>0</v>
      </c>
      <c r="R1220" s="31">
        <v>0</v>
      </c>
      <c r="S1220" s="31">
        <v>0</v>
      </c>
      <c r="T1220" s="31">
        <v>0</v>
      </c>
      <c r="U1220" s="31">
        <v>0</v>
      </c>
      <c r="V1220" s="31">
        <v>0</v>
      </c>
      <c r="W1220" s="31">
        <v>0</v>
      </c>
      <c r="X1220" s="31">
        <v>0</v>
      </c>
      <c r="Y1220" s="31">
        <v>0</v>
      </c>
      <c r="Z1220" s="31">
        <v>0</v>
      </c>
      <c r="AA1220" s="31">
        <v>0</v>
      </c>
      <c r="AB1220" s="31">
        <v>0</v>
      </c>
      <c r="AC1220" s="31">
        <f>ROUND(N1220*1.5%,2)</f>
        <v>56050.8</v>
      </c>
      <c r="AD1220" s="31">
        <v>120000</v>
      </c>
      <c r="AE1220" s="31">
        <v>0</v>
      </c>
      <c r="AF1220" s="345">
        <v>2022</v>
      </c>
      <c r="AG1220" s="345">
        <v>2022</v>
      </c>
      <c r="AH1220" s="346">
        <v>2022</v>
      </c>
      <c r="BZ1220" s="71"/>
    </row>
    <row r="1221" spans="1:78" ht="61.5" x14ac:dyDescent="0.85">
      <c r="B1221" s="24" t="s">
        <v>860</v>
      </c>
      <c r="C1221" s="114"/>
      <c r="D1221" s="31">
        <f>D1222</f>
        <v>4804056</v>
      </c>
      <c r="E1221" s="31">
        <f t="shared" ref="E1221:AE1221" si="313">E1222</f>
        <v>0</v>
      </c>
      <c r="F1221" s="31">
        <f t="shared" si="313"/>
        <v>0</v>
      </c>
      <c r="G1221" s="31">
        <f t="shared" si="313"/>
        <v>0</v>
      </c>
      <c r="H1221" s="31">
        <f t="shared" si="313"/>
        <v>0</v>
      </c>
      <c r="I1221" s="31">
        <f t="shared" si="313"/>
        <v>0</v>
      </c>
      <c r="J1221" s="31">
        <f t="shared" si="313"/>
        <v>0</v>
      </c>
      <c r="K1221" s="33">
        <f t="shared" si="313"/>
        <v>0</v>
      </c>
      <c r="L1221" s="31">
        <f t="shared" si="313"/>
        <v>0</v>
      </c>
      <c r="M1221" s="31">
        <f t="shared" si="313"/>
        <v>925</v>
      </c>
      <c r="N1221" s="31">
        <f t="shared" si="313"/>
        <v>4585276.8499999996</v>
      </c>
      <c r="O1221" s="31">
        <f t="shared" si="313"/>
        <v>0</v>
      </c>
      <c r="P1221" s="31">
        <f t="shared" si="313"/>
        <v>0</v>
      </c>
      <c r="Q1221" s="31">
        <f t="shared" si="313"/>
        <v>0</v>
      </c>
      <c r="R1221" s="31">
        <f t="shared" si="313"/>
        <v>0</v>
      </c>
      <c r="S1221" s="31">
        <f t="shared" si="313"/>
        <v>0</v>
      </c>
      <c r="T1221" s="31">
        <f t="shared" si="313"/>
        <v>0</v>
      </c>
      <c r="U1221" s="31">
        <f t="shared" si="313"/>
        <v>0</v>
      </c>
      <c r="V1221" s="31">
        <f t="shared" si="313"/>
        <v>0</v>
      </c>
      <c r="W1221" s="31">
        <f t="shared" si="313"/>
        <v>0</v>
      </c>
      <c r="X1221" s="31">
        <f t="shared" si="313"/>
        <v>0</v>
      </c>
      <c r="Y1221" s="31">
        <f t="shared" si="313"/>
        <v>0</v>
      </c>
      <c r="Z1221" s="31">
        <f t="shared" si="313"/>
        <v>0</v>
      </c>
      <c r="AA1221" s="31">
        <f t="shared" si="313"/>
        <v>0</v>
      </c>
      <c r="AB1221" s="31">
        <f t="shared" si="313"/>
        <v>0</v>
      </c>
      <c r="AC1221" s="31">
        <f t="shared" si="313"/>
        <v>68779.149999999994</v>
      </c>
      <c r="AD1221" s="31">
        <f t="shared" si="313"/>
        <v>150000</v>
      </c>
      <c r="AE1221" s="31">
        <f t="shared" si="313"/>
        <v>0</v>
      </c>
      <c r="AF1221" s="347" t="s">
        <v>764</v>
      </c>
      <c r="AG1221" s="347" t="s">
        <v>764</v>
      </c>
      <c r="AH1221" s="348" t="s">
        <v>764</v>
      </c>
      <c r="AT1221" s="20" t="e">
        <f t="shared" ref="AT1221:AT1237" si="314">VLOOKUP(C1221,AW:AX,2,FALSE)</f>
        <v>#N/A</v>
      </c>
      <c r="BZ1221" s="71">
        <v>4804056</v>
      </c>
    </row>
    <row r="1222" spans="1:78" ht="61.5" x14ac:dyDescent="0.85">
      <c r="A1222" s="20">
        <v>1</v>
      </c>
      <c r="B1222" s="66">
        <f>SUBTOTAL(103,$A$994:A1222)</f>
        <v>187</v>
      </c>
      <c r="C1222" s="156" t="s">
        <v>228</v>
      </c>
      <c r="D1222" s="31">
        <f>E1222+F1222+G1222+H1222+I1222+J1222+L1222+N1222+P1222+R1222+T1222+U1222+V1222+W1222+X1222+Y1222+Z1222+AA1222+AB1222+AC1222+AD1222+AE1222</f>
        <v>4804056</v>
      </c>
      <c r="E1222" s="31">
        <v>0</v>
      </c>
      <c r="F1222" s="31">
        <v>0</v>
      </c>
      <c r="G1222" s="31">
        <v>0</v>
      </c>
      <c r="H1222" s="31">
        <v>0</v>
      </c>
      <c r="I1222" s="31">
        <v>0</v>
      </c>
      <c r="J1222" s="31">
        <v>0</v>
      </c>
      <c r="K1222" s="33">
        <v>0</v>
      </c>
      <c r="L1222" s="31">
        <v>0</v>
      </c>
      <c r="M1222" s="31">
        <v>925</v>
      </c>
      <c r="N1222" s="31">
        <v>4585276.8499999996</v>
      </c>
      <c r="O1222" s="31">
        <v>0</v>
      </c>
      <c r="P1222" s="31">
        <v>0</v>
      </c>
      <c r="Q1222" s="31">
        <v>0</v>
      </c>
      <c r="R1222" s="31">
        <v>0</v>
      </c>
      <c r="S1222" s="31">
        <v>0</v>
      </c>
      <c r="T1222" s="31">
        <v>0</v>
      </c>
      <c r="U1222" s="31">
        <v>0</v>
      </c>
      <c r="V1222" s="31">
        <v>0</v>
      </c>
      <c r="W1222" s="31">
        <v>0</v>
      </c>
      <c r="X1222" s="31">
        <v>0</v>
      </c>
      <c r="Y1222" s="31">
        <v>0</v>
      </c>
      <c r="Z1222" s="31">
        <v>0</v>
      </c>
      <c r="AA1222" s="31">
        <v>0</v>
      </c>
      <c r="AB1222" s="31">
        <v>0</v>
      </c>
      <c r="AC1222" s="31">
        <f>ROUND(N1222*1.5%,2)</f>
        <v>68779.149999999994</v>
      </c>
      <c r="AD1222" s="31">
        <v>150000</v>
      </c>
      <c r="AE1222" s="31">
        <v>0</v>
      </c>
      <c r="AF1222" s="345">
        <v>2022</v>
      </c>
      <c r="AG1222" s="345">
        <v>2022</v>
      </c>
      <c r="AH1222" s="346">
        <v>2022</v>
      </c>
      <c r="AT1222" s="20" t="e">
        <f t="shared" si="314"/>
        <v>#N/A</v>
      </c>
      <c r="BZ1222" s="71"/>
    </row>
    <row r="1223" spans="1:78" ht="61.5" x14ac:dyDescent="0.85">
      <c r="B1223" s="24" t="s">
        <v>895</v>
      </c>
      <c r="C1223" s="114"/>
      <c r="D1223" s="31">
        <f>D1224</f>
        <v>7284801.9000000004</v>
      </c>
      <c r="E1223" s="31">
        <f t="shared" ref="E1223:AE1223" si="315">E1224</f>
        <v>0</v>
      </c>
      <c r="F1223" s="31">
        <f t="shared" si="315"/>
        <v>0</v>
      </c>
      <c r="G1223" s="31">
        <f t="shared" si="315"/>
        <v>0</v>
      </c>
      <c r="H1223" s="31">
        <f t="shared" si="315"/>
        <v>0</v>
      </c>
      <c r="I1223" s="31">
        <f t="shared" si="315"/>
        <v>0</v>
      </c>
      <c r="J1223" s="31">
        <f t="shared" si="315"/>
        <v>0</v>
      </c>
      <c r="K1223" s="33">
        <f t="shared" si="315"/>
        <v>0</v>
      </c>
      <c r="L1223" s="31">
        <f t="shared" si="315"/>
        <v>0</v>
      </c>
      <c r="M1223" s="31">
        <f t="shared" si="315"/>
        <v>1501.50709241</v>
      </c>
      <c r="N1223" s="31">
        <f t="shared" si="315"/>
        <v>6999804.8300000001</v>
      </c>
      <c r="O1223" s="31">
        <f t="shared" si="315"/>
        <v>0</v>
      </c>
      <c r="P1223" s="31">
        <f t="shared" si="315"/>
        <v>0</v>
      </c>
      <c r="Q1223" s="31">
        <f t="shared" si="315"/>
        <v>0</v>
      </c>
      <c r="R1223" s="31">
        <f t="shared" si="315"/>
        <v>0</v>
      </c>
      <c r="S1223" s="31">
        <f t="shared" si="315"/>
        <v>0</v>
      </c>
      <c r="T1223" s="31">
        <f t="shared" si="315"/>
        <v>0</v>
      </c>
      <c r="U1223" s="31">
        <f t="shared" si="315"/>
        <v>0</v>
      </c>
      <c r="V1223" s="31">
        <f t="shared" si="315"/>
        <v>0</v>
      </c>
      <c r="W1223" s="31">
        <f t="shared" si="315"/>
        <v>0</v>
      </c>
      <c r="X1223" s="31">
        <f t="shared" si="315"/>
        <v>0</v>
      </c>
      <c r="Y1223" s="31">
        <f t="shared" si="315"/>
        <v>0</v>
      </c>
      <c r="Z1223" s="31">
        <f t="shared" si="315"/>
        <v>0</v>
      </c>
      <c r="AA1223" s="31">
        <f t="shared" si="315"/>
        <v>0</v>
      </c>
      <c r="AB1223" s="31">
        <f t="shared" si="315"/>
        <v>0</v>
      </c>
      <c r="AC1223" s="31">
        <f t="shared" si="315"/>
        <v>104997.07</v>
      </c>
      <c r="AD1223" s="31">
        <f t="shared" si="315"/>
        <v>180000</v>
      </c>
      <c r="AE1223" s="31">
        <f t="shared" si="315"/>
        <v>0</v>
      </c>
      <c r="AF1223" s="347" t="s">
        <v>764</v>
      </c>
      <c r="AG1223" s="347" t="s">
        <v>764</v>
      </c>
      <c r="AH1223" s="348" t="s">
        <v>764</v>
      </c>
      <c r="AT1223" s="20" t="e">
        <f t="shared" si="314"/>
        <v>#N/A</v>
      </c>
      <c r="BZ1223" s="71">
        <v>7284801.9000000004</v>
      </c>
    </row>
    <row r="1224" spans="1:78" ht="61.5" x14ac:dyDescent="0.85">
      <c r="A1224" s="20">
        <v>1</v>
      </c>
      <c r="B1224" s="66">
        <f>SUBTOTAL(103,$A$994:A1224)</f>
        <v>188</v>
      </c>
      <c r="C1224" s="156" t="s">
        <v>160</v>
      </c>
      <c r="D1224" s="31">
        <f>E1224+F1224+G1224+H1224+I1224+J1224+L1224+N1224+P1224+R1224+T1224+U1224+V1224+W1224+X1224+Y1224+Z1224+AA1224+AB1224+AC1224+AD1224+AE1224</f>
        <v>7284801.9000000004</v>
      </c>
      <c r="E1224" s="31">
        <v>0</v>
      </c>
      <c r="F1224" s="31">
        <v>0</v>
      </c>
      <c r="G1224" s="31">
        <v>0</v>
      </c>
      <c r="H1224" s="31">
        <v>0</v>
      </c>
      <c r="I1224" s="31">
        <v>0</v>
      </c>
      <c r="J1224" s="31">
        <v>0</v>
      </c>
      <c r="K1224" s="33">
        <v>0</v>
      </c>
      <c r="L1224" s="31">
        <v>0</v>
      </c>
      <c r="M1224" s="31">
        <v>1501.50709241</v>
      </c>
      <c r="N1224" s="31">
        <v>6999804.8300000001</v>
      </c>
      <c r="O1224" s="31">
        <v>0</v>
      </c>
      <c r="P1224" s="31">
        <v>0</v>
      </c>
      <c r="Q1224" s="31">
        <v>0</v>
      </c>
      <c r="R1224" s="31">
        <v>0</v>
      </c>
      <c r="S1224" s="31">
        <v>0</v>
      </c>
      <c r="T1224" s="31">
        <v>0</v>
      </c>
      <c r="U1224" s="31">
        <v>0</v>
      </c>
      <c r="V1224" s="31">
        <v>0</v>
      </c>
      <c r="W1224" s="31">
        <v>0</v>
      </c>
      <c r="X1224" s="31">
        <v>0</v>
      </c>
      <c r="Y1224" s="31">
        <v>0</v>
      </c>
      <c r="Z1224" s="31">
        <v>0</v>
      </c>
      <c r="AA1224" s="31">
        <v>0</v>
      </c>
      <c r="AB1224" s="31">
        <v>0</v>
      </c>
      <c r="AC1224" s="31">
        <f>ROUND(N1224*1.5%,2)</f>
        <v>104997.07</v>
      </c>
      <c r="AD1224" s="31">
        <v>180000</v>
      </c>
      <c r="AE1224" s="31">
        <v>0</v>
      </c>
      <c r="AF1224" s="345">
        <v>2022</v>
      </c>
      <c r="AG1224" s="345">
        <v>2022</v>
      </c>
      <c r="AH1224" s="346">
        <v>2022</v>
      </c>
      <c r="AT1224" s="20" t="e">
        <f t="shared" si="314"/>
        <v>#N/A</v>
      </c>
      <c r="BZ1224" s="71"/>
    </row>
    <row r="1225" spans="1:78" ht="61.5" x14ac:dyDescent="0.85">
      <c r="B1225" s="24" t="s">
        <v>891</v>
      </c>
      <c r="C1225" s="24"/>
      <c r="D1225" s="31">
        <f>D1226+D1227</f>
        <v>4011881.02</v>
      </c>
      <c r="E1225" s="31">
        <f t="shared" ref="E1225:AE1225" si="316">E1226+E1227</f>
        <v>0</v>
      </c>
      <c r="F1225" s="31">
        <f t="shared" si="316"/>
        <v>0</v>
      </c>
      <c r="G1225" s="31">
        <f t="shared" si="316"/>
        <v>0</v>
      </c>
      <c r="H1225" s="31">
        <f t="shared" si="316"/>
        <v>0</v>
      </c>
      <c r="I1225" s="31">
        <f t="shared" si="316"/>
        <v>0</v>
      </c>
      <c r="J1225" s="31">
        <f t="shared" si="316"/>
        <v>0</v>
      </c>
      <c r="K1225" s="33">
        <f t="shared" si="316"/>
        <v>0</v>
      </c>
      <c r="L1225" s="31">
        <f t="shared" si="316"/>
        <v>0</v>
      </c>
      <c r="M1225" s="31">
        <f t="shared" si="316"/>
        <v>771.1</v>
      </c>
      <c r="N1225" s="31">
        <f t="shared" si="316"/>
        <v>3479820.61</v>
      </c>
      <c r="O1225" s="31">
        <f t="shared" si="316"/>
        <v>0</v>
      </c>
      <c r="P1225" s="31">
        <f t="shared" si="316"/>
        <v>0</v>
      </c>
      <c r="Q1225" s="31">
        <f t="shared" si="316"/>
        <v>98</v>
      </c>
      <c r="R1225" s="31">
        <f t="shared" si="316"/>
        <v>206761.67</v>
      </c>
      <c r="S1225" s="31">
        <f t="shared" si="316"/>
        <v>0</v>
      </c>
      <c r="T1225" s="31">
        <f t="shared" si="316"/>
        <v>0</v>
      </c>
      <c r="U1225" s="31">
        <f t="shared" si="316"/>
        <v>0</v>
      </c>
      <c r="V1225" s="31">
        <f t="shared" si="316"/>
        <v>0</v>
      </c>
      <c r="W1225" s="31">
        <f t="shared" si="316"/>
        <v>0</v>
      </c>
      <c r="X1225" s="31">
        <f t="shared" si="316"/>
        <v>0</v>
      </c>
      <c r="Y1225" s="31">
        <f t="shared" si="316"/>
        <v>0</v>
      </c>
      <c r="Z1225" s="31">
        <f t="shared" si="316"/>
        <v>0</v>
      </c>
      <c r="AA1225" s="31">
        <f t="shared" si="316"/>
        <v>0</v>
      </c>
      <c r="AB1225" s="31">
        <f t="shared" si="316"/>
        <v>0</v>
      </c>
      <c r="AC1225" s="31">
        <f t="shared" si="316"/>
        <v>55298.74</v>
      </c>
      <c r="AD1225" s="31">
        <f t="shared" si="316"/>
        <v>270000</v>
      </c>
      <c r="AE1225" s="31">
        <f t="shared" si="316"/>
        <v>0</v>
      </c>
      <c r="AF1225" s="347" t="s">
        <v>764</v>
      </c>
      <c r="AG1225" s="347" t="s">
        <v>764</v>
      </c>
      <c r="AH1225" s="348" t="s">
        <v>764</v>
      </c>
      <c r="AT1225" s="20" t="e">
        <f t="shared" si="314"/>
        <v>#N/A</v>
      </c>
      <c r="BZ1225" s="71">
        <v>4011881.02</v>
      </c>
    </row>
    <row r="1226" spans="1:78" ht="61.5" x14ac:dyDescent="0.85">
      <c r="A1226" s="20">
        <v>1</v>
      </c>
      <c r="B1226" s="66">
        <f>SUBTOTAL(103,$A$994:A1226)</f>
        <v>189</v>
      </c>
      <c r="C1226" s="156" t="s">
        <v>166</v>
      </c>
      <c r="D1226" s="31">
        <f>E1226+F1226+G1226+H1226+I1226+J1226+L1226+N1226+P1226+R1226+T1226+U1226+V1226+W1226+X1226+Y1226+Z1226+AA1226+AB1226+AC1226+AD1226+AE1226</f>
        <v>329863.09999999998</v>
      </c>
      <c r="E1226" s="31">
        <v>0</v>
      </c>
      <c r="F1226" s="31">
        <v>0</v>
      </c>
      <c r="G1226" s="31">
        <v>0</v>
      </c>
      <c r="H1226" s="31">
        <v>0</v>
      </c>
      <c r="I1226" s="31">
        <v>0</v>
      </c>
      <c r="J1226" s="31">
        <v>0</v>
      </c>
      <c r="K1226" s="33">
        <v>0</v>
      </c>
      <c r="L1226" s="31">
        <v>0</v>
      </c>
      <c r="M1226" s="31">
        <v>0</v>
      </c>
      <c r="N1226" s="31">
        <v>0</v>
      </c>
      <c r="O1226" s="31">
        <v>0</v>
      </c>
      <c r="P1226" s="31">
        <v>0</v>
      </c>
      <c r="Q1226" s="31">
        <v>98</v>
      </c>
      <c r="R1226" s="31">
        <v>206761.67</v>
      </c>
      <c r="S1226" s="31">
        <v>0</v>
      </c>
      <c r="T1226" s="31">
        <v>0</v>
      </c>
      <c r="U1226" s="31">
        <v>0</v>
      </c>
      <c r="V1226" s="31">
        <v>0</v>
      </c>
      <c r="W1226" s="31">
        <v>0</v>
      </c>
      <c r="X1226" s="31">
        <v>0</v>
      </c>
      <c r="Y1226" s="31">
        <v>0</v>
      </c>
      <c r="Z1226" s="31">
        <v>0</v>
      </c>
      <c r="AA1226" s="31">
        <v>0</v>
      </c>
      <c r="AB1226" s="31">
        <v>0</v>
      </c>
      <c r="AC1226" s="31">
        <f>ROUND(R1226*1.5%,2)</f>
        <v>3101.43</v>
      </c>
      <c r="AD1226" s="31">
        <v>120000</v>
      </c>
      <c r="AE1226" s="31">
        <v>0</v>
      </c>
      <c r="AF1226" s="345">
        <v>2022</v>
      </c>
      <c r="AG1226" s="345">
        <v>2022</v>
      </c>
      <c r="AH1226" s="346">
        <v>2022</v>
      </c>
      <c r="AT1226" s="20" t="e">
        <f t="shared" si="314"/>
        <v>#N/A</v>
      </c>
      <c r="BZ1226" s="71"/>
    </row>
    <row r="1227" spans="1:78" ht="61.5" x14ac:dyDescent="0.85">
      <c r="A1227" s="20">
        <v>1</v>
      </c>
      <c r="B1227" s="66">
        <f>SUBTOTAL(103,$A$994:A1227)</f>
        <v>190</v>
      </c>
      <c r="C1227" s="156" t="s">
        <v>167</v>
      </c>
      <c r="D1227" s="31">
        <f>E1227+F1227+G1227+H1227+I1227+J1227+L1227+N1227+P1227+R1227+T1227+U1227+V1227+W1227+X1227+Y1227+Z1227+AA1227+AB1227+AC1227+AD1227+AE1227</f>
        <v>3682017.92</v>
      </c>
      <c r="E1227" s="31">
        <v>0</v>
      </c>
      <c r="F1227" s="31">
        <v>0</v>
      </c>
      <c r="G1227" s="31">
        <v>0</v>
      </c>
      <c r="H1227" s="31">
        <v>0</v>
      </c>
      <c r="I1227" s="31">
        <v>0</v>
      </c>
      <c r="J1227" s="31">
        <v>0</v>
      </c>
      <c r="K1227" s="33">
        <v>0</v>
      </c>
      <c r="L1227" s="31">
        <v>0</v>
      </c>
      <c r="M1227" s="31">
        <v>771.1</v>
      </c>
      <c r="N1227" s="31">
        <v>3479820.61</v>
      </c>
      <c r="O1227" s="31">
        <v>0</v>
      </c>
      <c r="P1227" s="31">
        <v>0</v>
      </c>
      <c r="Q1227" s="31">
        <v>0</v>
      </c>
      <c r="R1227" s="31">
        <v>0</v>
      </c>
      <c r="S1227" s="31">
        <v>0</v>
      </c>
      <c r="T1227" s="31">
        <v>0</v>
      </c>
      <c r="U1227" s="31">
        <v>0</v>
      </c>
      <c r="V1227" s="31">
        <v>0</v>
      </c>
      <c r="W1227" s="31">
        <v>0</v>
      </c>
      <c r="X1227" s="31">
        <v>0</v>
      </c>
      <c r="Y1227" s="31">
        <v>0</v>
      </c>
      <c r="Z1227" s="31">
        <v>0</v>
      </c>
      <c r="AA1227" s="31">
        <v>0</v>
      </c>
      <c r="AB1227" s="31">
        <v>0</v>
      </c>
      <c r="AC1227" s="31">
        <f>ROUND(N1227*1.5%,2)</f>
        <v>52197.31</v>
      </c>
      <c r="AD1227" s="31">
        <v>150000</v>
      </c>
      <c r="AE1227" s="31">
        <v>0</v>
      </c>
      <c r="AF1227" s="345">
        <v>2022</v>
      </c>
      <c r="AG1227" s="345">
        <v>2022</v>
      </c>
      <c r="AH1227" s="346">
        <v>2022</v>
      </c>
      <c r="AT1227" s="20" t="e">
        <f t="shared" si="314"/>
        <v>#N/A</v>
      </c>
      <c r="BZ1227" s="71"/>
    </row>
    <row r="1228" spans="1:78" ht="61.5" x14ac:dyDescent="0.85">
      <c r="B1228" s="24" t="s">
        <v>864</v>
      </c>
      <c r="C1228" s="24"/>
      <c r="D1228" s="31">
        <f>D1229+D1230</f>
        <v>6026117.5699999994</v>
      </c>
      <c r="E1228" s="31">
        <f t="shared" ref="E1228:AE1228" si="317">E1229+E1230</f>
        <v>0</v>
      </c>
      <c r="F1228" s="31">
        <f t="shared" si="317"/>
        <v>0</v>
      </c>
      <c r="G1228" s="31">
        <f t="shared" si="317"/>
        <v>0</v>
      </c>
      <c r="H1228" s="31">
        <f t="shared" si="317"/>
        <v>0</v>
      </c>
      <c r="I1228" s="31">
        <f t="shared" si="317"/>
        <v>0</v>
      </c>
      <c r="J1228" s="31">
        <f t="shared" si="317"/>
        <v>0</v>
      </c>
      <c r="K1228" s="33">
        <f t="shared" si="317"/>
        <v>0</v>
      </c>
      <c r="L1228" s="31">
        <f t="shared" si="317"/>
        <v>0</v>
      </c>
      <c r="M1228" s="31">
        <f t="shared" si="317"/>
        <v>1191.9585999999999</v>
      </c>
      <c r="N1228" s="31">
        <f t="shared" si="317"/>
        <v>5671051.7999999998</v>
      </c>
      <c r="O1228" s="31">
        <f t="shared" si="317"/>
        <v>0</v>
      </c>
      <c r="P1228" s="31">
        <f t="shared" si="317"/>
        <v>0</v>
      </c>
      <c r="Q1228" s="31">
        <f t="shared" si="317"/>
        <v>0</v>
      </c>
      <c r="R1228" s="31">
        <f t="shared" si="317"/>
        <v>0</v>
      </c>
      <c r="S1228" s="31">
        <f t="shared" si="317"/>
        <v>0</v>
      </c>
      <c r="T1228" s="31">
        <f t="shared" si="317"/>
        <v>0</v>
      </c>
      <c r="U1228" s="31">
        <f t="shared" si="317"/>
        <v>0</v>
      </c>
      <c r="V1228" s="31">
        <f t="shared" si="317"/>
        <v>0</v>
      </c>
      <c r="W1228" s="31">
        <f t="shared" si="317"/>
        <v>0</v>
      </c>
      <c r="X1228" s="31">
        <f t="shared" si="317"/>
        <v>0</v>
      </c>
      <c r="Y1228" s="31">
        <f t="shared" si="317"/>
        <v>0</v>
      </c>
      <c r="Z1228" s="31">
        <f t="shared" si="317"/>
        <v>0</v>
      </c>
      <c r="AA1228" s="31">
        <f t="shared" si="317"/>
        <v>0</v>
      </c>
      <c r="AB1228" s="31">
        <f t="shared" si="317"/>
        <v>0</v>
      </c>
      <c r="AC1228" s="31">
        <f t="shared" si="317"/>
        <v>85065.77</v>
      </c>
      <c r="AD1228" s="31">
        <f t="shared" si="317"/>
        <v>270000</v>
      </c>
      <c r="AE1228" s="31">
        <f t="shared" si="317"/>
        <v>0</v>
      </c>
      <c r="AF1228" s="347" t="s">
        <v>764</v>
      </c>
      <c r="AG1228" s="347" t="s">
        <v>764</v>
      </c>
      <c r="AH1228" s="348" t="s">
        <v>764</v>
      </c>
      <c r="AT1228" s="20" t="e">
        <f t="shared" si="314"/>
        <v>#N/A</v>
      </c>
      <c r="BZ1228" s="71">
        <v>6026117.5699999994</v>
      </c>
    </row>
    <row r="1229" spans="1:78" ht="61.5" x14ac:dyDescent="0.85">
      <c r="A1229" s="20">
        <v>1</v>
      </c>
      <c r="B1229" s="66">
        <f>SUBTOTAL(103,$A$994:A1229)</f>
        <v>191</v>
      </c>
      <c r="C1229" s="156" t="s">
        <v>165</v>
      </c>
      <c r="D1229" s="31">
        <f>E1229+F1229+G1229+H1229+I1229+J1229+L1229+N1229+P1229+R1229+T1229+U1229+V1229+W1229+X1229+Y1229+Z1229+AA1229+AB1229+AC1229+AD1229+AE1229</f>
        <v>4388776.2699999996</v>
      </c>
      <c r="E1229" s="31">
        <v>0</v>
      </c>
      <c r="F1229" s="31">
        <v>0</v>
      </c>
      <c r="G1229" s="31">
        <v>0</v>
      </c>
      <c r="H1229" s="31">
        <v>0</v>
      </c>
      <c r="I1229" s="31">
        <v>0</v>
      </c>
      <c r="J1229" s="31">
        <v>0</v>
      </c>
      <c r="K1229" s="33">
        <v>0</v>
      </c>
      <c r="L1229" s="31">
        <v>0</v>
      </c>
      <c r="M1229" s="31">
        <v>878.4</v>
      </c>
      <c r="N1229" s="31">
        <v>4176134.26</v>
      </c>
      <c r="O1229" s="31">
        <v>0</v>
      </c>
      <c r="P1229" s="31">
        <v>0</v>
      </c>
      <c r="Q1229" s="31">
        <v>0</v>
      </c>
      <c r="R1229" s="31">
        <v>0</v>
      </c>
      <c r="S1229" s="31">
        <v>0</v>
      </c>
      <c r="T1229" s="31">
        <v>0</v>
      </c>
      <c r="U1229" s="31">
        <v>0</v>
      </c>
      <c r="V1229" s="31">
        <v>0</v>
      </c>
      <c r="W1229" s="31">
        <v>0</v>
      </c>
      <c r="X1229" s="31">
        <v>0</v>
      </c>
      <c r="Y1229" s="31">
        <v>0</v>
      </c>
      <c r="Z1229" s="31">
        <v>0</v>
      </c>
      <c r="AA1229" s="31">
        <v>0</v>
      </c>
      <c r="AB1229" s="31">
        <v>0</v>
      </c>
      <c r="AC1229" s="31">
        <f>ROUND(N1229*1.5%,2)</f>
        <v>62642.01</v>
      </c>
      <c r="AD1229" s="31">
        <v>150000</v>
      </c>
      <c r="AE1229" s="31">
        <v>0</v>
      </c>
      <c r="AF1229" s="345">
        <v>2022</v>
      </c>
      <c r="AG1229" s="345">
        <v>2022</v>
      </c>
      <c r="AH1229" s="346">
        <v>2022</v>
      </c>
      <c r="AT1229" s="20" t="e">
        <f t="shared" si="314"/>
        <v>#N/A</v>
      </c>
      <c r="BZ1229" s="71"/>
    </row>
    <row r="1230" spans="1:78" ht="61.5" x14ac:dyDescent="0.85">
      <c r="A1230" s="20">
        <v>1</v>
      </c>
      <c r="B1230" s="66">
        <f>SUBTOTAL(103,$A$994:A1230)</f>
        <v>192</v>
      </c>
      <c r="C1230" s="156" t="s">
        <v>164</v>
      </c>
      <c r="D1230" s="31">
        <f>E1230+F1230+G1230+H1230+I1230+J1230+L1230+N1230+P1230+R1230+T1230+U1230+V1230+W1230+X1230+Y1230+Z1230+AA1230+AB1230+AC1230+AD1230+AE1230</f>
        <v>1637341.3</v>
      </c>
      <c r="E1230" s="31">
        <v>0</v>
      </c>
      <c r="F1230" s="31">
        <v>0</v>
      </c>
      <c r="G1230" s="31">
        <v>0</v>
      </c>
      <c r="H1230" s="31">
        <v>0</v>
      </c>
      <c r="I1230" s="31">
        <v>0</v>
      </c>
      <c r="J1230" s="31">
        <v>0</v>
      </c>
      <c r="K1230" s="33">
        <v>0</v>
      </c>
      <c r="L1230" s="31">
        <v>0</v>
      </c>
      <c r="M1230" s="31">
        <v>313.55860000000001</v>
      </c>
      <c r="N1230" s="31">
        <v>1494917.54</v>
      </c>
      <c r="O1230" s="31">
        <v>0</v>
      </c>
      <c r="P1230" s="31">
        <v>0</v>
      </c>
      <c r="Q1230" s="31">
        <v>0</v>
      </c>
      <c r="R1230" s="31">
        <v>0</v>
      </c>
      <c r="S1230" s="31">
        <v>0</v>
      </c>
      <c r="T1230" s="31">
        <v>0</v>
      </c>
      <c r="U1230" s="31">
        <v>0</v>
      </c>
      <c r="V1230" s="31">
        <v>0</v>
      </c>
      <c r="W1230" s="31">
        <v>0</v>
      </c>
      <c r="X1230" s="31">
        <v>0</v>
      </c>
      <c r="Y1230" s="31">
        <v>0</v>
      </c>
      <c r="Z1230" s="31">
        <v>0</v>
      </c>
      <c r="AA1230" s="31">
        <v>0</v>
      </c>
      <c r="AB1230" s="31">
        <v>0</v>
      </c>
      <c r="AC1230" s="31">
        <f>ROUND(N1230*1.5%,2)</f>
        <v>22423.759999999998</v>
      </c>
      <c r="AD1230" s="31">
        <v>120000</v>
      </c>
      <c r="AE1230" s="31">
        <v>0</v>
      </c>
      <c r="AF1230" s="345">
        <v>2022</v>
      </c>
      <c r="AG1230" s="345">
        <v>2022</v>
      </c>
      <c r="AH1230" s="346">
        <v>2022</v>
      </c>
      <c r="AT1230" s="20" t="e">
        <f t="shared" si="314"/>
        <v>#N/A</v>
      </c>
      <c r="BZ1230" s="71"/>
    </row>
    <row r="1231" spans="1:78" ht="61.5" x14ac:dyDescent="0.85">
      <c r="B1231" s="24" t="s">
        <v>865</v>
      </c>
      <c r="C1231" s="24"/>
      <c r="D1231" s="31">
        <f>SUM(D1232:D1234)</f>
        <v>12459674.15</v>
      </c>
      <c r="E1231" s="31">
        <f t="shared" ref="E1231:AE1231" si="318">SUM(E1232:E1234)</f>
        <v>0</v>
      </c>
      <c r="F1231" s="31">
        <f t="shared" si="318"/>
        <v>0</v>
      </c>
      <c r="G1231" s="31">
        <f t="shared" si="318"/>
        <v>0</v>
      </c>
      <c r="H1231" s="31">
        <f t="shared" si="318"/>
        <v>0</v>
      </c>
      <c r="I1231" s="31">
        <f t="shared" si="318"/>
        <v>0</v>
      </c>
      <c r="J1231" s="31">
        <f t="shared" si="318"/>
        <v>0</v>
      </c>
      <c r="K1231" s="33">
        <f t="shared" si="318"/>
        <v>0</v>
      </c>
      <c r="L1231" s="31">
        <f t="shared" si="318"/>
        <v>0</v>
      </c>
      <c r="M1231" s="31">
        <f t="shared" si="318"/>
        <v>2891.3100000000004</v>
      </c>
      <c r="N1231" s="31">
        <f t="shared" si="318"/>
        <v>11802634.630000001</v>
      </c>
      <c r="O1231" s="31">
        <f t="shared" si="318"/>
        <v>0</v>
      </c>
      <c r="P1231" s="31">
        <f t="shared" si="318"/>
        <v>0</v>
      </c>
      <c r="Q1231" s="31">
        <f t="shared" si="318"/>
        <v>0</v>
      </c>
      <c r="R1231" s="31">
        <f t="shared" si="318"/>
        <v>0</v>
      </c>
      <c r="S1231" s="31">
        <f t="shared" si="318"/>
        <v>0</v>
      </c>
      <c r="T1231" s="31">
        <f t="shared" si="318"/>
        <v>0</v>
      </c>
      <c r="U1231" s="31">
        <f t="shared" si="318"/>
        <v>0</v>
      </c>
      <c r="V1231" s="31">
        <f t="shared" si="318"/>
        <v>0</v>
      </c>
      <c r="W1231" s="31">
        <f t="shared" si="318"/>
        <v>0</v>
      </c>
      <c r="X1231" s="31">
        <f t="shared" si="318"/>
        <v>0</v>
      </c>
      <c r="Y1231" s="31">
        <f t="shared" si="318"/>
        <v>0</v>
      </c>
      <c r="Z1231" s="31">
        <f t="shared" si="318"/>
        <v>0</v>
      </c>
      <c r="AA1231" s="31">
        <f t="shared" si="318"/>
        <v>0</v>
      </c>
      <c r="AB1231" s="31">
        <f t="shared" si="318"/>
        <v>0</v>
      </c>
      <c r="AC1231" s="31">
        <f t="shared" si="318"/>
        <v>177039.52000000002</v>
      </c>
      <c r="AD1231" s="31">
        <f t="shared" si="318"/>
        <v>480000</v>
      </c>
      <c r="AE1231" s="31">
        <f t="shared" si="318"/>
        <v>0</v>
      </c>
      <c r="AF1231" s="347" t="s">
        <v>764</v>
      </c>
      <c r="AG1231" s="347" t="s">
        <v>764</v>
      </c>
      <c r="AH1231" s="348" t="s">
        <v>764</v>
      </c>
      <c r="AT1231" s="20" t="e">
        <f t="shared" si="314"/>
        <v>#N/A</v>
      </c>
      <c r="BZ1231" s="71">
        <v>12459674.15</v>
      </c>
    </row>
    <row r="1232" spans="1:78" ht="61.5" x14ac:dyDescent="0.85">
      <c r="A1232" s="20">
        <v>1</v>
      </c>
      <c r="B1232" s="66">
        <f>SUBTOTAL(103,$A$994:A1232)</f>
        <v>193</v>
      </c>
      <c r="C1232" s="156" t="s">
        <v>161</v>
      </c>
      <c r="D1232" s="31">
        <f>E1232+F1232+G1232+H1232+I1232+J1232+L1232+N1232+P1232+R1232+T1232+U1232+V1232+W1232+X1232+Y1232+Z1232+AA1232+AB1232+AC1232+AD1232+AE1232</f>
        <v>5095413.53</v>
      </c>
      <c r="E1232" s="31">
        <v>0</v>
      </c>
      <c r="F1232" s="31">
        <v>0</v>
      </c>
      <c r="G1232" s="31">
        <v>0</v>
      </c>
      <c r="H1232" s="31">
        <v>0</v>
      </c>
      <c r="I1232" s="31">
        <v>0</v>
      </c>
      <c r="J1232" s="31">
        <v>0</v>
      </c>
      <c r="K1232" s="33">
        <v>0</v>
      </c>
      <c r="L1232" s="31">
        <v>0</v>
      </c>
      <c r="M1232" s="31">
        <v>1276.79</v>
      </c>
      <c r="N1232" s="31">
        <v>4842771.95</v>
      </c>
      <c r="O1232" s="31">
        <v>0</v>
      </c>
      <c r="P1232" s="31">
        <v>0</v>
      </c>
      <c r="Q1232" s="31">
        <v>0</v>
      </c>
      <c r="R1232" s="31">
        <v>0</v>
      </c>
      <c r="S1232" s="31">
        <v>0</v>
      </c>
      <c r="T1232" s="31">
        <v>0</v>
      </c>
      <c r="U1232" s="31">
        <v>0</v>
      </c>
      <c r="V1232" s="31">
        <v>0</v>
      </c>
      <c r="W1232" s="31">
        <v>0</v>
      </c>
      <c r="X1232" s="31">
        <v>0</v>
      </c>
      <c r="Y1232" s="31">
        <v>0</v>
      </c>
      <c r="Z1232" s="31">
        <v>0</v>
      </c>
      <c r="AA1232" s="31">
        <v>0</v>
      </c>
      <c r="AB1232" s="31">
        <v>0</v>
      </c>
      <c r="AC1232" s="31">
        <f>ROUND(N1232*1.5%,2)</f>
        <v>72641.58</v>
      </c>
      <c r="AD1232" s="31">
        <v>180000</v>
      </c>
      <c r="AE1232" s="31">
        <v>0</v>
      </c>
      <c r="AF1232" s="345">
        <v>2022</v>
      </c>
      <c r="AG1232" s="345">
        <v>2022</v>
      </c>
      <c r="AH1232" s="346">
        <v>2022</v>
      </c>
      <c r="AT1232" s="20" t="e">
        <f t="shared" si="314"/>
        <v>#N/A</v>
      </c>
      <c r="BZ1232" s="71"/>
    </row>
    <row r="1233" spans="1:82" ht="61.5" x14ac:dyDescent="0.85">
      <c r="A1233" s="20">
        <v>1</v>
      </c>
      <c r="B1233" s="66">
        <f>SUBTOTAL(103,$A$994:A1233)</f>
        <v>194</v>
      </c>
      <c r="C1233" s="156" t="s">
        <v>162</v>
      </c>
      <c r="D1233" s="31">
        <f>E1233+F1233+G1233+H1233+I1233+J1233+L1233+N1233+P1233+R1233+T1233+U1233+V1233+W1233+X1233+Y1233+Z1233+AA1233+AB1233+AC1233+AD1233+AE1233</f>
        <v>3457309.86</v>
      </c>
      <c r="E1233" s="31">
        <v>0</v>
      </c>
      <c r="F1233" s="31">
        <v>0</v>
      </c>
      <c r="G1233" s="31">
        <v>0</v>
      </c>
      <c r="H1233" s="31">
        <v>0</v>
      </c>
      <c r="I1233" s="31">
        <v>0</v>
      </c>
      <c r="J1233" s="31">
        <v>0</v>
      </c>
      <c r="K1233" s="33">
        <v>0</v>
      </c>
      <c r="L1233" s="31">
        <v>0</v>
      </c>
      <c r="M1233" s="31">
        <v>866.32</v>
      </c>
      <c r="N1233" s="31">
        <v>3258433.36</v>
      </c>
      <c r="O1233" s="31">
        <v>0</v>
      </c>
      <c r="P1233" s="31">
        <v>0</v>
      </c>
      <c r="Q1233" s="31">
        <v>0</v>
      </c>
      <c r="R1233" s="31">
        <v>0</v>
      </c>
      <c r="S1233" s="31">
        <v>0</v>
      </c>
      <c r="T1233" s="31">
        <v>0</v>
      </c>
      <c r="U1233" s="31">
        <v>0</v>
      </c>
      <c r="V1233" s="31">
        <v>0</v>
      </c>
      <c r="W1233" s="31">
        <v>0</v>
      </c>
      <c r="X1233" s="31">
        <v>0</v>
      </c>
      <c r="Y1233" s="31">
        <v>0</v>
      </c>
      <c r="Z1233" s="31">
        <v>0</v>
      </c>
      <c r="AA1233" s="31">
        <v>0</v>
      </c>
      <c r="AB1233" s="31">
        <v>0</v>
      </c>
      <c r="AC1233" s="31">
        <f>ROUND(N1233*1.5%,2)</f>
        <v>48876.5</v>
      </c>
      <c r="AD1233" s="31">
        <v>150000</v>
      </c>
      <c r="AE1233" s="31">
        <v>0</v>
      </c>
      <c r="AF1233" s="345">
        <v>2022</v>
      </c>
      <c r="AG1233" s="345">
        <v>2022</v>
      </c>
      <c r="AH1233" s="346">
        <v>2022</v>
      </c>
      <c r="AT1233" s="20" t="e">
        <f t="shared" si="314"/>
        <v>#N/A</v>
      </c>
      <c r="BZ1233" s="71"/>
    </row>
    <row r="1234" spans="1:82" ht="61.5" x14ac:dyDescent="0.85">
      <c r="A1234" s="20">
        <v>1</v>
      </c>
      <c r="B1234" s="66">
        <f>SUBTOTAL(103,$A$994:A1234)</f>
        <v>195</v>
      </c>
      <c r="C1234" s="156" t="s">
        <v>163</v>
      </c>
      <c r="D1234" s="31">
        <f>E1234+F1234+G1234+H1234+I1234+J1234+L1234+N1234+P1234+R1234+T1234+U1234+V1234+W1234+X1234+Y1234+Z1234+AA1234+AB1234+AC1234+AD1234+AE1234</f>
        <v>3906950.76</v>
      </c>
      <c r="E1234" s="31">
        <v>0</v>
      </c>
      <c r="F1234" s="31">
        <v>0</v>
      </c>
      <c r="G1234" s="31">
        <v>0</v>
      </c>
      <c r="H1234" s="31">
        <v>0</v>
      </c>
      <c r="I1234" s="31">
        <v>0</v>
      </c>
      <c r="J1234" s="31">
        <v>0</v>
      </c>
      <c r="K1234" s="33">
        <v>0</v>
      </c>
      <c r="L1234" s="31">
        <v>0</v>
      </c>
      <c r="M1234" s="31">
        <v>748.2</v>
      </c>
      <c r="N1234" s="31">
        <v>3701429.32</v>
      </c>
      <c r="O1234" s="31">
        <v>0</v>
      </c>
      <c r="P1234" s="31">
        <v>0</v>
      </c>
      <c r="Q1234" s="31">
        <v>0</v>
      </c>
      <c r="R1234" s="31">
        <v>0</v>
      </c>
      <c r="S1234" s="31">
        <v>0</v>
      </c>
      <c r="T1234" s="31">
        <v>0</v>
      </c>
      <c r="U1234" s="31">
        <v>0</v>
      </c>
      <c r="V1234" s="31">
        <v>0</v>
      </c>
      <c r="W1234" s="31">
        <v>0</v>
      </c>
      <c r="X1234" s="31">
        <v>0</v>
      </c>
      <c r="Y1234" s="31">
        <v>0</v>
      </c>
      <c r="Z1234" s="31">
        <v>0</v>
      </c>
      <c r="AA1234" s="31">
        <v>0</v>
      </c>
      <c r="AB1234" s="31">
        <v>0</v>
      </c>
      <c r="AC1234" s="31">
        <f>ROUND(N1234*1.5%,2)</f>
        <v>55521.440000000002</v>
      </c>
      <c r="AD1234" s="31">
        <v>150000</v>
      </c>
      <c r="AE1234" s="31">
        <v>0</v>
      </c>
      <c r="AF1234" s="345">
        <v>2022</v>
      </c>
      <c r="AG1234" s="345">
        <v>2022</v>
      </c>
      <c r="AH1234" s="346">
        <v>2022</v>
      </c>
      <c r="AT1234" s="20" t="e">
        <f t="shared" si="314"/>
        <v>#N/A</v>
      </c>
      <c r="BZ1234" s="71"/>
    </row>
    <row r="1235" spans="1:82" ht="61.5" x14ac:dyDescent="0.85">
      <c r="B1235" s="24" t="s">
        <v>866</v>
      </c>
      <c r="C1235" s="24"/>
      <c r="D1235" s="31">
        <f t="shared" ref="D1235:AE1235" si="319">SUM(D1236:D1238)</f>
        <v>12269019.870000001</v>
      </c>
      <c r="E1235" s="31">
        <f t="shared" si="319"/>
        <v>0</v>
      </c>
      <c r="F1235" s="31">
        <f t="shared" si="319"/>
        <v>0</v>
      </c>
      <c r="G1235" s="31">
        <f t="shared" si="319"/>
        <v>0</v>
      </c>
      <c r="H1235" s="31">
        <f t="shared" si="319"/>
        <v>0</v>
      </c>
      <c r="I1235" s="31">
        <f t="shared" si="319"/>
        <v>0</v>
      </c>
      <c r="J1235" s="31">
        <f t="shared" si="319"/>
        <v>0</v>
      </c>
      <c r="K1235" s="33">
        <f t="shared" si="319"/>
        <v>0</v>
      </c>
      <c r="L1235" s="31">
        <f t="shared" si="319"/>
        <v>0</v>
      </c>
      <c r="M1235" s="31">
        <f t="shared" si="319"/>
        <v>995</v>
      </c>
      <c r="N1235" s="31">
        <f t="shared" si="319"/>
        <v>6086660.5899999999</v>
      </c>
      <c r="O1235" s="31">
        <f t="shared" si="319"/>
        <v>146</v>
      </c>
      <c r="P1235" s="31">
        <f t="shared" si="319"/>
        <v>565939.61</v>
      </c>
      <c r="Q1235" s="31">
        <f t="shared" si="319"/>
        <v>1414.36</v>
      </c>
      <c r="R1235" s="31">
        <f t="shared" si="319"/>
        <v>5021311</v>
      </c>
      <c r="S1235" s="31">
        <f t="shared" si="319"/>
        <v>0</v>
      </c>
      <c r="T1235" s="31">
        <f t="shared" si="319"/>
        <v>0</v>
      </c>
      <c r="U1235" s="31">
        <f t="shared" si="319"/>
        <v>0</v>
      </c>
      <c r="V1235" s="31">
        <f t="shared" si="319"/>
        <v>0</v>
      </c>
      <c r="W1235" s="31">
        <f t="shared" si="319"/>
        <v>0</v>
      </c>
      <c r="X1235" s="31">
        <f t="shared" si="319"/>
        <v>0</v>
      </c>
      <c r="Y1235" s="31">
        <f t="shared" si="319"/>
        <v>0</v>
      </c>
      <c r="Z1235" s="31">
        <f t="shared" si="319"/>
        <v>0</v>
      </c>
      <c r="AA1235" s="31">
        <f t="shared" si="319"/>
        <v>0</v>
      </c>
      <c r="AB1235" s="31">
        <f t="shared" si="319"/>
        <v>0</v>
      </c>
      <c r="AC1235" s="31">
        <f t="shared" si="319"/>
        <v>175108.66999999998</v>
      </c>
      <c r="AD1235" s="31">
        <f t="shared" si="319"/>
        <v>420000</v>
      </c>
      <c r="AE1235" s="31">
        <f t="shared" si="319"/>
        <v>0</v>
      </c>
      <c r="AF1235" s="347" t="s">
        <v>764</v>
      </c>
      <c r="AG1235" s="347" t="s">
        <v>764</v>
      </c>
      <c r="AH1235" s="348" t="s">
        <v>764</v>
      </c>
      <c r="AT1235" s="20" t="e">
        <f t="shared" si="314"/>
        <v>#N/A</v>
      </c>
      <c r="BZ1235" s="71">
        <v>11707868.220000001</v>
      </c>
    </row>
    <row r="1236" spans="1:82" ht="61.5" x14ac:dyDescent="0.85">
      <c r="A1236" s="20">
        <v>1</v>
      </c>
      <c r="B1236" s="66">
        <f>SUBTOTAL(103,$A$994:A1236)</f>
        <v>196</v>
      </c>
      <c r="C1236" s="156" t="s">
        <v>157</v>
      </c>
      <c r="D1236" s="31">
        <f>E1236+F1236+G1236+H1236+I1236+J1236+L1236+N1236+P1236+R1236+T1236+U1236+V1236+W1236+X1236+Y1236+Z1236+AA1236+AB1236+AC1236+AD1236+AE1236</f>
        <v>694428.7</v>
      </c>
      <c r="E1236" s="31">
        <v>0</v>
      </c>
      <c r="F1236" s="31">
        <v>0</v>
      </c>
      <c r="G1236" s="31">
        <v>0</v>
      </c>
      <c r="H1236" s="31">
        <v>0</v>
      </c>
      <c r="I1236" s="31">
        <v>0</v>
      </c>
      <c r="J1236" s="31">
        <v>0</v>
      </c>
      <c r="K1236" s="33">
        <v>0</v>
      </c>
      <c r="L1236" s="31">
        <v>0</v>
      </c>
      <c r="M1236" s="31">
        <v>0</v>
      </c>
      <c r="N1236" s="31">
        <v>0</v>
      </c>
      <c r="O1236" s="31">
        <v>146</v>
      </c>
      <c r="P1236" s="31">
        <f>365939.61+200000</f>
        <v>565939.61</v>
      </c>
      <c r="Q1236" s="31">
        <v>0</v>
      </c>
      <c r="R1236" s="31">
        <v>0</v>
      </c>
      <c r="S1236" s="31">
        <v>0</v>
      </c>
      <c r="T1236" s="31">
        <v>0</v>
      </c>
      <c r="U1236" s="31">
        <v>0</v>
      </c>
      <c r="V1236" s="31">
        <v>0</v>
      </c>
      <c r="W1236" s="31">
        <v>0</v>
      </c>
      <c r="X1236" s="31">
        <v>0</v>
      </c>
      <c r="Y1236" s="31">
        <v>0</v>
      </c>
      <c r="Z1236" s="31">
        <v>0</v>
      </c>
      <c r="AA1236" s="31">
        <v>0</v>
      </c>
      <c r="AB1236" s="31">
        <v>0</v>
      </c>
      <c r="AC1236" s="31">
        <f>ROUND(P1236*1.5%,2)</f>
        <v>8489.09</v>
      </c>
      <c r="AD1236" s="31">
        <v>120000</v>
      </c>
      <c r="AE1236" s="31">
        <v>0</v>
      </c>
      <c r="AF1236" s="345">
        <v>2022</v>
      </c>
      <c r="AG1236" s="345">
        <v>2022</v>
      </c>
      <c r="AH1236" s="346">
        <v>2022</v>
      </c>
      <c r="AT1236" s="20" t="e">
        <f t="shared" si="314"/>
        <v>#N/A</v>
      </c>
      <c r="BZ1236" s="71"/>
    </row>
    <row r="1237" spans="1:82" ht="61.5" x14ac:dyDescent="0.85">
      <c r="A1237" s="20">
        <v>1</v>
      </c>
      <c r="B1237" s="66">
        <f>SUBTOTAL(103,$A$994:A1237)</f>
        <v>197</v>
      </c>
      <c r="C1237" s="24" t="s">
        <v>149</v>
      </c>
      <c r="D1237" s="31">
        <f>E1237+F1237+G1237+H1237+I1237+J1237+L1237+N1237+P1237+R1237+T1237+U1237+V1237+W1237+X1237+Y1237+Z1237+AA1237+AB1237+AC1237+AD1237+AE1237</f>
        <v>5246630.67</v>
      </c>
      <c r="E1237" s="31">
        <v>0</v>
      </c>
      <c r="F1237" s="31">
        <v>0</v>
      </c>
      <c r="G1237" s="31">
        <v>0</v>
      </c>
      <c r="H1237" s="31">
        <v>0</v>
      </c>
      <c r="I1237" s="31">
        <v>0</v>
      </c>
      <c r="J1237" s="31">
        <v>0</v>
      </c>
      <c r="K1237" s="33">
        <v>0</v>
      </c>
      <c r="L1237" s="31">
        <v>0</v>
      </c>
      <c r="M1237" s="31">
        <v>0</v>
      </c>
      <c r="N1237" s="31">
        <v>0</v>
      </c>
      <c r="O1237" s="31">
        <v>0</v>
      </c>
      <c r="P1237" s="31">
        <v>0</v>
      </c>
      <c r="Q1237" s="31">
        <v>1414.36</v>
      </c>
      <c r="R1237" s="31">
        <f>4221311+800000</f>
        <v>5021311</v>
      </c>
      <c r="S1237" s="31">
        <v>0</v>
      </c>
      <c r="T1237" s="31">
        <v>0</v>
      </c>
      <c r="U1237" s="31">
        <v>0</v>
      </c>
      <c r="V1237" s="31">
        <v>0</v>
      </c>
      <c r="W1237" s="31">
        <v>0</v>
      </c>
      <c r="X1237" s="31">
        <v>0</v>
      </c>
      <c r="Y1237" s="31">
        <v>0</v>
      </c>
      <c r="Z1237" s="31">
        <v>0</v>
      </c>
      <c r="AA1237" s="31">
        <v>0</v>
      </c>
      <c r="AB1237" s="31">
        <v>0</v>
      </c>
      <c r="AC1237" s="31">
        <f>ROUND(R1237*1.5%,2)</f>
        <v>75319.67</v>
      </c>
      <c r="AD1237" s="31">
        <v>150000</v>
      </c>
      <c r="AE1237" s="31">
        <v>0</v>
      </c>
      <c r="AF1237" s="345">
        <v>2022</v>
      </c>
      <c r="AG1237" s="345">
        <v>2022</v>
      </c>
      <c r="AH1237" s="346">
        <v>2022</v>
      </c>
      <c r="AT1237" s="20" t="e">
        <f t="shared" si="314"/>
        <v>#N/A</v>
      </c>
      <c r="BZ1237" s="71"/>
      <c r="CD1237" s="20" t="e">
        <f>VLOOKUP(C1237,CE:CF,2,FALSE)</f>
        <v>#N/A</v>
      </c>
    </row>
    <row r="1238" spans="1:82" ht="61.5" x14ac:dyDescent="0.85">
      <c r="A1238" s="20">
        <v>1</v>
      </c>
      <c r="B1238" s="66">
        <f>SUBTOTAL(103,$A$994:A1238)</f>
        <v>198</v>
      </c>
      <c r="C1238" s="156" t="s">
        <v>138</v>
      </c>
      <c r="D1238" s="31">
        <f>E1238+F1238+G1238+H1238+I1238+J1238+L1238+N1238+P1238+R1238+T1238+U1238+V1238+W1238+X1238+Y1238+Z1238+AA1238+AB1238+AC1238+AD1238+AE1238</f>
        <v>6327960.5</v>
      </c>
      <c r="E1238" s="31">
        <v>0</v>
      </c>
      <c r="F1238" s="31">
        <v>0</v>
      </c>
      <c r="G1238" s="31">
        <v>0</v>
      </c>
      <c r="H1238" s="31">
        <v>0</v>
      </c>
      <c r="I1238" s="31">
        <v>0</v>
      </c>
      <c r="J1238" s="31">
        <v>0</v>
      </c>
      <c r="K1238" s="33">
        <v>0</v>
      </c>
      <c r="L1238" s="31">
        <v>0</v>
      </c>
      <c r="M1238" s="31">
        <v>995</v>
      </c>
      <c r="N1238" s="31">
        <f>4971124.14+1115536.45</f>
        <v>6086660.5899999999</v>
      </c>
      <c r="O1238" s="31">
        <v>0</v>
      </c>
      <c r="P1238" s="31">
        <v>0</v>
      </c>
      <c r="Q1238" s="31">
        <v>0</v>
      </c>
      <c r="R1238" s="31">
        <v>0</v>
      </c>
      <c r="S1238" s="31">
        <v>0</v>
      </c>
      <c r="T1238" s="31">
        <v>0</v>
      </c>
      <c r="U1238" s="31">
        <v>0</v>
      </c>
      <c r="V1238" s="31">
        <v>0</v>
      </c>
      <c r="W1238" s="31">
        <v>0</v>
      </c>
      <c r="X1238" s="31">
        <v>0</v>
      </c>
      <c r="Y1238" s="31">
        <v>0</v>
      </c>
      <c r="Z1238" s="31">
        <v>0</v>
      </c>
      <c r="AA1238" s="31">
        <v>0</v>
      </c>
      <c r="AB1238" s="31">
        <v>0</v>
      </c>
      <c r="AC1238" s="31">
        <f>ROUND(N1238*1.5%,2)</f>
        <v>91299.91</v>
      </c>
      <c r="AD1238" s="31">
        <v>150000</v>
      </c>
      <c r="AE1238" s="31">
        <v>0</v>
      </c>
      <c r="AF1238" s="345">
        <v>2022</v>
      </c>
      <c r="AG1238" s="345">
        <v>2022</v>
      </c>
      <c r="AH1238" s="346">
        <v>2022</v>
      </c>
      <c r="AT1238" s="20" t="e">
        <f>VLOOKUP(C1238,AW$1238:AX$1238,2,FALSE)</f>
        <v>#N/A</v>
      </c>
      <c r="BZ1238" s="71"/>
    </row>
    <row r="1239" spans="1:82" ht="61.5" x14ac:dyDescent="0.85">
      <c r="B1239" s="24" t="s">
        <v>867</v>
      </c>
      <c r="C1239" s="114"/>
      <c r="D1239" s="31">
        <f>D1240+D1241</f>
        <v>9221698.8000000007</v>
      </c>
      <c r="E1239" s="31">
        <f t="shared" ref="E1239:AE1239" si="320">E1240+E1241</f>
        <v>0</v>
      </c>
      <c r="F1239" s="31">
        <f t="shared" si="320"/>
        <v>0</v>
      </c>
      <c r="G1239" s="31">
        <f t="shared" si="320"/>
        <v>0</v>
      </c>
      <c r="H1239" s="31">
        <f t="shared" si="320"/>
        <v>0</v>
      </c>
      <c r="I1239" s="31">
        <f t="shared" si="320"/>
        <v>0</v>
      </c>
      <c r="J1239" s="31">
        <f t="shared" si="320"/>
        <v>0</v>
      </c>
      <c r="K1239" s="33">
        <f t="shared" si="320"/>
        <v>0</v>
      </c>
      <c r="L1239" s="31">
        <f t="shared" si="320"/>
        <v>0</v>
      </c>
      <c r="M1239" s="31">
        <f t="shared" si="320"/>
        <v>1766</v>
      </c>
      <c r="N1239" s="31">
        <f t="shared" si="320"/>
        <v>8789851.0299999993</v>
      </c>
      <c r="O1239" s="31">
        <f t="shared" si="320"/>
        <v>0</v>
      </c>
      <c r="P1239" s="31">
        <f t="shared" si="320"/>
        <v>0</v>
      </c>
      <c r="Q1239" s="31">
        <f t="shared" si="320"/>
        <v>0</v>
      </c>
      <c r="R1239" s="31">
        <f t="shared" si="320"/>
        <v>0</v>
      </c>
      <c r="S1239" s="31">
        <f t="shared" si="320"/>
        <v>0</v>
      </c>
      <c r="T1239" s="31">
        <f t="shared" si="320"/>
        <v>0</v>
      </c>
      <c r="U1239" s="31">
        <f t="shared" si="320"/>
        <v>0</v>
      </c>
      <c r="V1239" s="31">
        <f t="shared" si="320"/>
        <v>0</v>
      </c>
      <c r="W1239" s="31">
        <f t="shared" si="320"/>
        <v>0</v>
      </c>
      <c r="X1239" s="31">
        <f t="shared" si="320"/>
        <v>0</v>
      </c>
      <c r="Y1239" s="31">
        <f t="shared" si="320"/>
        <v>0</v>
      </c>
      <c r="Z1239" s="31">
        <f t="shared" si="320"/>
        <v>0</v>
      </c>
      <c r="AA1239" s="31">
        <f t="shared" si="320"/>
        <v>0</v>
      </c>
      <c r="AB1239" s="31">
        <f t="shared" si="320"/>
        <v>0</v>
      </c>
      <c r="AC1239" s="31">
        <f t="shared" si="320"/>
        <v>131847.76999999999</v>
      </c>
      <c r="AD1239" s="31">
        <f t="shared" si="320"/>
        <v>300000</v>
      </c>
      <c r="AE1239" s="31">
        <f t="shared" si="320"/>
        <v>0</v>
      </c>
      <c r="AF1239" s="347" t="s">
        <v>764</v>
      </c>
      <c r="AG1239" s="347" t="s">
        <v>764</v>
      </c>
      <c r="AH1239" s="348" t="s">
        <v>764</v>
      </c>
      <c r="AT1239" s="20" t="e">
        <f t="shared" ref="AT1239:AT1264" si="321">VLOOKUP(C1239,AW:AX,2,FALSE)</f>
        <v>#N/A</v>
      </c>
      <c r="BZ1239" s="71">
        <v>9221698.8000000007</v>
      </c>
    </row>
    <row r="1240" spans="1:82" ht="61.5" x14ac:dyDescent="0.85">
      <c r="A1240" s="20">
        <v>1</v>
      </c>
      <c r="B1240" s="66">
        <f>SUBTOTAL(103,$A$994:A1240)</f>
        <v>199</v>
      </c>
      <c r="C1240" s="156" t="s">
        <v>100</v>
      </c>
      <c r="D1240" s="31">
        <f>E1240+F1240+G1240+H1240+I1240+J1240+L1240+N1240+P1240+R1240+T1240+U1240+V1240+W1240+X1240+Y1240+Z1240+AA1240+AB1240+AC1240+AD1240+AE1240</f>
        <v>4177440</v>
      </c>
      <c r="E1240" s="31">
        <v>0</v>
      </c>
      <c r="F1240" s="31">
        <v>0</v>
      </c>
      <c r="G1240" s="31">
        <v>0</v>
      </c>
      <c r="H1240" s="31">
        <v>0</v>
      </c>
      <c r="I1240" s="31">
        <v>0</v>
      </c>
      <c r="J1240" s="31">
        <v>0</v>
      </c>
      <c r="K1240" s="33">
        <v>0</v>
      </c>
      <c r="L1240" s="31">
        <v>0</v>
      </c>
      <c r="M1240" s="31">
        <v>800</v>
      </c>
      <c r="N1240" s="31">
        <v>3967921.18</v>
      </c>
      <c r="O1240" s="31">
        <v>0</v>
      </c>
      <c r="P1240" s="31">
        <v>0</v>
      </c>
      <c r="Q1240" s="31">
        <v>0</v>
      </c>
      <c r="R1240" s="31">
        <v>0</v>
      </c>
      <c r="S1240" s="31">
        <v>0</v>
      </c>
      <c r="T1240" s="31">
        <v>0</v>
      </c>
      <c r="U1240" s="31">
        <v>0</v>
      </c>
      <c r="V1240" s="31">
        <v>0</v>
      </c>
      <c r="W1240" s="31">
        <v>0</v>
      </c>
      <c r="X1240" s="31">
        <v>0</v>
      </c>
      <c r="Y1240" s="31">
        <v>0</v>
      </c>
      <c r="Z1240" s="31">
        <v>0</v>
      </c>
      <c r="AA1240" s="31">
        <v>0</v>
      </c>
      <c r="AB1240" s="31">
        <v>0</v>
      </c>
      <c r="AC1240" s="31">
        <f>ROUND(N1240*1.5%,2)</f>
        <v>59518.82</v>
      </c>
      <c r="AD1240" s="31">
        <v>150000</v>
      </c>
      <c r="AE1240" s="31">
        <v>0</v>
      </c>
      <c r="AF1240" s="345">
        <v>2022</v>
      </c>
      <c r="AG1240" s="345">
        <v>2022</v>
      </c>
      <c r="AH1240" s="346">
        <v>2022</v>
      </c>
      <c r="AT1240" s="20" t="e">
        <f t="shared" si="321"/>
        <v>#N/A</v>
      </c>
      <c r="BZ1240" s="71"/>
    </row>
    <row r="1241" spans="1:82" ht="61.5" x14ac:dyDescent="0.85">
      <c r="A1241" s="20">
        <v>1</v>
      </c>
      <c r="B1241" s="66">
        <f>SUBTOTAL(103,$A$994:A1241)</f>
        <v>200</v>
      </c>
      <c r="C1241" s="156" t="s">
        <v>101</v>
      </c>
      <c r="D1241" s="31">
        <f>E1241+F1241+G1241+H1241+I1241+J1241+L1241+N1241+P1241+R1241+T1241+U1241+V1241+W1241+X1241+Y1241+Z1241+AA1241+AB1241+AC1241+AD1241+AE1241</f>
        <v>5044258.8</v>
      </c>
      <c r="E1241" s="31">
        <v>0</v>
      </c>
      <c r="F1241" s="31">
        <v>0</v>
      </c>
      <c r="G1241" s="31">
        <v>0</v>
      </c>
      <c r="H1241" s="31">
        <v>0</v>
      </c>
      <c r="I1241" s="31">
        <v>0</v>
      </c>
      <c r="J1241" s="31">
        <v>0</v>
      </c>
      <c r="K1241" s="33">
        <v>0</v>
      </c>
      <c r="L1241" s="31">
        <v>0</v>
      </c>
      <c r="M1241" s="31">
        <v>966</v>
      </c>
      <c r="N1241" s="31">
        <v>4821929.8499999996</v>
      </c>
      <c r="O1241" s="31">
        <v>0</v>
      </c>
      <c r="P1241" s="31">
        <v>0</v>
      </c>
      <c r="Q1241" s="31">
        <v>0</v>
      </c>
      <c r="R1241" s="31">
        <v>0</v>
      </c>
      <c r="S1241" s="31">
        <v>0</v>
      </c>
      <c r="T1241" s="31">
        <v>0</v>
      </c>
      <c r="U1241" s="31">
        <v>0</v>
      </c>
      <c r="V1241" s="31">
        <v>0</v>
      </c>
      <c r="W1241" s="31">
        <v>0</v>
      </c>
      <c r="X1241" s="31">
        <v>0</v>
      </c>
      <c r="Y1241" s="31">
        <v>0</v>
      </c>
      <c r="Z1241" s="31">
        <v>0</v>
      </c>
      <c r="AA1241" s="31">
        <v>0</v>
      </c>
      <c r="AB1241" s="31">
        <v>0</v>
      </c>
      <c r="AC1241" s="31">
        <f>ROUND(N1241*1.5%,2)</f>
        <v>72328.95</v>
      </c>
      <c r="AD1241" s="31">
        <v>150000</v>
      </c>
      <c r="AE1241" s="31">
        <v>0</v>
      </c>
      <c r="AF1241" s="345">
        <v>2022</v>
      </c>
      <c r="AG1241" s="345">
        <v>2022</v>
      </c>
      <c r="AH1241" s="346">
        <v>2022</v>
      </c>
      <c r="AT1241" s="20" t="e">
        <f t="shared" si="321"/>
        <v>#N/A</v>
      </c>
      <c r="BZ1241" s="71"/>
    </row>
    <row r="1242" spans="1:82" ht="61.5" x14ac:dyDescent="0.85">
      <c r="B1242" s="24" t="s">
        <v>894</v>
      </c>
      <c r="C1242" s="24"/>
      <c r="D1242" s="31">
        <f>D1243</f>
        <v>3623929.1999999997</v>
      </c>
      <c r="E1242" s="31">
        <f t="shared" ref="E1242:AE1242" si="322">E1243</f>
        <v>0</v>
      </c>
      <c r="F1242" s="31">
        <f t="shared" si="322"/>
        <v>0</v>
      </c>
      <c r="G1242" s="31">
        <f t="shared" si="322"/>
        <v>0</v>
      </c>
      <c r="H1242" s="31">
        <f t="shared" si="322"/>
        <v>0</v>
      </c>
      <c r="I1242" s="31">
        <f t="shared" si="322"/>
        <v>0</v>
      </c>
      <c r="J1242" s="31">
        <f t="shared" si="322"/>
        <v>0</v>
      </c>
      <c r="K1242" s="33">
        <f t="shared" si="322"/>
        <v>0</v>
      </c>
      <c r="L1242" s="31">
        <f t="shared" si="322"/>
        <v>0</v>
      </c>
      <c r="M1242" s="31">
        <f t="shared" si="322"/>
        <v>694</v>
      </c>
      <c r="N1242" s="31">
        <f t="shared" si="322"/>
        <v>3422590.34</v>
      </c>
      <c r="O1242" s="31">
        <f t="shared" si="322"/>
        <v>0</v>
      </c>
      <c r="P1242" s="31">
        <f t="shared" si="322"/>
        <v>0</v>
      </c>
      <c r="Q1242" s="31">
        <f t="shared" si="322"/>
        <v>0</v>
      </c>
      <c r="R1242" s="31">
        <f t="shared" si="322"/>
        <v>0</v>
      </c>
      <c r="S1242" s="31">
        <f t="shared" si="322"/>
        <v>0</v>
      </c>
      <c r="T1242" s="31">
        <f t="shared" si="322"/>
        <v>0</v>
      </c>
      <c r="U1242" s="31">
        <f t="shared" si="322"/>
        <v>0</v>
      </c>
      <c r="V1242" s="31">
        <f t="shared" si="322"/>
        <v>0</v>
      </c>
      <c r="W1242" s="31">
        <f t="shared" si="322"/>
        <v>0</v>
      </c>
      <c r="X1242" s="31">
        <f t="shared" si="322"/>
        <v>0</v>
      </c>
      <c r="Y1242" s="31">
        <f t="shared" si="322"/>
        <v>0</v>
      </c>
      <c r="Z1242" s="31">
        <f t="shared" si="322"/>
        <v>0</v>
      </c>
      <c r="AA1242" s="31">
        <f t="shared" si="322"/>
        <v>0</v>
      </c>
      <c r="AB1242" s="31">
        <f t="shared" si="322"/>
        <v>0</v>
      </c>
      <c r="AC1242" s="31">
        <f t="shared" si="322"/>
        <v>51338.86</v>
      </c>
      <c r="AD1242" s="31">
        <f t="shared" si="322"/>
        <v>150000</v>
      </c>
      <c r="AE1242" s="31">
        <f t="shared" si="322"/>
        <v>0</v>
      </c>
      <c r="AF1242" s="347" t="s">
        <v>764</v>
      </c>
      <c r="AG1242" s="347" t="s">
        <v>764</v>
      </c>
      <c r="AH1242" s="348" t="s">
        <v>764</v>
      </c>
      <c r="AT1242" s="20" t="e">
        <f t="shared" si="321"/>
        <v>#N/A</v>
      </c>
      <c r="BZ1242" s="71">
        <v>3623929.1999999997</v>
      </c>
    </row>
    <row r="1243" spans="1:82" ht="61.5" x14ac:dyDescent="0.85">
      <c r="A1243" s="20">
        <v>1</v>
      </c>
      <c r="B1243" s="66">
        <f>SUBTOTAL(103,$A$994:A1243)</f>
        <v>201</v>
      </c>
      <c r="C1243" s="156" t="s">
        <v>105</v>
      </c>
      <c r="D1243" s="31">
        <f>E1243+F1243+G1243+H1243+I1243+J1243+L1243+N1243+P1243+R1243+T1243+U1243+V1243+W1243+X1243+Y1243+Z1243+AA1243+AB1243+AC1243+AD1243+AE1243</f>
        <v>3623929.1999999997</v>
      </c>
      <c r="E1243" s="31">
        <v>0</v>
      </c>
      <c r="F1243" s="31">
        <v>0</v>
      </c>
      <c r="G1243" s="31">
        <v>0</v>
      </c>
      <c r="H1243" s="31">
        <v>0</v>
      </c>
      <c r="I1243" s="31">
        <v>0</v>
      </c>
      <c r="J1243" s="31">
        <v>0</v>
      </c>
      <c r="K1243" s="33">
        <v>0</v>
      </c>
      <c r="L1243" s="31">
        <v>0</v>
      </c>
      <c r="M1243" s="31">
        <v>694</v>
      </c>
      <c r="N1243" s="31">
        <v>3422590.34</v>
      </c>
      <c r="O1243" s="31">
        <v>0</v>
      </c>
      <c r="P1243" s="31">
        <v>0</v>
      </c>
      <c r="Q1243" s="31">
        <v>0</v>
      </c>
      <c r="R1243" s="31">
        <v>0</v>
      </c>
      <c r="S1243" s="31">
        <v>0</v>
      </c>
      <c r="T1243" s="31">
        <v>0</v>
      </c>
      <c r="U1243" s="31">
        <v>0</v>
      </c>
      <c r="V1243" s="31">
        <v>0</v>
      </c>
      <c r="W1243" s="31">
        <v>0</v>
      </c>
      <c r="X1243" s="31">
        <v>0</v>
      </c>
      <c r="Y1243" s="31">
        <v>0</v>
      </c>
      <c r="Z1243" s="31">
        <v>0</v>
      </c>
      <c r="AA1243" s="31">
        <v>0</v>
      </c>
      <c r="AB1243" s="31">
        <v>0</v>
      </c>
      <c r="AC1243" s="31">
        <f>ROUND(N1243*1.5%,2)</f>
        <v>51338.86</v>
      </c>
      <c r="AD1243" s="31">
        <v>150000</v>
      </c>
      <c r="AE1243" s="31">
        <v>0</v>
      </c>
      <c r="AF1243" s="345">
        <v>2022</v>
      </c>
      <c r="AG1243" s="345">
        <v>2022</v>
      </c>
      <c r="AH1243" s="346">
        <v>2022</v>
      </c>
      <c r="AT1243" s="20" t="e">
        <f t="shared" si="321"/>
        <v>#N/A</v>
      </c>
      <c r="BZ1243" s="71"/>
    </row>
    <row r="1244" spans="1:82" ht="61.5" x14ac:dyDescent="0.85">
      <c r="B1244" s="24" t="s">
        <v>868</v>
      </c>
      <c r="C1244" s="24"/>
      <c r="D1244" s="31">
        <f>D1245</f>
        <v>3080862</v>
      </c>
      <c r="E1244" s="31">
        <f t="shared" ref="E1244:AE1244" si="323">E1245</f>
        <v>0</v>
      </c>
      <c r="F1244" s="31">
        <f t="shared" si="323"/>
        <v>0</v>
      </c>
      <c r="G1244" s="31">
        <f t="shared" si="323"/>
        <v>0</v>
      </c>
      <c r="H1244" s="31">
        <f t="shared" si="323"/>
        <v>0</v>
      </c>
      <c r="I1244" s="31">
        <f t="shared" si="323"/>
        <v>0</v>
      </c>
      <c r="J1244" s="31">
        <f t="shared" si="323"/>
        <v>0</v>
      </c>
      <c r="K1244" s="33">
        <f t="shared" si="323"/>
        <v>0</v>
      </c>
      <c r="L1244" s="31">
        <f t="shared" si="323"/>
        <v>0</v>
      </c>
      <c r="M1244" s="31">
        <f t="shared" si="323"/>
        <v>590</v>
      </c>
      <c r="N1244" s="31">
        <f t="shared" si="323"/>
        <v>2887548.77</v>
      </c>
      <c r="O1244" s="31">
        <f t="shared" si="323"/>
        <v>0</v>
      </c>
      <c r="P1244" s="31">
        <f t="shared" si="323"/>
        <v>0</v>
      </c>
      <c r="Q1244" s="31">
        <f t="shared" si="323"/>
        <v>0</v>
      </c>
      <c r="R1244" s="31">
        <f t="shared" si="323"/>
        <v>0</v>
      </c>
      <c r="S1244" s="31">
        <f t="shared" si="323"/>
        <v>0</v>
      </c>
      <c r="T1244" s="31">
        <f t="shared" si="323"/>
        <v>0</v>
      </c>
      <c r="U1244" s="31">
        <f t="shared" si="323"/>
        <v>0</v>
      </c>
      <c r="V1244" s="31">
        <f t="shared" si="323"/>
        <v>0</v>
      </c>
      <c r="W1244" s="31">
        <f t="shared" si="323"/>
        <v>0</v>
      </c>
      <c r="X1244" s="31">
        <f t="shared" si="323"/>
        <v>0</v>
      </c>
      <c r="Y1244" s="31">
        <f t="shared" si="323"/>
        <v>0</v>
      </c>
      <c r="Z1244" s="31">
        <f t="shared" si="323"/>
        <v>0</v>
      </c>
      <c r="AA1244" s="31">
        <f t="shared" si="323"/>
        <v>0</v>
      </c>
      <c r="AB1244" s="31">
        <f t="shared" si="323"/>
        <v>0</v>
      </c>
      <c r="AC1244" s="31">
        <f t="shared" si="323"/>
        <v>43313.23</v>
      </c>
      <c r="AD1244" s="31">
        <f t="shared" si="323"/>
        <v>150000</v>
      </c>
      <c r="AE1244" s="31">
        <f t="shared" si="323"/>
        <v>0</v>
      </c>
      <c r="AF1244" s="347" t="s">
        <v>764</v>
      </c>
      <c r="AG1244" s="347" t="s">
        <v>764</v>
      </c>
      <c r="AH1244" s="348" t="s">
        <v>764</v>
      </c>
      <c r="AT1244" s="20" t="e">
        <f t="shared" si="321"/>
        <v>#N/A</v>
      </c>
      <c r="BZ1244" s="71">
        <v>3080862</v>
      </c>
    </row>
    <row r="1245" spans="1:82" ht="61.5" x14ac:dyDescent="0.85">
      <c r="A1245" s="20">
        <v>1</v>
      </c>
      <c r="B1245" s="66">
        <f>SUBTOTAL(103,$A$994:A1245)</f>
        <v>202</v>
      </c>
      <c r="C1245" s="156" t="s">
        <v>102</v>
      </c>
      <c r="D1245" s="31">
        <f>E1245+F1245+G1245+H1245+I1245+J1245+L1245+N1245+P1245+R1245+T1245+U1245+V1245+W1245+X1245+Y1245+Z1245+AA1245+AB1245+AC1245+AD1245+AE1245</f>
        <v>3080862</v>
      </c>
      <c r="E1245" s="31">
        <v>0</v>
      </c>
      <c r="F1245" s="31">
        <v>0</v>
      </c>
      <c r="G1245" s="31">
        <v>0</v>
      </c>
      <c r="H1245" s="31">
        <v>0</v>
      </c>
      <c r="I1245" s="31">
        <v>0</v>
      </c>
      <c r="J1245" s="31">
        <v>0</v>
      </c>
      <c r="K1245" s="33">
        <v>0</v>
      </c>
      <c r="L1245" s="31">
        <v>0</v>
      </c>
      <c r="M1245" s="31">
        <v>590</v>
      </c>
      <c r="N1245" s="31">
        <v>2887548.77</v>
      </c>
      <c r="O1245" s="31">
        <v>0</v>
      </c>
      <c r="P1245" s="31">
        <v>0</v>
      </c>
      <c r="Q1245" s="31">
        <v>0</v>
      </c>
      <c r="R1245" s="31">
        <v>0</v>
      </c>
      <c r="S1245" s="31">
        <v>0</v>
      </c>
      <c r="T1245" s="31">
        <v>0</v>
      </c>
      <c r="U1245" s="31">
        <v>0</v>
      </c>
      <c r="V1245" s="31">
        <v>0</v>
      </c>
      <c r="W1245" s="31">
        <v>0</v>
      </c>
      <c r="X1245" s="31">
        <v>0</v>
      </c>
      <c r="Y1245" s="31">
        <v>0</v>
      </c>
      <c r="Z1245" s="31">
        <v>0</v>
      </c>
      <c r="AA1245" s="31">
        <v>0</v>
      </c>
      <c r="AB1245" s="31">
        <v>0</v>
      </c>
      <c r="AC1245" s="31">
        <f>ROUND(N1245*1.5%,2)</f>
        <v>43313.23</v>
      </c>
      <c r="AD1245" s="31">
        <v>150000</v>
      </c>
      <c r="AE1245" s="31">
        <v>0</v>
      </c>
      <c r="AF1245" s="345">
        <v>2022</v>
      </c>
      <c r="AG1245" s="345">
        <v>2022</v>
      </c>
      <c r="AH1245" s="346">
        <v>2022</v>
      </c>
      <c r="AT1245" s="20" t="e">
        <f t="shared" si="321"/>
        <v>#N/A</v>
      </c>
      <c r="BZ1245" s="71"/>
    </row>
    <row r="1246" spans="1:82" ht="61.5" x14ac:dyDescent="0.85">
      <c r="B1246" s="24" t="s">
        <v>869</v>
      </c>
      <c r="C1246" s="24"/>
      <c r="D1246" s="31">
        <f>D1247+D1248</f>
        <v>2610892.59</v>
      </c>
      <c r="E1246" s="31">
        <f t="shared" ref="E1246:AE1246" si="324">E1247+E1248</f>
        <v>0</v>
      </c>
      <c r="F1246" s="31">
        <f t="shared" si="324"/>
        <v>0</v>
      </c>
      <c r="G1246" s="31">
        <f t="shared" si="324"/>
        <v>0</v>
      </c>
      <c r="H1246" s="31">
        <f t="shared" si="324"/>
        <v>0</v>
      </c>
      <c r="I1246" s="31">
        <f t="shared" si="324"/>
        <v>0</v>
      </c>
      <c r="J1246" s="31">
        <f t="shared" si="324"/>
        <v>0</v>
      </c>
      <c r="K1246" s="33">
        <f t="shared" si="324"/>
        <v>0</v>
      </c>
      <c r="L1246" s="31">
        <f t="shared" si="324"/>
        <v>0</v>
      </c>
      <c r="M1246" s="31">
        <f t="shared" si="324"/>
        <v>500</v>
      </c>
      <c r="N1246" s="31">
        <f t="shared" si="324"/>
        <v>2335854.77</v>
      </c>
      <c r="O1246" s="31">
        <f t="shared" si="324"/>
        <v>0</v>
      </c>
      <c r="P1246" s="31">
        <f t="shared" si="324"/>
        <v>0</v>
      </c>
      <c r="Q1246" s="31">
        <f t="shared" si="324"/>
        <v>0</v>
      </c>
      <c r="R1246" s="31">
        <f t="shared" si="324"/>
        <v>0</v>
      </c>
      <c r="S1246" s="31">
        <f t="shared" si="324"/>
        <v>0</v>
      </c>
      <c r="T1246" s="31">
        <f t="shared" si="324"/>
        <v>0</v>
      </c>
      <c r="U1246" s="31">
        <f t="shared" si="324"/>
        <v>0</v>
      </c>
      <c r="V1246" s="31">
        <f t="shared" si="324"/>
        <v>0</v>
      </c>
      <c r="W1246" s="31">
        <f t="shared" si="324"/>
        <v>0</v>
      </c>
      <c r="X1246" s="31">
        <f t="shared" si="324"/>
        <v>0</v>
      </c>
      <c r="Y1246" s="31">
        <f t="shared" si="324"/>
        <v>0</v>
      </c>
      <c r="Z1246" s="31">
        <f t="shared" si="324"/>
        <v>0</v>
      </c>
      <c r="AA1246" s="31">
        <f t="shared" si="324"/>
        <v>0</v>
      </c>
      <c r="AB1246" s="31">
        <f t="shared" si="324"/>
        <v>0</v>
      </c>
      <c r="AC1246" s="31">
        <f t="shared" si="324"/>
        <v>35037.82</v>
      </c>
      <c r="AD1246" s="31">
        <f t="shared" si="324"/>
        <v>240000</v>
      </c>
      <c r="AE1246" s="31">
        <f t="shared" si="324"/>
        <v>0</v>
      </c>
      <c r="AF1246" s="347" t="s">
        <v>764</v>
      </c>
      <c r="AG1246" s="347" t="s">
        <v>764</v>
      </c>
      <c r="AH1246" s="348" t="s">
        <v>764</v>
      </c>
      <c r="AT1246" s="20" t="e">
        <f t="shared" si="321"/>
        <v>#N/A</v>
      </c>
      <c r="BZ1246" s="71">
        <v>2610892.59</v>
      </c>
    </row>
    <row r="1247" spans="1:82" ht="61.5" x14ac:dyDescent="0.85">
      <c r="A1247" s="20">
        <v>1</v>
      </c>
      <c r="B1247" s="66">
        <f>SUBTOTAL(103,$A$994:A1247)</f>
        <v>203</v>
      </c>
      <c r="C1247" s="156" t="s">
        <v>103</v>
      </c>
      <c r="D1247" s="31">
        <f>E1247+F1247+G1247+H1247+I1247+J1247+L1247+N1247+P1247+R1247+T1247+U1247+V1247+W1247+X1247+Y1247+Z1247+AA1247+AB1247+AC1247+AD1247+AE1247</f>
        <v>1321115.3999999999</v>
      </c>
      <c r="E1247" s="31">
        <v>0</v>
      </c>
      <c r="F1247" s="31">
        <v>0</v>
      </c>
      <c r="G1247" s="31">
        <v>0</v>
      </c>
      <c r="H1247" s="31">
        <v>0</v>
      </c>
      <c r="I1247" s="31">
        <v>0</v>
      </c>
      <c r="J1247" s="31">
        <v>0</v>
      </c>
      <c r="K1247" s="33">
        <v>0</v>
      </c>
      <c r="L1247" s="31">
        <v>0</v>
      </c>
      <c r="M1247" s="31">
        <v>253</v>
      </c>
      <c r="N1247" s="31">
        <v>1183364.93</v>
      </c>
      <c r="O1247" s="31">
        <v>0</v>
      </c>
      <c r="P1247" s="31">
        <v>0</v>
      </c>
      <c r="Q1247" s="31">
        <v>0</v>
      </c>
      <c r="R1247" s="31">
        <v>0</v>
      </c>
      <c r="S1247" s="31">
        <v>0</v>
      </c>
      <c r="T1247" s="31">
        <v>0</v>
      </c>
      <c r="U1247" s="31">
        <v>0</v>
      </c>
      <c r="V1247" s="31">
        <v>0</v>
      </c>
      <c r="W1247" s="31">
        <v>0</v>
      </c>
      <c r="X1247" s="31">
        <v>0</v>
      </c>
      <c r="Y1247" s="31">
        <v>0</v>
      </c>
      <c r="Z1247" s="31">
        <v>0</v>
      </c>
      <c r="AA1247" s="31">
        <v>0</v>
      </c>
      <c r="AB1247" s="31">
        <v>0</v>
      </c>
      <c r="AC1247" s="31">
        <f>ROUND(N1247*1.5%,2)</f>
        <v>17750.47</v>
      </c>
      <c r="AD1247" s="31">
        <v>120000</v>
      </c>
      <c r="AE1247" s="31">
        <v>0</v>
      </c>
      <c r="AF1247" s="345">
        <v>2022</v>
      </c>
      <c r="AG1247" s="345">
        <v>2022</v>
      </c>
      <c r="AH1247" s="346">
        <v>2022</v>
      </c>
      <c r="AT1247" s="20" t="e">
        <f t="shared" si="321"/>
        <v>#N/A</v>
      </c>
      <c r="BZ1247" s="71"/>
    </row>
    <row r="1248" spans="1:82" ht="61.5" x14ac:dyDescent="0.85">
      <c r="A1248" s="20">
        <v>1</v>
      </c>
      <c r="B1248" s="66">
        <f>SUBTOTAL(103,$A$994:A1248)</f>
        <v>204</v>
      </c>
      <c r="C1248" s="156" t="s">
        <v>104</v>
      </c>
      <c r="D1248" s="31">
        <f>E1248+F1248+G1248+H1248+I1248+J1248+L1248+N1248+P1248+R1248+T1248+U1248+V1248+W1248+X1248+Y1248+Z1248+AA1248+AB1248+AC1248+AD1248+AE1248</f>
        <v>1289777.1900000002</v>
      </c>
      <c r="E1248" s="31">
        <v>0</v>
      </c>
      <c r="F1248" s="31">
        <v>0</v>
      </c>
      <c r="G1248" s="31">
        <v>0</v>
      </c>
      <c r="H1248" s="31">
        <v>0</v>
      </c>
      <c r="I1248" s="31">
        <v>0</v>
      </c>
      <c r="J1248" s="31">
        <v>0</v>
      </c>
      <c r="K1248" s="33">
        <v>0</v>
      </c>
      <c r="L1248" s="31">
        <v>0</v>
      </c>
      <c r="M1248" s="31">
        <v>247</v>
      </c>
      <c r="N1248" s="31">
        <v>1152489.8400000001</v>
      </c>
      <c r="O1248" s="31">
        <v>0</v>
      </c>
      <c r="P1248" s="31">
        <v>0</v>
      </c>
      <c r="Q1248" s="31">
        <v>0</v>
      </c>
      <c r="R1248" s="31">
        <v>0</v>
      </c>
      <c r="S1248" s="31">
        <v>0</v>
      </c>
      <c r="T1248" s="31">
        <v>0</v>
      </c>
      <c r="U1248" s="31">
        <v>0</v>
      </c>
      <c r="V1248" s="31">
        <v>0</v>
      </c>
      <c r="W1248" s="31">
        <v>0</v>
      </c>
      <c r="X1248" s="31">
        <v>0</v>
      </c>
      <c r="Y1248" s="31">
        <v>0</v>
      </c>
      <c r="Z1248" s="31">
        <v>0</v>
      </c>
      <c r="AA1248" s="31">
        <v>0</v>
      </c>
      <c r="AB1248" s="31">
        <v>0</v>
      </c>
      <c r="AC1248" s="31">
        <f>ROUND(N1248*1.5%,2)</f>
        <v>17287.349999999999</v>
      </c>
      <c r="AD1248" s="31">
        <v>120000</v>
      </c>
      <c r="AE1248" s="31">
        <v>0</v>
      </c>
      <c r="AF1248" s="345">
        <v>2022</v>
      </c>
      <c r="AG1248" s="345">
        <v>2022</v>
      </c>
      <c r="AH1248" s="346">
        <v>2022</v>
      </c>
      <c r="AT1248" s="20" t="e">
        <f t="shared" si="321"/>
        <v>#N/A</v>
      </c>
      <c r="BZ1248" s="71"/>
    </row>
    <row r="1249" spans="1:78" ht="61.5" x14ac:dyDescent="0.85">
      <c r="B1249" s="24" t="s">
        <v>871</v>
      </c>
      <c r="C1249" s="114"/>
      <c r="D1249" s="31">
        <f>D1250+D1251+D1252</f>
        <v>6332416.4000000004</v>
      </c>
      <c r="E1249" s="31">
        <f t="shared" ref="E1249:AE1249" si="325">E1250+E1251+E1252</f>
        <v>0</v>
      </c>
      <c r="F1249" s="31">
        <f t="shared" si="325"/>
        <v>0</v>
      </c>
      <c r="G1249" s="31">
        <f t="shared" si="325"/>
        <v>0</v>
      </c>
      <c r="H1249" s="31">
        <f t="shared" si="325"/>
        <v>0</v>
      </c>
      <c r="I1249" s="31">
        <f t="shared" si="325"/>
        <v>0</v>
      </c>
      <c r="J1249" s="31">
        <f t="shared" si="325"/>
        <v>0</v>
      </c>
      <c r="K1249" s="33">
        <f t="shared" si="325"/>
        <v>0</v>
      </c>
      <c r="L1249" s="31">
        <f t="shared" si="325"/>
        <v>0</v>
      </c>
      <c r="M1249" s="31">
        <f t="shared" si="325"/>
        <v>696</v>
      </c>
      <c r="N1249" s="31">
        <f t="shared" si="325"/>
        <v>3349359.61</v>
      </c>
      <c r="O1249" s="31">
        <f t="shared" si="325"/>
        <v>0</v>
      </c>
      <c r="P1249" s="31">
        <f t="shared" si="325"/>
        <v>0</v>
      </c>
      <c r="Q1249" s="31">
        <f t="shared" si="325"/>
        <v>910</v>
      </c>
      <c r="R1249" s="31">
        <f t="shared" si="325"/>
        <v>2485533.4</v>
      </c>
      <c r="S1249" s="31">
        <f t="shared" si="325"/>
        <v>0</v>
      </c>
      <c r="T1249" s="31">
        <f t="shared" si="325"/>
        <v>0</v>
      </c>
      <c r="U1249" s="31">
        <f t="shared" si="325"/>
        <v>0</v>
      </c>
      <c r="V1249" s="31">
        <f t="shared" si="325"/>
        <v>0</v>
      </c>
      <c r="W1249" s="31">
        <f t="shared" si="325"/>
        <v>0</v>
      </c>
      <c r="X1249" s="31">
        <f t="shared" si="325"/>
        <v>0</v>
      </c>
      <c r="Y1249" s="31">
        <f t="shared" si="325"/>
        <v>0</v>
      </c>
      <c r="Z1249" s="31">
        <f t="shared" si="325"/>
        <v>0</v>
      </c>
      <c r="AA1249" s="31">
        <f t="shared" si="325"/>
        <v>0</v>
      </c>
      <c r="AB1249" s="31">
        <f t="shared" si="325"/>
        <v>0</v>
      </c>
      <c r="AC1249" s="31">
        <f t="shared" si="325"/>
        <v>87523.39</v>
      </c>
      <c r="AD1249" s="31">
        <f t="shared" si="325"/>
        <v>410000</v>
      </c>
      <c r="AE1249" s="31">
        <f t="shared" si="325"/>
        <v>0</v>
      </c>
      <c r="AF1249" s="347" t="s">
        <v>764</v>
      </c>
      <c r="AG1249" s="347" t="s">
        <v>764</v>
      </c>
      <c r="AH1249" s="348" t="s">
        <v>764</v>
      </c>
      <c r="AT1249" s="20" t="e">
        <f t="shared" si="321"/>
        <v>#N/A</v>
      </c>
      <c r="BZ1249" s="71">
        <v>6332416.4000000004</v>
      </c>
    </row>
    <row r="1250" spans="1:78" ht="61.5" x14ac:dyDescent="0.85">
      <c r="A1250" s="20">
        <v>1</v>
      </c>
      <c r="B1250" s="66">
        <f>SUBTOTAL(103,$A$994:A1250)</f>
        <v>205</v>
      </c>
      <c r="C1250" s="156" t="s">
        <v>195</v>
      </c>
      <c r="D1250" s="31">
        <f>E1250+F1250+G1250+H1250+I1250+J1250+L1250+N1250+P1250+R1250+T1250+U1250+V1250+W1250+X1250+Y1250+Z1250+AA1250+AB1250+AC1250+AD1250+AE1250</f>
        <v>3549600</v>
      </c>
      <c r="E1250" s="31">
        <v>0</v>
      </c>
      <c r="F1250" s="31">
        <v>0</v>
      </c>
      <c r="G1250" s="31">
        <v>0</v>
      </c>
      <c r="H1250" s="31">
        <v>0</v>
      </c>
      <c r="I1250" s="31">
        <v>0</v>
      </c>
      <c r="J1250" s="31">
        <v>0</v>
      </c>
      <c r="K1250" s="33">
        <v>0</v>
      </c>
      <c r="L1250" s="31">
        <v>0</v>
      </c>
      <c r="M1250" s="31">
        <v>696</v>
      </c>
      <c r="N1250" s="31">
        <v>3349359.61</v>
      </c>
      <c r="O1250" s="31">
        <v>0</v>
      </c>
      <c r="P1250" s="31">
        <v>0</v>
      </c>
      <c r="Q1250" s="31">
        <v>0</v>
      </c>
      <c r="R1250" s="31">
        <v>0</v>
      </c>
      <c r="S1250" s="31">
        <v>0</v>
      </c>
      <c r="T1250" s="31">
        <v>0</v>
      </c>
      <c r="U1250" s="31">
        <v>0</v>
      </c>
      <c r="V1250" s="31">
        <v>0</v>
      </c>
      <c r="W1250" s="31">
        <v>0</v>
      </c>
      <c r="X1250" s="31">
        <v>0</v>
      </c>
      <c r="Y1250" s="31">
        <v>0</v>
      </c>
      <c r="Z1250" s="31">
        <v>0</v>
      </c>
      <c r="AA1250" s="31">
        <v>0</v>
      </c>
      <c r="AB1250" s="31">
        <v>0</v>
      </c>
      <c r="AC1250" s="31">
        <f>ROUND(N1250*1.5%,2)</f>
        <v>50240.39</v>
      </c>
      <c r="AD1250" s="31">
        <v>150000</v>
      </c>
      <c r="AE1250" s="31">
        <v>0</v>
      </c>
      <c r="AF1250" s="345">
        <v>2022</v>
      </c>
      <c r="AG1250" s="345">
        <v>2022</v>
      </c>
      <c r="AH1250" s="346">
        <v>2022</v>
      </c>
      <c r="AT1250" s="20" t="e">
        <f t="shared" si="321"/>
        <v>#N/A</v>
      </c>
      <c r="BZ1250" s="71"/>
    </row>
    <row r="1251" spans="1:78" ht="61.5" x14ac:dyDescent="0.85">
      <c r="A1251" s="20">
        <v>1</v>
      </c>
      <c r="B1251" s="66">
        <f>SUBTOTAL(103,$A$994:A1251)</f>
        <v>206</v>
      </c>
      <c r="C1251" s="156" t="s">
        <v>196</v>
      </c>
      <c r="D1251" s="31">
        <f>E1251+F1251+G1251+H1251+I1251+J1251+L1251+N1251+P1251+R1251+T1251+U1251+V1251+W1251+X1251+Y1251+Z1251+AA1251+AB1251+AC1251+AD1251+AE1251</f>
        <v>1391408.2</v>
      </c>
      <c r="E1251" s="31">
        <v>0</v>
      </c>
      <c r="F1251" s="31">
        <v>0</v>
      </c>
      <c r="G1251" s="31">
        <v>0</v>
      </c>
      <c r="H1251" s="31">
        <v>0</v>
      </c>
      <c r="I1251" s="31">
        <v>0</v>
      </c>
      <c r="J1251" s="31">
        <v>0</v>
      </c>
      <c r="K1251" s="33">
        <v>0</v>
      </c>
      <c r="L1251" s="31">
        <v>0</v>
      </c>
      <c r="M1251" s="31">
        <v>0</v>
      </c>
      <c r="N1251" s="31">
        <v>0</v>
      </c>
      <c r="O1251" s="31">
        <v>0</v>
      </c>
      <c r="P1251" s="31">
        <v>0</v>
      </c>
      <c r="Q1251" s="31">
        <v>455</v>
      </c>
      <c r="R1251" s="31">
        <v>1242766.7</v>
      </c>
      <c r="S1251" s="31">
        <v>0</v>
      </c>
      <c r="T1251" s="31">
        <v>0</v>
      </c>
      <c r="U1251" s="31">
        <v>0</v>
      </c>
      <c r="V1251" s="31">
        <v>0</v>
      </c>
      <c r="W1251" s="31">
        <v>0</v>
      </c>
      <c r="X1251" s="31">
        <v>0</v>
      </c>
      <c r="Y1251" s="31">
        <v>0</v>
      </c>
      <c r="Z1251" s="31">
        <v>0</v>
      </c>
      <c r="AA1251" s="31">
        <v>0</v>
      </c>
      <c r="AB1251" s="31">
        <v>0</v>
      </c>
      <c r="AC1251" s="31">
        <f>ROUND(R1251*1.5%,2)</f>
        <v>18641.5</v>
      </c>
      <c r="AD1251" s="31">
        <v>130000</v>
      </c>
      <c r="AE1251" s="31">
        <v>0</v>
      </c>
      <c r="AF1251" s="345">
        <v>2022</v>
      </c>
      <c r="AG1251" s="345">
        <v>2022</v>
      </c>
      <c r="AH1251" s="346">
        <v>2022</v>
      </c>
      <c r="AT1251" s="20" t="e">
        <f t="shared" si="321"/>
        <v>#N/A</v>
      </c>
      <c r="BZ1251" s="71"/>
    </row>
    <row r="1252" spans="1:78" ht="61.5" x14ac:dyDescent="0.85">
      <c r="A1252" s="20">
        <v>1</v>
      </c>
      <c r="B1252" s="66">
        <f>SUBTOTAL(103,$A$994:A1252)</f>
        <v>207</v>
      </c>
      <c r="C1252" s="156" t="s">
        <v>197</v>
      </c>
      <c r="D1252" s="31">
        <f>E1252+F1252+G1252+H1252+I1252+J1252+L1252+N1252+P1252+R1252+T1252+U1252+V1252+W1252+X1252+Y1252+Z1252+AA1252+AB1252+AC1252+AD1252+AE1252</f>
        <v>1391408.2</v>
      </c>
      <c r="E1252" s="31">
        <v>0</v>
      </c>
      <c r="F1252" s="31">
        <v>0</v>
      </c>
      <c r="G1252" s="31">
        <v>0</v>
      </c>
      <c r="H1252" s="31">
        <v>0</v>
      </c>
      <c r="I1252" s="31">
        <v>0</v>
      </c>
      <c r="J1252" s="31">
        <v>0</v>
      </c>
      <c r="K1252" s="33">
        <v>0</v>
      </c>
      <c r="L1252" s="31">
        <v>0</v>
      </c>
      <c r="M1252" s="31">
        <v>0</v>
      </c>
      <c r="N1252" s="31">
        <v>0</v>
      </c>
      <c r="O1252" s="31">
        <v>0</v>
      </c>
      <c r="P1252" s="31">
        <v>0</v>
      </c>
      <c r="Q1252" s="31">
        <v>455</v>
      </c>
      <c r="R1252" s="31">
        <v>1242766.7</v>
      </c>
      <c r="S1252" s="31">
        <v>0</v>
      </c>
      <c r="T1252" s="31">
        <v>0</v>
      </c>
      <c r="U1252" s="31">
        <v>0</v>
      </c>
      <c r="V1252" s="31">
        <v>0</v>
      </c>
      <c r="W1252" s="31">
        <v>0</v>
      </c>
      <c r="X1252" s="31">
        <v>0</v>
      </c>
      <c r="Y1252" s="31">
        <v>0</v>
      </c>
      <c r="Z1252" s="31">
        <v>0</v>
      </c>
      <c r="AA1252" s="31">
        <v>0</v>
      </c>
      <c r="AB1252" s="31">
        <v>0</v>
      </c>
      <c r="AC1252" s="31">
        <f>ROUND(R1252*1.5%,2)</f>
        <v>18641.5</v>
      </c>
      <c r="AD1252" s="31">
        <v>130000</v>
      </c>
      <c r="AE1252" s="31">
        <v>0</v>
      </c>
      <c r="AF1252" s="345">
        <v>2022</v>
      </c>
      <c r="AG1252" s="345">
        <v>2022</v>
      </c>
      <c r="AH1252" s="346">
        <v>2022</v>
      </c>
      <c r="AT1252" s="20" t="e">
        <f t="shared" si="321"/>
        <v>#N/A</v>
      </c>
      <c r="BZ1252" s="71"/>
    </row>
    <row r="1253" spans="1:78" ht="61.5" x14ac:dyDescent="0.85">
      <c r="B1253" s="24" t="s">
        <v>872</v>
      </c>
      <c r="C1253" s="24"/>
      <c r="D1253" s="31">
        <f>D1254</f>
        <v>4686244.08</v>
      </c>
      <c r="E1253" s="31">
        <f t="shared" ref="E1253:AE1253" si="326">E1254</f>
        <v>0</v>
      </c>
      <c r="F1253" s="31">
        <f t="shared" si="326"/>
        <v>0</v>
      </c>
      <c r="G1253" s="31">
        <f t="shared" si="326"/>
        <v>0</v>
      </c>
      <c r="H1253" s="31">
        <f t="shared" si="326"/>
        <v>0</v>
      </c>
      <c r="I1253" s="31">
        <f t="shared" si="326"/>
        <v>0</v>
      </c>
      <c r="J1253" s="31">
        <f t="shared" si="326"/>
        <v>0</v>
      </c>
      <c r="K1253" s="33">
        <f t="shared" si="326"/>
        <v>0</v>
      </c>
      <c r="L1253" s="31">
        <f t="shared" si="326"/>
        <v>0</v>
      </c>
      <c r="M1253" s="31">
        <f t="shared" si="326"/>
        <v>720</v>
      </c>
      <c r="N1253" s="31">
        <f t="shared" si="326"/>
        <v>4488910.42</v>
      </c>
      <c r="O1253" s="31">
        <f t="shared" si="326"/>
        <v>0</v>
      </c>
      <c r="P1253" s="31">
        <f t="shared" si="326"/>
        <v>0</v>
      </c>
      <c r="Q1253" s="31">
        <f t="shared" si="326"/>
        <v>0</v>
      </c>
      <c r="R1253" s="31">
        <f t="shared" si="326"/>
        <v>0</v>
      </c>
      <c r="S1253" s="31">
        <f t="shared" si="326"/>
        <v>0</v>
      </c>
      <c r="T1253" s="31">
        <f t="shared" si="326"/>
        <v>0</v>
      </c>
      <c r="U1253" s="31">
        <f t="shared" si="326"/>
        <v>0</v>
      </c>
      <c r="V1253" s="31">
        <f t="shared" si="326"/>
        <v>0</v>
      </c>
      <c r="W1253" s="31">
        <f t="shared" si="326"/>
        <v>0</v>
      </c>
      <c r="X1253" s="31">
        <f t="shared" si="326"/>
        <v>0</v>
      </c>
      <c r="Y1253" s="31">
        <f t="shared" si="326"/>
        <v>0</v>
      </c>
      <c r="Z1253" s="31">
        <f t="shared" si="326"/>
        <v>0</v>
      </c>
      <c r="AA1253" s="31">
        <f t="shared" si="326"/>
        <v>0</v>
      </c>
      <c r="AB1253" s="31">
        <f t="shared" si="326"/>
        <v>0</v>
      </c>
      <c r="AC1253" s="31">
        <f t="shared" si="326"/>
        <v>67333.66</v>
      </c>
      <c r="AD1253" s="31">
        <f t="shared" si="326"/>
        <v>130000</v>
      </c>
      <c r="AE1253" s="31">
        <f t="shared" si="326"/>
        <v>0</v>
      </c>
      <c r="AF1253" s="347" t="s">
        <v>764</v>
      </c>
      <c r="AG1253" s="347" t="s">
        <v>764</v>
      </c>
      <c r="AH1253" s="348" t="s">
        <v>764</v>
      </c>
      <c r="AT1253" s="20" t="e">
        <f t="shared" si="321"/>
        <v>#N/A</v>
      </c>
      <c r="BZ1253" s="71">
        <v>4686244.08</v>
      </c>
    </row>
    <row r="1254" spans="1:78" ht="61.5" x14ac:dyDescent="0.85">
      <c r="A1254" s="20">
        <v>1</v>
      </c>
      <c r="B1254" s="66">
        <f>SUBTOTAL(103,$A$994:A1254)</f>
        <v>208</v>
      </c>
      <c r="C1254" s="156" t="s">
        <v>1385</v>
      </c>
      <c r="D1254" s="31">
        <f>E1254+F1254+G1254+H1254+I1254+J1254+L1254+N1254+P1254+R1254+T1254+U1254+V1254+W1254+X1254+Y1254+Z1254+AA1254+AB1254+AC1254+AD1254+AE1254</f>
        <v>4686244.08</v>
      </c>
      <c r="E1254" s="31">
        <v>0</v>
      </c>
      <c r="F1254" s="31">
        <v>0</v>
      </c>
      <c r="G1254" s="31">
        <v>0</v>
      </c>
      <c r="H1254" s="31">
        <v>0</v>
      </c>
      <c r="I1254" s="31">
        <v>0</v>
      </c>
      <c r="J1254" s="31">
        <v>0</v>
      </c>
      <c r="K1254" s="33">
        <v>0</v>
      </c>
      <c r="L1254" s="31">
        <v>0</v>
      </c>
      <c r="M1254" s="31">
        <v>720</v>
      </c>
      <c r="N1254" s="31">
        <f>2853393.18+1635517.24</f>
        <v>4488910.42</v>
      </c>
      <c r="O1254" s="31">
        <v>0</v>
      </c>
      <c r="P1254" s="31">
        <v>0</v>
      </c>
      <c r="Q1254" s="31">
        <v>0</v>
      </c>
      <c r="R1254" s="31">
        <v>0</v>
      </c>
      <c r="S1254" s="31">
        <v>0</v>
      </c>
      <c r="T1254" s="31">
        <v>0</v>
      </c>
      <c r="U1254" s="31">
        <v>0</v>
      </c>
      <c r="V1254" s="31">
        <v>0</v>
      </c>
      <c r="W1254" s="31">
        <v>0</v>
      </c>
      <c r="X1254" s="31">
        <v>0</v>
      </c>
      <c r="Y1254" s="31">
        <v>0</v>
      </c>
      <c r="Z1254" s="31">
        <v>0</v>
      </c>
      <c r="AA1254" s="31">
        <v>0</v>
      </c>
      <c r="AB1254" s="31">
        <v>0</v>
      </c>
      <c r="AC1254" s="31">
        <f>ROUND(N1254*1.5%,2)</f>
        <v>67333.66</v>
      </c>
      <c r="AD1254" s="31">
        <v>130000</v>
      </c>
      <c r="AE1254" s="31">
        <v>0</v>
      </c>
      <c r="AF1254" s="345">
        <v>2022</v>
      </c>
      <c r="AG1254" s="345">
        <v>2022</v>
      </c>
      <c r="AH1254" s="346">
        <v>2022</v>
      </c>
      <c r="AT1254" s="20" t="e">
        <f t="shared" si="321"/>
        <v>#N/A</v>
      </c>
      <c r="BZ1254" s="71"/>
    </row>
    <row r="1255" spans="1:78" ht="61.5" x14ac:dyDescent="0.85">
      <c r="B1255" s="24" t="s">
        <v>874</v>
      </c>
      <c r="C1255" s="24"/>
      <c r="D1255" s="31">
        <f>D1256</f>
        <v>3600600</v>
      </c>
      <c r="E1255" s="31">
        <f t="shared" ref="E1255:AE1255" si="327">E1256</f>
        <v>0</v>
      </c>
      <c r="F1255" s="31">
        <f t="shared" si="327"/>
        <v>0</v>
      </c>
      <c r="G1255" s="31">
        <f t="shared" si="327"/>
        <v>0</v>
      </c>
      <c r="H1255" s="31">
        <f t="shared" si="327"/>
        <v>0</v>
      </c>
      <c r="I1255" s="31">
        <f t="shared" si="327"/>
        <v>0</v>
      </c>
      <c r="J1255" s="31">
        <f t="shared" si="327"/>
        <v>0</v>
      </c>
      <c r="K1255" s="33">
        <f t="shared" si="327"/>
        <v>0</v>
      </c>
      <c r="L1255" s="31">
        <f t="shared" si="327"/>
        <v>0</v>
      </c>
      <c r="M1255" s="31">
        <f t="shared" si="327"/>
        <v>0</v>
      </c>
      <c r="N1255" s="31">
        <f t="shared" si="327"/>
        <v>0</v>
      </c>
      <c r="O1255" s="31">
        <f t="shared" si="327"/>
        <v>0</v>
      </c>
      <c r="P1255" s="31">
        <f t="shared" si="327"/>
        <v>0</v>
      </c>
      <c r="Q1255" s="31">
        <f t="shared" si="327"/>
        <v>333.4</v>
      </c>
      <c r="R1255" s="31">
        <f t="shared" si="327"/>
        <v>3399605.91</v>
      </c>
      <c r="S1255" s="31">
        <f t="shared" si="327"/>
        <v>0</v>
      </c>
      <c r="T1255" s="31">
        <f t="shared" si="327"/>
        <v>0</v>
      </c>
      <c r="U1255" s="31">
        <f t="shared" si="327"/>
        <v>0</v>
      </c>
      <c r="V1255" s="31">
        <f t="shared" si="327"/>
        <v>0</v>
      </c>
      <c r="W1255" s="31">
        <f t="shared" si="327"/>
        <v>0</v>
      </c>
      <c r="X1255" s="31">
        <f t="shared" si="327"/>
        <v>0</v>
      </c>
      <c r="Y1255" s="31">
        <f t="shared" si="327"/>
        <v>0</v>
      </c>
      <c r="Z1255" s="31">
        <f t="shared" si="327"/>
        <v>0</v>
      </c>
      <c r="AA1255" s="31">
        <f t="shared" si="327"/>
        <v>0</v>
      </c>
      <c r="AB1255" s="31">
        <f t="shared" si="327"/>
        <v>0</v>
      </c>
      <c r="AC1255" s="31">
        <f t="shared" si="327"/>
        <v>50994.09</v>
      </c>
      <c r="AD1255" s="31">
        <f t="shared" si="327"/>
        <v>150000</v>
      </c>
      <c r="AE1255" s="31">
        <f t="shared" si="327"/>
        <v>0</v>
      </c>
      <c r="AF1255" s="347" t="s">
        <v>764</v>
      </c>
      <c r="AG1255" s="347" t="s">
        <v>764</v>
      </c>
      <c r="AH1255" s="348" t="s">
        <v>764</v>
      </c>
      <c r="AT1255" s="20" t="e">
        <f t="shared" si="321"/>
        <v>#N/A</v>
      </c>
      <c r="BZ1255" s="71">
        <v>3600600</v>
      </c>
    </row>
    <row r="1256" spans="1:78" ht="61.5" x14ac:dyDescent="0.85">
      <c r="A1256" s="20">
        <v>1</v>
      </c>
      <c r="B1256" s="66">
        <f>SUBTOTAL(103,$A$994:A1256)</f>
        <v>209</v>
      </c>
      <c r="C1256" s="156" t="s">
        <v>807</v>
      </c>
      <c r="D1256" s="31">
        <f>E1256+F1256+G1256+H1256+I1256+J1256+L1256+N1256+P1256+R1256+T1256+U1256+V1256+W1256+X1256+Y1256+Z1256+AA1256+AB1256+AC1256+AD1256+AE1256</f>
        <v>3600600</v>
      </c>
      <c r="E1256" s="31">
        <v>0</v>
      </c>
      <c r="F1256" s="31">
        <v>0</v>
      </c>
      <c r="G1256" s="31">
        <v>0</v>
      </c>
      <c r="H1256" s="31">
        <v>0</v>
      </c>
      <c r="I1256" s="31">
        <v>0</v>
      </c>
      <c r="J1256" s="31">
        <v>0</v>
      </c>
      <c r="K1256" s="33">
        <v>0</v>
      </c>
      <c r="L1256" s="31">
        <v>0</v>
      </c>
      <c r="M1256" s="31">
        <v>0</v>
      </c>
      <c r="N1256" s="31">
        <v>0</v>
      </c>
      <c r="O1256" s="31">
        <v>0</v>
      </c>
      <c r="P1256" s="31">
        <v>0</v>
      </c>
      <c r="Q1256" s="31">
        <v>333.4</v>
      </c>
      <c r="R1256" s="31">
        <f>1668008.87+1731597.04</f>
        <v>3399605.91</v>
      </c>
      <c r="S1256" s="31">
        <v>0</v>
      </c>
      <c r="T1256" s="31">
        <v>0</v>
      </c>
      <c r="U1256" s="31">
        <v>0</v>
      </c>
      <c r="V1256" s="31">
        <v>0</v>
      </c>
      <c r="W1256" s="31">
        <v>0</v>
      </c>
      <c r="X1256" s="31">
        <v>0</v>
      </c>
      <c r="Y1256" s="31">
        <v>0</v>
      </c>
      <c r="Z1256" s="31">
        <v>0</v>
      </c>
      <c r="AA1256" s="31">
        <v>0</v>
      </c>
      <c r="AB1256" s="31">
        <v>0</v>
      </c>
      <c r="AC1256" s="31">
        <f>ROUND((N1256+R1256)*1.5%,2)</f>
        <v>50994.09</v>
      </c>
      <c r="AD1256" s="31">
        <v>150000</v>
      </c>
      <c r="AE1256" s="31">
        <v>0</v>
      </c>
      <c r="AF1256" s="345">
        <v>2022</v>
      </c>
      <c r="AG1256" s="345">
        <v>2022</v>
      </c>
      <c r="AH1256" s="346">
        <v>2022</v>
      </c>
      <c r="AT1256" s="20" t="e">
        <f t="shared" si="321"/>
        <v>#N/A</v>
      </c>
      <c r="BZ1256" s="71"/>
    </row>
    <row r="1257" spans="1:78" ht="61.5" x14ac:dyDescent="0.85">
      <c r="B1257" s="24" t="s">
        <v>893</v>
      </c>
      <c r="C1257" s="24"/>
      <c r="D1257" s="31">
        <f>D1258</f>
        <v>2233993.96</v>
      </c>
      <c r="E1257" s="31">
        <f t="shared" ref="E1257:AE1257" si="328">E1258</f>
        <v>0</v>
      </c>
      <c r="F1257" s="31">
        <f t="shared" si="328"/>
        <v>0</v>
      </c>
      <c r="G1257" s="31">
        <f t="shared" si="328"/>
        <v>0</v>
      </c>
      <c r="H1257" s="31">
        <f t="shared" si="328"/>
        <v>0</v>
      </c>
      <c r="I1257" s="31">
        <f t="shared" si="328"/>
        <v>0</v>
      </c>
      <c r="J1257" s="31">
        <f t="shared" si="328"/>
        <v>0</v>
      </c>
      <c r="K1257" s="33">
        <f t="shared" si="328"/>
        <v>0</v>
      </c>
      <c r="L1257" s="31">
        <f t="shared" si="328"/>
        <v>0</v>
      </c>
      <c r="M1257" s="31">
        <f t="shared" si="328"/>
        <v>376</v>
      </c>
      <c r="N1257" s="31">
        <f t="shared" si="328"/>
        <v>2082752.67</v>
      </c>
      <c r="O1257" s="31">
        <f t="shared" si="328"/>
        <v>0</v>
      </c>
      <c r="P1257" s="31">
        <f t="shared" si="328"/>
        <v>0</v>
      </c>
      <c r="Q1257" s="31">
        <f t="shared" si="328"/>
        <v>0</v>
      </c>
      <c r="R1257" s="31">
        <f t="shared" si="328"/>
        <v>0</v>
      </c>
      <c r="S1257" s="31">
        <f t="shared" si="328"/>
        <v>0</v>
      </c>
      <c r="T1257" s="31">
        <f t="shared" si="328"/>
        <v>0</v>
      </c>
      <c r="U1257" s="31">
        <f t="shared" si="328"/>
        <v>0</v>
      </c>
      <c r="V1257" s="31">
        <f t="shared" si="328"/>
        <v>0</v>
      </c>
      <c r="W1257" s="31">
        <f t="shared" si="328"/>
        <v>0</v>
      </c>
      <c r="X1257" s="31">
        <f t="shared" si="328"/>
        <v>0</v>
      </c>
      <c r="Y1257" s="31">
        <f t="shared" si="328"/>
        <v>0</v>
      </c>
      <c r="Z1257" s="31">
        <f t="shared" si="328"/>
        <v>0</v>
      </c>
      <c r="AA1257" s="31">
        <f t="shared" si="328"/>
        <v>0</v>
      </c>
      <c r="AB1257" s="31">
        <f t="shared" si="328"/>
        <v>0</v>
      </c>
      <c r="AC1257" s="31">
        <f t="shared" si="328"/>
        <v>31241.29</v>
      </c>
      <c r="AD1257" s="31">
        <f t="shared" si="328"/>
        <v>120000</v>
      </c>
      <c r="AE1257" s="31">
        <f t="shared" si="328"/>
        <v>0</v>
      </c>
      <c r="AF1257" s="347" t="s">
        <v>764</v>
      </c>
      <c r="AG1257" s="347" t="s">
        <v>764</v>
      </c>
      <c r="AH1257" s="348" t="s">
        <v>764</v>
      </c>
      <c r="AT1257" s="20" t="e">
        <f t="shared" si="321"/>
        <v>#N/A</v>
      </c>
      <c r="BZ1257" s="71">
        <v>2233993.96</v>
      </c>
    </row>
    <row r="1258" spans="1:78" ht="61.5" x14ac:dyDescent="0.85">
      <c r="A1258" s="20">
        <v>1</v>
      </c>
      <c r="B1258" s="66">
        <f>SUBTOTAL(103,$A$994:A1258)</f>
        <v>210</v>
      </c>
      <c r="C1258" s="156" t="s">
        <v>198</v>
      </c>
      <c r="D1258" s="31">
        <f>E1258+F1258+G1258+H1258+I1258+J1258+L1258+N1258+P1258+R1258+T1258+U1258+V1258+W1258+X1258+Y1258+Z1258+AA1258+AB1258+AC1258+AD1258+AE1258</f>
        <v>2233993.96</v>
      </c>
      <c r="E1258" s="31">
        <v>0</v>
      </c>
      <c r="F1258" s="31">
        <v>0</v>
      </c>
      <c r="G1258" s="31">
        <v>0</v>
      </c>
      <c r="H1258" s="31">
        <v>0</v>
      </c>
      <c r="I1258" s="31">
        <v>0</v>
      </c>
      <c r="J1258" s="31">
        <v>0</v>
      </c>
      <c r="K1258" s="33">
        <v>0</v>
      </c>
      <c r="L1258" s="31">
        <v>0</v>
      </c>
      <c r="M1258" s="31">
        <v>376</v>
      </c>
      <c r="N1258" s="31">
        <f>1771034.48+311718.19</f>
        <v>2082752.67</v>
      </c>
      <c r="O1258" s="31">
        <v>0</v>
      </c>
      <c r="P1258" s="31">
        <v>0</v>
      </c>
      <c r="Q1258" s="31">
        <v>0</v>
      </c>
      <c r="R1258" s="31">
        <v>0</v>
      </c>
      <c r="S1258" s="31">
        <v>0</v>
      </c>
      <c r="T1258" s="31">
        <v>0</v>
      </c>
      <c r="U1258" s="31">
        <v>0</v>
      </c>
      <c r="V1258" s="31">
        <v>0</v>
      </c>
      <c r="W1258" s="31">
        <v>0</v>
      </c>
      <c r="X1258" s="31">
        <v>0</v>
      </c>
      <c r="Y1258" s="31">
        <v>0</v>
      </c>
      <c r="Z1258" s="31">
        <v>0</v>
      </c>
      <c r="AA1258" s="31">
        <v>0</v>
      </c>
      <c r="AB1258" s="31">
        <v>0</v>
      </c>
      <c r="AC1258" s="31">
        <f>ROUND(N1258*1.5%,2)</f>
        <v>31241.29</v>
      </c>
      <c r="AD1258" s="31">
        <v>120000</v>
      </c>
      <c r="AE1258" s="31">
        <v>0</v>
      </c>
      <c r="AF1258" s="345">
        <v>2022</v>
      </c>
      <c r="AG1258" s="345">
        <v>2022</v>
      </c>
      <c r="AH1258" s="346">
        <v>2022</v>
      </c>
      <c r="AT1258" s="20" t="e">
        <f t="shared" si="321"/>
        <v>#N/A</v>
      </c>
      <c r="BZ1258" s="71"/>
    </row>
    <row r="1259" spans="1:78" ht="61.5" x14ac:dyDescent="0.85">
      <c r="B1259" s="24" t="s">
        <v>875</v>
      </c>
      <c r="C1259" s="114"/>
      <c r="D1259" s="31">
        <f>SUM(D1260:D1262)</f>
        <v>14392200</v>
      </c>
      <c r="E1259" s="31">
        <f t="shared" ref="E1259:AE1259" si="329">SUM(E1260:E1262)</f>
        <v>0</v>
      </c>
      <c r="F1259" s="31">
        <f t="shared" si="329"/>
        <v>0</v>
      </c>
      <c r="G1259" s="31">
        <f t="shared" si="329"/>
        <v>0</v>
      </c>
      <c r="H1259" s="31">
        <f t="shared" si="329"/>
        <v>0</v>
      </c>
      <c r="I1259" s="31">
        <f t="shared" si="329"/>
        <v>0</v>
      </c>
      <c r="J1259" s="31">
        <f t="shared" si="329"/>
        <v>0</v>
      </c>
      <c r="K1259" s="33">
        <f t="shared" si="329"/>
        <v>0</v>
      </c>
      <c r="L1259" s="31">
        <f t="shared" si="329"/>
        <v>0</v>
      </c>
      <c r="M1259" s="31">
        <f t="shared" si="329"/>
        <v>2822</v>
      </c>
      <c r="N1259" s="31">
        <f t="shared" si="329"/>
        <v>13706600.99</v>
      </c>
      <c r="O1259" s="31">
        <f t="shared" si="329"/>
        <v>0</v>
      </c>
      <c r="P1259" s="31">
        <f t="shared" si="329"/>
        <v>0</v>
      </c>
      <c r="Q1259" s="31">
        <f t="shared" si="329"/>
        <v>0</v>
      </c>
      <c r="R1259" s="31">
        <f t="shared" si="329"/>
        <v>0</v>
      </c>
      <c r="S1259" s="31">
        <f t="shared" si="329"/>
        <v>0</v>
      </c>
      <c r="T1259" s="31">
        <f t="shared" si="329"/>
        <v>0</v>
      </c>
      <c r="U1259" s="31">
        <f t="shared" si="329"/>
        <v>0</v>
      </c>
      <c r="V1259" s="31">
        <f t="shared" si="329"/>
        <v>0</v>
      </c>
      <c r="W1259" s="31">
        <f t="shared" si="329"/>
        <v>0</v>
      </c>
      <c r="X1259" s="31">
        <f t="shared" si="329"/>
        <v>0</v>
      </c>
      <c r="Y1259" s="31">
        <f t="shared" si="329"/>
        <v>0</v>
      </c>
      <c r="Z1259" s="31">
        <f t="shared" si="329"/>
        <v>0</v>
      </c>
      <c r="AA1259" s="31">
        <f t="shared" si="329"/>
        <v>0</v>
      </c>
      <c r="AB1259" s="31">
        <f t="shared" si="329"/>
        <v>0</v>
      </c>
      <c r="AC1259" s="31">
        <f t="shared" si="329"/>
        <v>205599.01</v>
      </c>
      <c r="AD1259" s="31">
        <f t="shared" si="329"/>
        <v>480000</v>
      </c>
      <c r="AE1259" s="31">
        <f t="shared" si="329"/>
        <v>0</v>
      </c>
      <c r="AF1259" s="347" t="s">
        <v>764</v>
      </c>
      <c r="AG1259" s="347" t="s">
        <v>764</v>
      </c>
      <c r="AH1259" s="348" t="s">
        <v>764</v>
      </c>
      <c r="AT1259" s="20" t="e">
        <f t="shared" si="321"/>
        <v>#N/A</v>
      </c>
      <c r="BZ1259" s="71">
        <v>14392200</v>
      </c>
    </row>
    <row r="1260" spans="1:78" ht="61.5" x14ac:dyDescent="0.85">
      <c r="A1260" s="20">
        <v>1</v>
      </c>
      <c r="B1260" s="66">
        <f>SUBTOTAL(103,$A$994:A1260)</f>
        <v>211</v>
      </c>
      <c r="C1260" s="156" t="s">
        <v>215</v>
      </c>
      <c r="D1260" s="31">
        <f>E1260+F1260+G1260+H1260+I1260+J1260+L1260+N1260+P1260+R1260+T1260+U1260+V1260+W1260+X1260+Y1260+Z1260+AA1260+AB1260+AC1260+AD1260+AE1260</f>
        <v>6002700</v>
      </c>
      <c r="E1260" s="31">
        <v>0</v>
      </c>
      <c r="F1260" s="31">
        <v>0</v>
      </c>
      <c r="G1260" s="31">
        <v>0</v>
      </c>
      <c r="H1260" s="31">
        <v>0</v>
      </c>
      <c r="I1260" s="31">
        <v>0</v>
      </c>
      <c r="J1260" s="31">
        <v>0</v>
      </c>
      <c r="K1260" s="33">
        <v>0</v>
      </c>
      <c r="L1260" s="31">
        <v>0</v>
      </c>
      <c r="M1260" s="31">
        <v>1177</v>
      </c>
      <c r="N1260" s="31">
        <v>5736650.25</v>
      </c>
      <c r="O1260" s="31">
        <v>0</v>
      </c>
      <c r="P1260" s="31">
        <v>0</v>
      </c>
      <c r="Q1260" s="31">
        <v>0</v>
      </c>
      <c r="R1260" s="31">
        <v>0</v>
      </c>
      <c r="S1260" s="31">
        <v>0</v>
      </c>
      <c r="T1260" s="31">
        <v>0</v>
      </c>
      <c r="U1260" s="31">
        <v>0</v>
      </c>
      <c r="V1260" s="31">
        <v>0</v>
      </c>
      <c r="W1260" s="31">
        <v>0</v>
      </c>
      <c r="X1260" s="31">
        <v>0</v>
      </c>
      <c r="Y1260" s="31">
        <v>0</v>
      </c>
      <c r="Z1260" s="31">
        <v>0</v>
      </c>
      <c r="AA1260" s="31">
        <v>0</v>
      </c>
      <c r="AB1260" s="31">
        <v>0</v>
      </c>
      <c r="AC1260" s="31">
        <f>ROUND(N1260*1.5%,2)</f>
        <v>86049.75</v>
      </c>
      <c r="AD1260" s="31">
        <v>180000</v>
      </c>
      <c r="AE1260" s="31">
        <v>0</v>
      </c>
      <c r="AF1260" s="345">
        <v>2022</v>
      </c>
      <c r="AG1260" s="345">
        <v>2022</v>
      </c>
      <c r="AH1260" s="346">
        <v>2022</v>
      </c>
      <c r="AT1260" s="20" t="e">
        <f t="shared" si="321"/>
        <v>#N/A</v>
      </c>
      <c r="BZ1260" s="71"/>
    </row>
    <row r="1261" spans="1:78" ht="61.5" x14ac:dyDescent="0.85">
      <c r="A1261" s="20">
        <v>1</v>
      </c>
      <c r="B1261" s="66">
        <f>SUBTOTAL(103,$A$994:A1261)</f>
        <v>212</v>
      </c>
      <c r="C1261" s="156" t="s">
        <v>216</v>
      </c>
      <c r="D1261" s="31">
        <f>E1261+F1261+G1261+H1261+I1261+J1261+L1261+N1261+P1261+R1261+T1261+U1261+V1261+W1261+X1261+Y1261+Z1261+AA1261+AB1261+AC1261+AD1261+AE1261</f>
        <v>4059600</v>
      </c>
      <c r="E1261" s="31">
        <v>0</v>
      </c>
      <c r="F1261" s="31">
        <v>0</v>
      </c>
      <c r="G1261" s="31">
        <v>0</v>
      </c>
      <c r="H1261" s="31">
        <v>0</v>
      </c>
      <c r="I1261" s="31">
        <v>0</v>
      </c>
      <c r="J1261" s="31">
        <v>0</v>
      </c>
      <c r="K1261" s="33">
        <v>0</v>
      </c>
      <c r="L1261" s="31">
        <v>0</v>
      </c>
      <c r="M1261" s="31">
        <v>796</v>
      </c>
      <c r="N1261" s="31">
        <v>3851822.66</v>
      </c>
      <c r="O1261" s="31">
        <v>0</v>
      </c>
      <c r="P1261" s="31">
        <v>0</v>
      </c>
      <c r="Q1261" s="31">
        <v>0</v>
      </c>
      <c r="R1261" s="31">
        <v>0</v>
      </c>
      <c r="S1261" s="31">
        <v>0</v>
      </c>
      <c r="T1261" s="31">
        <v>0</v>
      </c>
      <c r="U1261" s="31">
        <v>0</v>
      </c>
      <c r="V1261" s="31">
        <v>0</v>
      </c>
      <c r="W1261" s="31">
        <v>0</v>
      </c>
      <c r="X1261" s="31">
        <v>0</v>
      </c>
      <c r="Y1261" s="31">
        <v>0</v>
      </c>
      <c r="Z1261" s="31">
        <v>0</v>
      </c>
      <c r="AA1261" s="31">
        <v>0</v>
      </c>
      <c r="AB1261" s="31">
        <v>0</v>
      </c>
      <c r="AC1261" s="31">
        <f>ROUND(N1261*1.5%,2)</f>
        <v>57777.34</v>
      </c>
      <c r="AD1261" s="31">
        <v>150000</v>
      </c>
      <c r="AE1261" s="31">
        <v>0</v>
      </c>
      <c r="AF1261" s="345">
        <v>2022</v>
      </c>
      <c r="AG1261" s="345">
        <v>2022</v>
      </c>
      <c r="AH1261" s="346">
        <v>2022</v>
      </c>
      <c r="AT1261" s="20" t="e">
        <f t="shared" si="321"/>
        <v>#N/A</v>
      </c>
      <c r="BZ1261" s="71"/>
    </row>
    <row r="1262" spans="1:78" ht="61.5" x14ac:dyDescent="0.85">
      <c r="A1262" s="20">
        <v>1</v>
      </c>
      <c r="B1262" s="66">
        <f>SUBTOTAL(103,$A$994:A1262)</f>
        <v>213</v>
      </c>
      <c r="C1262" s="156" t="s">
        <v>217</v>
      </c>
      <c r="D1262" s="31">
        <f>E1262+F1262+G1262+H1262+I1262+J1262+L1262+N1262+P1262+R1262+T1262+U1262+V1262+W1262+X1262+Y1262+Z1262+AA1262+AB1262+AC1262+AD1262+AE1262</f>
        <v>4329900</v>
      </c>
      <c r="E1262" s="31">
        <v>0</v>
      </c>
      <c r="F1262" s="31">
        <v>0</v>
      </c>
      <c r="G1262" s="31">
        <v>0</v>
      </c>
      <c r="H1262" s="31">
        <v>0</v>
      </c>
      <c r="I1262" s="31">
        <v>0</v>
      </c>
      <c r="J1262" s="31">
        <v>0</v>
      </c>
      <c r="K1262" s="33">
        <v>0</v>
      </c>
      <c r="L1262" s="31">
        <v>0</v>
      </c>
      <c r="M1262" s="31">
        <v>849</v>
      </c>
      <c r="N1262" s="31">
        <v>4118128.08</v>
      </c>
      <c r="O1262" s="31">
        <v>0</v>
      </c>
      <c r="P1262" s="31">
        <v>0</v>
      </c>
      <c r="Q1262" s="31">
        <v>0</v>
      </c>
      <c r="R1262" s="31">
        <v>0</v>
      </c>
      <c r="S1262" s="31">
        <v>0</v>
      </c>
      <c r="T1262" s="31">
        <v>0</v>
      </c>
      <c r="U1262" s="31">
        <v>0</v>
      </c>
      <c r="V1262" s="31">
        <v>0</v>
      </c>
      <c r="W1262" s="31">
        <v>0</v>
      </c>
      <c r="X1262" s="31">
        <v>0</v>
      </c>
      <c r="Y1262" s="31">
        <v>0</v>
      </c>
      <c r="Z1262" s="31">
        <v>0</v>
      </c>
      <c r="AA1262" s="31">
        <v>0</v>
      </c>
      <c r="AB1262" s="31">
        <v>0</v>
      </c>
      <c r="AC1262" s="31">
        <f>ROUND(N1262*1.5%,2)</f>
        <v>61771.92</v>
      </c>
      <c r="AD1262" s="31">
        <v>150000</v>
      </c>
      <c r="AE1262" s="31">
        <v>0</v>
      </c>
      <c r="AF1262" s="345">
        <v>2022</v>
      </c>
      <c r="AG1262" s="345">
        <v>2022</v>
      </c>
      <c r="AH1262" s="346">
        <v>2022</v>
      </c>
      <c r="AT1262" s="20" t="e">
        <f t="shared" si="321"/>
        <v>#N/A</v>
      </c>
      <c r="BZ1262" s="71"/>
    </row>
    <row r="1263" spans="1:78" ht="61.5" x14ac:dyDescent="0.85">
      <c r="B1263" s="24" t="s">
        <v>876</v>
      </c>
      <c r="C1263" s="24"/>
      <c r="D1263" s="31">
        <f>D1264</f>
        <v>3396600</v>
      </c>
      <c r="E1263" s="31">
        <f t="shared" ref="E1263:AE1263" si="330">E1264</f>
        <v>0</v>
      </c>
      <c r="F1263" s="31">
        <f t="shared" si="330"/>
        <v>0</v>
      </c>
      <c r="G1263" s="31">
        <f t="shared" si="330"/>
        <v>0</v>
      </c>
      <c r="H1263" s="31">
        <f t="shared" si="330"/>
        <v>0</v>
      </c>
      <c r="I1263" s="31">
        <f t="shared" si="330"/>
        <v>0</v>
      </c>
      <c r="J1263" s="31">
        <f t="shared" si="330"/>
        <v>0</v>
      </c>
      <c r="K1263" s="33">
        <f t="shared" si="330"/>
        <v>0</v>
      </c>
      <c r="L1263" s="31">
        <f t="shared" si="330"/>
        <v>0</v>
      </c>
      <c r="M1263" s="31">
        <f t="shared" si="330"/>
        <v>666</v>
      </c>
      <c r="N1263" s="31">
        <f t="shared" si="330"/>
        <v>3198620.69</v>
      </c>
      <c r="O1263" s="31">
        <f t="shared" si="330"/>
        <v>0</v>
      </c>
      <c r="P1263" s="31">
        <f t="shared" si="330"/>
        <v>0</v>
      </c>
      <c r="Q1263" s="31">
        <f t="shared" si="330"/>
        <v>0</v>
      </c>
      <c r="R1263" s="31">
        <f t="shared" si="330"/>
        <v>0</v>
      </c>
      <c r="S1263" s="31">
        <f t="shared" si="330"/>
        <v>0</v>
      </c>
      <c r="T1263" s="31">
        <f t="shared" si="330"/>
        <v>0</v>
      </c>
      <c r="U1263" s="31">
        <f t="shared" si="330"/>
        <v>0</v>
      </c>
      <c r="V1263" s="31">
        <f t="shared" si="330"/>
        <v>0</v>
      </c>
      <c r="W1263" s="31">
        <f t="shared" si="330"/>
        <v>0</v>
      </c>
      <c r="X1263" s="31">
        <f t="shared" si="330"/>
        <v>0</v>
      </c>
      <c r="Y1263" s="31">
        <f t="shared" si="330"/>
        <v>0</v>
      </c>
      <c r="Z1263" s="31">
        <f t="shared" si="330"/>
        <v>0</v>
      </c>
      <c r="AA1263" s="31">
        <f t="shared" si="330"/>
        <v>0</v>
      </c>
      <c r="AB1263" s="31">
        <f t="shared" si="330"/>
        <v>0</v>
      </c>
      <c r="AC1263" s="31">
        <f t="shared" si="330"/>
        <v>47979.31</v>
      </c>
      <c r="AD1263" s="31">
        <f t="shared" si="330"/>
        <v>150000</v>
      </c>
      <c r="AE1263" s="31">
        <f t="shared" si="330"/>
        <v>0</v>
      </c>
      <c r="AF1263" s="347" t="s">
        <v>764</v>
      </c>
      <c r="AG1263" s="347" t="s">
        <v>764</v>
      </c>
      <c r="AH1263" s="348" t="s">
        <v>764</v>
      </c>
      <c r="AT1263" s="20" t="e">
        <f t="shared" si="321"/>
        <v>#N/A</v>
      </c>
      <c r="BZ1263" s="71">
        <v>3396600</v>
      </c>
    </row>
    <row r="1264" spans="1:78" ht="61.5" x14ac:dyDescent="0.85">
      <c r="A1264" s="20">
        <v>1</v>
      </c>
      <c r="B1264" s="66">
        <f>SUBTOTAL(103,$A$994:A1264)</f>
        <v>214</v>
      </c>
      <c r="C1264" s="156" t="s">
        <v>223</v>
      </c>
      <c r="D1264" s="31">
        <f>E1264+F1264+G1264+H1264+I1264+J1264+L1264+N1264+P1264+R1264+T1264+U1264+V1264+W1264+X1264+Y1264+Z1264+AA1264+AB1264+AC1264+AD1264+AE1264</f>
        <v>3396600</v>
      </c>
      <c r="E1264" s="31">
        <v>0</v>
      </c>
      <c r="F1264" s="31">
        <v>0</v>
      </c>
      <c r="G1264" s="31">
        <v>0</v>
      </c>
      <c r="H1264" s="31">
        <v>0</v>
      </c>
      <c r="I1264" s="31">
        <v>0</v>
      </c>
      <c r="J1264" s="31">
        <v>0</v>
      </c>
      <c r="K1264" s="33">
        <v>0</v>
      </c>
      <c r="L1264" s="31">
        <v>0</v>
      </c>
      <c r="M1264" s="31">
        <v>666</v>
      </c>
      <c r="N1264" s="31">
        <v>3198620.69</v>
      </c>
      <c r="O1264" s="31">
        <v>0</v>
      </c>
      <c r="P1264" s="31">
        <v>0</v>
      </c>
      <c r="Q1264" s="31">
        <v>0</v>
      </c>
      <c r="R1264" s="31">
        <v>0</v>
      </c>
      <c r="S1264" s="31">
        <v>0</v>
      </c>
      <c r="T1264" s="31">
        <v>0</v>
      </c>
      <c r="U1264" s="31">
        <v>0</v>
      </c>
      <c r="V1264" s="31">
        <v>0</v>
      </c>
      <c r="W1264" s="31">
        <v>0</v>
      </c>
      <c r="X1264" s="31">
        <v>0</v>
      </c>
      <c r="Y1264" s="31">
        <v>0</v>
      </c>
      <c r="Z1264" s="31">
        <v>0</v>
      </c>
      <c r="AA1264" s="31">
        <v>0</v>
      </c>
      <c r="AB1264" s="31">
        <v>0</v>
      </c>
      <c r="AC1264" s="31">
        <f>ROUND(N1264*1.5%,2)</f>
        <v>47979.31</v>
      </c>
      <c r="AD1264" s="31">
        <v>150000</v>
      </c>
      <c r="AE1264" s="31">
        <v>0</v>
      </c>
      <c r="AF1264" s="345">
        <v>2022</v>
      </c>
      <c r="AG1264" s="345">
        <v>2022</v>
      </c>
      <c r="AH1264" s="346">
        <v>2022</v>
      </c>
      <c r="AT1264" s="20">
        <f t="shared" si="321"/>
        <v>1</v>
      </c>
      <c r="BZ1264" s="71"/>
    </row>
    <row r="1265" spans="1:224" s="136" customFormat="1" ht="189" customHeight="1" x14ac:dyDescent="0.3">
      <c r="B1265" s="412" t="s">
        <v>1685</v>
      </c>
      <c r="C1265" s="413"/>
      <c r="D1265" s="413"/>
      <c r="E1265" s="413"/>
      <c r="F1265" s="413"/>
      <c r="G1265" s="413"/>
      <c r="H1265" s="413"/>
      <c r="I1265" s="413"/>
      <c r="J1265" s="413"/>
      <c r="K1265" s="413"/>
      <c r="L1265" s="413"/>
      <c r="M1265" s="413"/>
      <c r="N1265" s="413"/>
      <c r="O1265" s="413"/>
      <c r="P1265" s="413"/>
      <c r="Q1265" s="413"/>
      <c r="R1265" s="413"/>
      <c r="S1265" s="413"/>
      <c r="T1265" s="413"/>
      <c r="U1265" s="413"/>
      <c r="V1265" s="413"/>
      <c r="W1265" s="413"/>
      <c r="X1265" s="413"/>
      <c r="Y1265" s="413"/>
      <c r="Z1265" s="413"/>
      <c r="AA1265" s="413"/>
      <c r="AB1265" s="413"/>
      <c r="AC1265" s="413"/>
      <c r="AD1265" s="413"/>
      <c r="AE1265" s="413"/>
      <c r="AF1265" s="413"/>
      <c r="AG1265" s="413"/>
      <c r="AH1265" s="414"/>
      <c r="AI1265" s="185"/>
      <c r="AJ1265" s="186"/>
      <c r="AK1265" s="185"/>
      <c r="AL1265" s="185"/>
      <c r="AM1265" s="137"/>
      <c r="BR1265" s="139"/>
      <c r="CH1265" s="139" t="e">
        <f>VLOOKUP(C1265,CJ:CK,2,FALSE)</f>
        <v>#N/A</v>
      </c>
      <c r="CK1265" s="139" t="e">
        <f>VLOOKUP(C1265,CM:CN,2,FALSE)</f>
        <v>#N/A</v>
      </c>
      <c r="EU1265" s="139" t="e">
        <f>VLOOKUP(C1265,EY:EZ,2,FALSE)</f>
        <v>#N/A</v>
      </c>
      <c r="HO1265" s="136" t="s">
        <v>1679</v>
      </c>
      <c r="HP1265" s="136">
        <v>50864.91</v>
      </c>
    </row>
    <row r="1266" spans="1:224" s="136" customFormat="1" ht="189" customHeight="1" x14ac:dyDescent="0.3">
      <c r="B1266" s="400" t="s">
        <v>1693</v>
      </c>
      <c r="C1266" s="401"/>
      <c r="D1266" s="401"/>
      <c r="E1266" s="401"/>
      <c r="F1266" s="401"/>
      <c r="G1266" s="401"/>
      <c r="H1266" s="401"/>
      <c r="I1266" s="401"/>
      <c r="J1266" s="401"/>
      <c r="K1266" s="401"/>
      <c r="L1266" s="401"/>
      <c r="M1266" s="401"/>
      <c r="N1266" s="401"/>
      <c r="O1266" s="401"/>
      <c r="P1266" s="401"/>
      <c r="Q1266" s="401"/>
      <c r="R1266" s="401"/>
      <c r="S1266" s="401"/>
      <c r="T1266" s="401"/>
      <c r="U1266" s="401"/>
      <c r="V1266" s="401"/>
      <c r="W1266" s="401"/>
      <c r="X1266" s="401"/>
      <c r="Y1266" s="401"/>
      <c r="Z1266" s="401"/>
      <c r="AA1266" s="401"/>
      <c r="AB1266" s="401"/>
      <c r="AC1266" s="401"/>
      <c r="AD1266" s="401"/>
      <c r="AE1266" s="401"/>
      <c r="AF1266" s="401"/>
      <c r="AG1266" s="401"/>
      <c r="AH1266" s="402"/>
      <c r="AI1266" s="187"/>
      <c r="AJ1266" s="188"/>
      <c r="AK1266" s="187"/>
      <c r="AL1266" s="187"/>
      <c r="AM1266" s="140"/>
      <c r="HO1266" s="136" t="s">
        <v>1680</v>
      </c>
      <c r="HP1266" s="136">
        <v>47587.5</v>
      </c>
    </row>
    <row r="1267" spans="1:224" s="136" customFormat="1" ht="76.5" x14ac:dyDescent="0.3">
      <c r="B1267" s="403" t="s">
        <v>1686</v>
      </c>
      <c r="C1267" s="404"/>
      <c r="D1267" s="189">
        <f>D1268+D1272+D1270</f>
        <v>8174681</v>
      </c>
      <c r="E1267" s="189">
        <f t="shared" ref="E1267:AE1267" si="331">E1268+E1272+E1270</f>
        <v>0</v>
      </c>
      <c r="F1267" s="189">
        <f t="shared" si="331"/>
        <v>0</v>
      </c>
      <c r="G1267" s="189">
        <f t="shared" si="331"/>
        <v>0</v>
      </c>
      <c r="H1267" s="189">
        <f t="shared" si="331"/>
        <v>0</v>
      </c>
      <c r="I1267" s="189">
        <f t="shared" si="331"/>
        <v>0</v>
      </c>
      <c r="J1267" s="189">
        <f t="shared" si="331"/>
        <v>0</v>
      </c>
      <c r="K1267" s="190">
        <f t="shared" si="331"/>
        <v>0</v>
      </c>
      <c r="L1267" s="189">
        <f t="shared" si="331"/>
        <v>0</v>
      </c>
      <c r="M1267" s="189">
        <f t="shared" si="331"/>
        <v>1998.2</v>
      </c>
      <c r="N1267" s="189">
        <f t="shared" si="331"/>
        <v>8063386.3899999997</v>
      </c>
      <c r="O1267" s="189">
        <f t="shared" si="331"/>
        <v>0</v>
      </c>
      <c r="P1267" s="189">
        <f t="shared" si="331"/>
        <v>0</v>
      </c>
      <c r="Q1267" s="189">
        <f t="shared" si="331"/>
        <v>0</v>
      </c>
      <c r="R1267" s="189">
        <f t="shared" si="331"/>
        <v>0</v>
      </c>
      <c r="S1267" s="189">
        <f t="shared" si="331"/>
        <v>0</v>
      </c>
      <c r="T1267" s="189">
        <f t="shared" si="331"/>
        <v>0</v>
      </c>
      <c r="U1267" s="189">
        <f t="shared" si="331"/>
        <v>0</v>
      </c>
      <c r="V1267" s="189">
        <f t="shared" si="331"/>
        <v>0</v>
      </c>
      <c r="W1267" s="189">
        <f t="shared" si="331"/>
        <v>0</v>
      </c>
      <c r="X1267" s="189">
        <f t="shared" si="331"/>
        <v>0</v>
      </c>
      <c r="Y1267" s="189">
        <f t="shared" si="331"/>
        <v>0</v>
      </c>
      <c r="Z1267" s="189">
        <f t="shared" si="331"/>
        <v>0</v>
      </c>
      <c r="AA1267" s="189">
        <f t="shared" si="331"/>
        <v>0</v>
      </c>
      <c r="AB1267" s="189">
        <f t="shared" si="331"/>
        <v>0</v>
      </c>
      <c r="AC1267" s="189">
        <f t="shared" si="331"/>
        <v>111294.6100000001</v>
      </c>
      <c r="AD1267" s="189">
        <f t="shared" si="331"/>
        <v>0</v>
      </c>
      <c r="AE1267" s="189">
        <f t="shared" si="331"/>
        <v>0</v>
      </c>
      <c r="AF1267" s="191" t="s">
        <v>1681</v>
      </c>
      <c r="AG1267" s="191" t="s">
        <v>1681</v>
      </c>
      <c r="AH1267" s="191" t="s">
        <v>1681</v>
      </c>
      <c r="AI1267" s="192"/>
      <c r="AJ1267" s="186"/>
      <c r="AK1267" s="192"/>
      <c r="AL1267" s="192"/>
      <c r="AM1267" s="141"/>
      <c r="HO1267" s="136" t="s">
        <v>1682</v>
      </c>
      <c r="HP1267" s="136">
        <v>53254.36</v>
      </c>
    </row>
    <row r="1268" spans="1:224" s="136" customFormat="1" ht="76.5" x14ac:dyDescent="0.85">
      <c r="B1268" s="193" t="s">
        <v>875</v>
      </c>
      <c r="C1268" s="25"/>
      <c r="D1268" s="189">
        <f t="shared" ref="D1268:AE1270" si="332">SUM(D1269:D1269)</f>
        <v>2094823</v>
      </c>
      <c r="E1268" s="189">
        <f t="shared" si="332"/>
        <v>0</v>
      </c>
      <c r="F1268" s="189">
        <f t="shared" si="332"/>
        <v>0</v>
      </c>
      <c r="G1268" s="189">
        <f t="shared" si="332"/>
        <v>0</v>
      </c>
      <c r="H1268" s="189">
        <f t="shared" si="332"/>
        <v>0</v>
      </c>
      <c r="I1268" s="189">
        <f t="shared" si="332"/>
        <v>0</v>
      </c>
      <c r="J1268" s="189">
        <f t="shared" si="332"/>
        <v>0</v>
      </c>
      <c r="K1268" s="190">
        <f t="shared" si="332"/>
        <v>0</v>
      </c>
      <c r="L1268" s="189">
        <f t="shared" si="332"/>
        <v>0</v>
      </c>
      <c r="M1268" s="189">
        <f t="shared" si="332"/>
        <v>454</v>
      </c>
      <c r="N1268" s="189">
        <f t="shared" si="332"/>
        <v>2063865.68</v>
      </c>
      <c r="O1268" s="189">
        <f t="shared" si="332"/>
        <v>0</v>
      </c>
      <c r="P1268" s="189">
        <f t="shared" si="332"/>
        <v>0</v>
      </c>
      <c r="Q1268" s="189">
        <f t="shared" si="332"/>
        <v>0</v>
      </c>
      <c r="R1268" s="189">
        <f t="shared" si="332"/>
        <v>0</v>
      </c>
      <c r="S1268" s="189">
        <f t="shared" si="332"/>
        <v>0</v>
      </c>
      <c r="T1268" s="189">
        <f t="shared" si="332"/>
        <v>0</v>
      </c>
      <c r="U1268" s="189">
        <f t="shared" si="332"/>
        <v>0</v>
      </c>
      <c r="V1268" s="189">
        <f t="shared" si="332"/>
        <v>0</v>
      </c>
      <c r="W1268" s="189">
        <f t="shared" si="332"/>
        <v>0</v>
      </c>
      <c r="X1268" s="189">
        <f t="shared" si="332"/>
        <v>0</v>
      </c>
      <c r="Y1268" s="189">
        <f t="shared" si="332"/>
        <v>0</v>
      </c>
      <c r="Z1268" s="189">
        <f t="shared" si="332"/>
        <v>0</v>
      </c>
      <c r="AA1268" s="189">
        <f t="shared" si="332"/>
        <v>0</v>
      </c>
      <c r="AB1268" s="189">
        <f t="shared" si="332"/>
        <v>0</v>
      </c>
      <c r="AC1268" s="189">
        <f t="shared" si="332"/>
        <v>30957.320000000065</v>
      </c>
      <c r="AD1268" s="189">
        <f t="shared" si="332"/>
        <v>0</v>
      </c>
      <c r="AE1268" s="189">
        <f t="shared" si="332"/>
        <v>0</v>
      </c>
      <c r="AF1268" s="191" t="s">
        <v>1681</v>
      </c>
      <c r="AG1268" s="191" t="s">
        <v>1681</v>
      </c>
      <c r="AH1268" s="191" t="s">
        <v>1681</v>
      </c>
      <c r="AI1268" s="186"/>
      <c r="AJ1268" s="188"/>
      <c r="AK1268" s="194"/>
      <c r="AL1268" s="186"/>
      <c r="AM1268" s="138"/>
      <c r="AR1268" s="142"/>
      <c r="AS1268" s="143"/>
      <c r="BF1268" s="139"/>
      <c r="BR1268" s="139"/>
      <c r="BU1268" s="143"/>
      <c r="CH1268" s="139"/>
      <c r="CK1268" s="139"/>
      <c r="EJ1268" s="144"/>
      <c r="EL1268" s="143"/>
      <c r="EU1268" s="139"/>
      <c r="FI1268" s="144"/>
      <c r="FL1268" s="145"/>
      <c r="FM1268" s="143"/>
      <c r="FV1268" s="139"/>
      <c r="GN1268" s="146"/>
      <c r="GX1268" s="139"/>
      <c r="GZ1268" s="143"/>
      <c r="HB1268" s="139"/>
      <c r="HO1268" s="136" t="s">
        <v>1683</v>
      </c>
      <c r="HP1268" s="136">
        <v>44890.35</v>
      </c>
    </row>
    <row r="1269" spans="1:224" s="136" customFormat="1" ht="63" x14ac:dyDescent="0.85">
      <c r="A1269" s="139"/>
      <c r="B1269" s="195">
        <v>1</v>
      </c>
      <c r="C1269" s="25" t="s">
        <v>1687</v>
      </c>
      <c r="D1269" s="189">
        <v>2094823</v>
      </c>
      <c r="E1269" s="196">
        <v>0</v>
      </c>
      <c r="F1269" s="197">
        <v>0</v>
      </c>
      <c r="G1269" s="197">
        <v>0</v>
      </c>
      <c r="H1269" s="197">
        <v>0</v>
      </c>
      <c r="I1269" s="197">
        <v>0</v>
      </c>
      <c r="J1269" s="197">
        <v>0</v>
      </c>
      <c r="K1269" s="190">
        <v>0</v>
      </c>
      <c r="L1269" s="197">
        <v>0</v>
      </c>
      <c r="M1269" s="197">
        <v>454</v>
      </c>
      <c r="N1269" s="197">
        <v>2063865.68</v>
      </c>
      <c r="O1269" s="197">
        <v>0</v>
      </c>
      <c r="P1269" s="197">
        <v>0</v>
      </c>
      <c r="Q1269" s="197">
        <v>0</v>
      </c>
      <c r="R1269" s="197">
        <v>0</v>
      </c>
      <c r="S1269" s="197">
        <v>0</v>
      </c>
      <c r="T1269" s="197">
        <v>0</v>
      </c>
      <c r="U1269" s="197">
        <v>0</v>
      </c>
      <c r="V1269" s="197">
        <v>0</v>
      </c>
      <c r="W1269" s="197">
        <v>0</v>
      </c>
      <c r="X1269" s="197">
        <v>0</v>
      </c>
      <c r="Y1269" s="197">
        <v>0</v>
      </c>
      <c r="Z1269" s="197">
        <v>0</v>
      </c>
      <c r="AA1269" s="197">
        <v>0</v>
      </c>
      <c r="AB1269" s="197">
        <v>0</v>
      </c>
      <c r="AC1269" s="197">
        <f>D1269-N1269</f>
        <v>30957.320000000065</v>
      </c>
      <c r="AD1269" s="197">
        <v>0</v>
      </c>
      <c r="AE1269" s="197">
        <v>0</v>
      </c>
      <c r="AF1269" s="223" t="s">
        <v>271</v>
      </c>
      <c r="AG1269" s="223">
        <v>2020</v>
      </c>
      <c r="AH1269" s="223">
        <v>2020</v>
      </c>
      <c r="AI1269" s="186"/>
      <c r="AJ1269" s="186"/>
      <c r="AK1269" s="194"/>
      <c r="AL1269" s="186"/>
      <c r="AM1269" s="138"/>
      <c r="AR1269" s="142"/>
      <c r="AS1269" s="143"/>
      <c r="BF1269" s="139"/>
      <c r="BR1269" s="139"/>
      <c r="BU1269" s="143"/>
      <c r="CH1269" s="139"/>
      <c r="CK1269" s="139"/>
      <c r="EJ1269" s="144"/>
      <c r="EL1269" s="143"/>
      <c r="EU1269" s="139"/>
      <c r="FI1269" s="144"/>
      <c r="FL1269" s="143"/>
      <c r="FM1269" s="143"/>
      <c r="FV1269" s="139"/>
      <c r="GN1269" s="146"/>
      <c r="GX1269" s="139"/>
      <c r="GZ1269" s="143"/>
      <c r="HO1269" s="136" t="s">
        <v>1684</v>
      </c>
      <c r="HP1269" s="136">
        <v>52429.26</v>
      </c>
    </row>
    <row r="1270" spans="1:224" s="136" customFormat="1" ht="76.5" x14ac:dyDescent="0.85">
      <c r="B1270" s="193" t="s">
        <v>828</v>
      </c>
      <c r="C1270" s="25"/>
      <c r="D1270" s="189">
        <f t="shared" si="332"/>
        <v>2852270</v>
      </c>
      <c r="E1270" s="189">
        <f t="shared" si="332"/>
        <v>0</v>
      </c>
      <c r="F1270" s="189">
        <f t="shared" si="332"/>
        <v>0</v>
      </c>
      <c r="G1270" s="189">
        <f t="shared" si="332"/>
        <v>0</v>
      </c>
      <c r="H1270" s="189">
        <f t="shared" si="332"/>
        <v>0</v>
      </c>
      <c r="I1270" s="189">
        <f t="shared" si="332"/>
        <v>0</v>
      </c>
      <c r="J1270" s="189">
        <f t="shared" si="332"/>
        <v>0</v>
      </c>
      <c r="K1270" s="190">
        <f t="shared" si="332"/>
        <v>0</v>
      </c>
      <c r="L1270" s="189">
        <f t="shared" si="332"/>
        <v>0</v>
      </c>
      <c r="M1270" s="189">
        <f t="shared" si="332"/>
        <v>720</v>
      </c>
      <c r="N1270" s="189">
        <f t="shared" si="332"/>
        <v>2810922.71</v>
      </c>
      <c r="O1270" s="189">
        <f t="shared" si="332"/>
        <v>0</v>
      </c>
      <c r="P1270" s="189">
        <f t="shared" si="332"/>
        <v>0</v>
      </c>
      <c r="Q1270" s="189">
        <f t="shared" si="332"/>
        <v>0</v>
      </c>
      <c r="R1270" s="189">
        <f t="shared" si="332"/>
        <v>0</v>
      </c>
      <c r="S1270" s="189">
        <f t="shared" si="332"/>
        <v>0</v>
      </c>
      <c r="T1270" s="189">
        <f t="shared" si="332"/>
        <v>0</v>
      </c>
      <c r="U1270" s="189">
        <f t="shared" si="332"/>
        <v>0</v>
      </c>
      <c r="V1270" s="189">
        <f t="shared" si="332"/>
        <v>0</v>
      </c>
      <c r="W1270" s="189">
        <f t="shared" si="332"/>
        <v>0</v>
      </c>
      <c r="X1270" s="189">
        <f t="shared" si="332"/>
        <v>0</v>
      </c>
      <c r="Y1270" s="189">
        <f t="shared" si="332"/>
        <v>0</v>
      </c>
      <c r="Z1270" s="189">
        <f t="shared" si="332"/>
        <v>0</v>
      </c>
      <c r="AA1270" s="189">
        <f t="shared" si="332"/>
        <v>0</v>
      </c>
      <c r="AB1270" s="189">
        <f t="shared" si="332"/>
        <v>0</v>
      </c>
      <c r="AC1270" s="189">
        <f t="shared" si="332"/>
        <v>41347.290000000037</v>
      </c>
      <c r="AD1270" s="189">
        <f t="shared" si="332"/>
        <v>0</v>
      </c>
      <c r="AE1270" s="189">
        <f t="shared" si="332"/>
        <v>0</v>
      </c>
      <c r="AF1270" s="191" t="s">
        <v>1681</v>
      </c>
      <c r="AG1270" s="191" t="s">
        <v>1681</v>
      </c>
      <c r="AH1270" s="191" t="s">
        <v>1681</v>
      </c>
      <c r="AI1270" s="186"/>
      <c r="AJ1270" s="188"/>
      <c r="AK1270" s="194"/>
      <c r="AL1270" s="186"/>
      <c r="AM1270" s="138"/>
      <c r="AR1270" s="142"/>
      <c r="AS1270" s="143"/>
      <c r="BF1270" s="139"/>
      <c r="BR1270" s="139"/>
      <c r="BU1270" s="143"/>
      <c r="CH1270" s="139"/>
      <c r="CK1270" s="139"/>
      <c r="EJ1270" s="144"/>
      <c r="EL1270" s="143"/>
      <c r="EU1270" s="139"/>
      <c r="FI1270" s="144"/>
      <c r="FL1270" s="145"/>
      <c r="FM1270" s="143"/>
      <c r="FV1270" s="139"/>
      <c r="GN1270" s="146"/>
      <c r="GX1270" s="139"/>
      <c r="GZ1270" s="143"/>
      <c r="HB1270" s="139"/>
      <c r="HO1270" s="136" t="s">
        <v>1683</v>
      </c>
      <c r="HP1270" s="136">
        <v>44890.35</v>
      </c>
    </row>
    <row r="1271" spans="1:224" s="148" customFormat="1" ht="76.5" customHeight="1" x14ac:dyDescent="0.85">
      <c r="A1271" s="139"/>
      <c r="B1271" s="195">
        <v>2</v>
      </c>
      <c r="C1271" s="156" t="s">
        <v>1712</v>
      </c>
      <c r="D1271" s="197">
        <v>2852270</v>
      </c>
      <c r="E1271" s="196">
        <v>0</v>
      </c>
      <c r="F1271" s="197">
        <v>0</v>
      </c>
      <c r="G1271" s="197">
        <v>0</v>
      </c>
      <c r="H1271" s="197">
        <v>0</v>
      </c>
      <c r="I1271" s="197">
        <v>0</v>
      </c>
      <c r="J1271" s="197">
        <v>0</v>
      </c>
      <c r="K1271" s="190">
        <v>0</v>
      </c>
      <c r="L1271" s="197">
        <v>0</v>
      </c>
      <c r="M1271" s="197">
        <v>720</v>
      </c>
      <c r="N1271" s="197">
        <v>2810922.71</v>
      </c>
      <c r="O1271" s="197">
        <v>0</v>
      </c>
      <c r="P1271" s="197">
        <v>0</v>
      </c>
      <c r="Q1271" s="197">
        <v>0</v>
      </c>
      <c r="R1271" s="197">
        <v>0</v>
      </c>
      <c r="S1271" s="197">
        <v>0</v>
      </c>
      <c r="T1271" s="197">
        <v>0</v>
      </c>
      <c r="U1271" s="197">
        <v>0</v>
      </c>
      <c r="V1271" s="197">
        <v>0</v>
      </c>
      <c r="W1271" s="197">
        <v>0</v>
      </c>
      <c r="X1271" s="197">
        <v>0</v>
      </c>
      <c r="Y1271" s="197">
        <v>0</v>
      </c>
      <c r="Z1271" s="197">
        <v>0</v>
      </c>
      <c r="AA1271" s="197">
        <v>0</v>
      </c>
      <c r="AB1271" s="197">
        <v>0</v>
      </c>
      <c r="AC1271" s="197">
        <f>2852270-N1271</f>
        <v>41347.290000000037</v>
      </c>
      <c r="AD1271" s="197">
        <v>0</v>
      </c>
      <c r="AE1271" s="197">
        <v>0</v>
      </c>
      <c r="AF1271" s="223" t="s">
        <v>271</v>
      </c>
      <c r="AG1271" s="223">
        <v>2020</v>
      </c>
      <c r="AH1271" s="223">
        <v>2020</v>
      </c>
      <c r="AI1271" s="186"/>
      <c r="AJ1271" s="186"/>
      <c r="AK1271" s="194"/>
      <c r="AL1271" s="186"/>
      <c r="AM1271" s="138"/>
      <c r="AR1271" s="147"/>
      <c r="AS1271" s="143"/>
      <c r="BF1271" s="139"/>
      <c r="BR1271" s="139"/>
      <c r="BU1271" s="143"/>
      <c r="CH1271" s="139"/>
      <c r="CK1271" s="139"/>
      <c r="EJ1271" s="144"/>
      <c r="EL1271" s="143"/>
      <c r="EU1271" s="139"/>
      <c r="FI1271" s="144"/>
      <c r="FL1271" s="143"/>
      <c r="FM1271" s="143"/>
      <c r="FV1271" s="139"/>
      <c r="GN1271" s="146"/>
      <c r="GX1271" s="139"/>
      <c r="GZ1271" s="143"/>
      <c r="HO1271" s="148" t="s">
        <v>1684</v>
      </c>
      <c r="HP1271" s="148">
        <v>52429.26</v>
      </c>
    </row>
    <row r="1272" spans="1:224" s="136" customFormat="1" ht="76.5" x14ac:dyDescent="0.85">
      <c r="B1272" s="193" t="s">
        <v>899</v>
      </c>
      <c r="C1272" s="25"/>
      <c r="D1272" s="189">
        <f t="shared" ref="D1272:AE1272" si="333">SUM(D1273:D1273)</f>
        <v>3227588</v>
      </c>
      <c r="E1272" s="189">
        <f t="shared" si="333"/>
        <v>0</v>
      </c>
      <c r="F1272" s="189">
        <f t="shared" si="333"/>
        <v>0</v>
      </c>
      <c r="G1272" s="189">
        <f t="shared" si="333"/>
        <v>0</v>
      </c>
      <c r="H1272" s="189">
        <f t="shared" si="333"/>
        <v>0</v>
      </c>
      <c r="I1272" s="189">
        <f t="shared" si="333"/>
        <v>0</v>
      </c>
      <c r="J1272" s="189">
        <f t="shared" si="333"/>
        <v>0</v>
      </c>
      <c r="K1272" s="190">
        <f t="shared" si="333"/>
        <v>0</v>
      </c>
      <c r="L1272" s="189">
        <f t="shared" si="333"/>
        <v>0</v>
      </c>
      <c r="M1272" s="189">
        <f t="shared" si="333"/>
        <v>824.2</v>
      </c>
      <c r="N1272" s="189">
        <f t="shared" si="333"/>
        <v>3188598</v>
      </c>
      <c r="O1272" s="189">
        <f t="shared" si="333"/>
        <v>0</v>
      </c>
      <c r="P1272" s="189">
        <f t="shared" si="333"/>
        <v>0</v>
      </c>
      <c r="Q1272" s="189">
        <f t="shared" si="333"/>
        <v>0</v>
      </c>
      <c r="R1272" s="189">
        <f t="shared" si="333"/>
        <v>0</v>
      </c>
      <c r="S1272" s="189">
        <f t="shared" si="333"/>
        <v>0</v>
      </c>
      <c r="T1272" s="189">
        <f t="shared" si="333"/>
        <v>0</v>
      </c>
      <c r="U1272" s="189">
        <f t="shared" si="333"/>
        <v>0</v>
      </c>
      <c r="V1272" s="189">
        <f t="shared" si="333"/>
        <v>0</v>
      </c>
      <c r="W1272" s="189">
        <f t="shared" si="333"/>
        <v>0</v>
      </c>
      <c r="X1272" s="189">
        <f t="shared" si="333"/>
        <v>0</v>
      </c>
      <c r="Y1272" s="189">
        <f t="shared" si="333"/>
        <v>0</v>
      </c>
      <c r="Z1272" s="189">
        <f t="shared" si="333"/>
        <v>0</v>
      </c>
      <c r="AA1272" s="189">
        <f t="shared" si="333"/>
        <v>0</v>
      </c>
      <c r="AB1272" s="189">
        <f t="shared" si="333"/>
        <v>0</v>
      </c>
      <c r="AC1272" s="197">
        <f t="shared" si="333"/>
        <v>38990</v>
      </c>
      <c r="AD1272" s="189">
        <f t="shared" si="333"/>
        <v>0</v>
      </c>
      <c r="AE1272" s="189">
        <f t="shared" si="333"/>
        <v>0</v>
      </c>
      <c r="AF1272" s="191" t="s">
        <v>1681</v>
      </c>
      <c r="AG1272" s="191" t="s">
        <v>1681</v>
      </c>
      <c r="AH1272" s="191" t="s">
        <v>1681</v>
      </c>
      <c r="AI1272" s="186"/>
      <c r="AJ1272" s="188"/>
      <c r="AK1272" s="194"/>
      <c r="AL1272" s="186"/>
      <c r="AM1272" s="138"/>
      <c r="AR1272" s="142"/>
      <c r="AS1272" s="143"/>
      <c r="BF1272" s="139"/>
      <c r="BR1272" s="139"/>
      <c r="BU1272" s="143"/>
      <c r="CH1272" s="139"/>
      <c r="CK1272" s="139"/>
      <c r="EJ1272" s="144"/>
      <c r="EL1272" s="143"/>
      <c r="EU1272" s="139"/>
      <c r="FI1272" s="144"/>
      <c r="FL1272" s="145"/>
      <c r="FM1272" s="143"/>
      <c r="FV1272" s="139"/>
      <c r="GN1272" s="146"/>
      <c r="GX1272" s="139"/>
      <c r="GZ1272" s="143"/>
      <c r="HB1272" s="139"/>
      <c r="HO1272" s="136" t="s">
        <v>1683</v>
      </c>
      <c r="HP1272" s="136">
        <v>44890.35</v>
      </c>
    </row>
    <row r="1273" spans="1:224" s="148" customFormat="1" ht="76.5" customHeight="1" x14ac:dyDescent="0.85">
      <c r="A1273" s="139"/>
      <c r="B1273" s="195">
        <v>3</v>
      </c>
      <c r="C1273" s="156" t="s">
        <v>3</v>
      </c>
      <c r="D1273" s="197">
        <v>3227588</v>
      </c>
      <c r="E1273" s="196">
        <v>0</v>
      </c>
      <c r="F1273" s="197">
        <v>0</v>
      </c>
      <c r="G1273" s="197">
        <v>0</v>
      </c>
      <c r="H1273" s="197">
        <v>0</v>
      </c>
      <c r="I1273" s="197">
        <v>0</v>
      </c>
      <c r="J1273" s="197">
        <v>0</v>
      </c>
      <c r="K1273" s="190">
        <v>0</v>
      </c>
      <c r="L1273" s="197">
        <v>0</v>
      </c>
      <c r="M1273" s="197">
        <v>824.2</v>
      </c>
      <c r="N1273" s="197">
        <v>3188598</v>
      </c>
      <c r="O1273" s="197">
        <v>0</v>
      </c>
      <c r="P1273" s="197">
        <v>0</v>
      </c>
      <c r="Q1273" s="197">
        <v>0</v>
      </c>
      <c r="R1273" s="197">
        <v>0</v>
      </c>
      <c r="S1273" s="197">
        <v>0</v>
      </c>
      <c r="T1273" s="197">
        <v>0</v>
      </c>
      <c r="U1273" s="197">
        <v>0</v>
      </c>
      <c r="V1273" s="197">
        <v>0</v>
      </c>
      <c r="W1273" s="197">
        <v>0</v>
      </c>
      <c r="X1273" s="197">
        <v>0</v>
      </c>
      <c r="Y1273" s="197">
        <v>0</v>
      </c>
      <c r="Z1273" s="197">
        <v>0</v>
      </c>
      <c r="AA1273" s="197">
        <v>0</v>
      </c>
      <c r="AB1273" s="197">
        <v>0</v>
      </c>
      <c r="AC1273" s="197">
        <f>D1273-N1273</f>
        <v>38990</v>
      </c>
      <c r="AD1273" s="197">
        <v>0</v>
      </c>
      <c r="AE1273" s="197">
        <v>0</v>
      </c>
      <c r="AF1273" s="223" t="s">
        <v>271</v>
      </c>
      <c r="AG1273" s="223">
        <v>2020</v>
      </c>
      <c r="AH1273" s="223">
        <v>2020</v>
      </c>
      <c r="AI1273" s="186"/>
      <c r="AJ1273" s="186"/>
      <c r="AK1273" s="194"/>
      <c r="AL1273" s="186"/>
      <c r="AM1273" s="138"/>
      <c r="AR1273" s="147"/>
      <c r="AS1273" s="143"/>
      <c r="BF1273" s="139"/>
      <c r="BR1273" s="139"/>
      <c r="BU1273" s="143"/>
      <c r="CH1273" s="139"/>
      <c r="CK1273" s="139"/>
      <c r="EJ1273" s="144"/>
      <c r="EL1273" s="143"/>
      <c r="EU1273" s="139"/>
      <c r="FI1273" s="144"/>
      <c r="FL1273" s="143"/>
      <c r="FM1273" s="143"/>
      <c r="FV1273" s="139"/>
      <c r="GN1273" s="146"/>
      <c r="GX1273" s="139"/>
      <c r="GZ1273" s="143"/>
      <c r="HO1273" s="148" t="s">
        <v>1684</v>
      </c>
      <c r="HP1273" s="148">
        <v>52429.26</v>
      </c>
    </row>
    <row r="1274" spans="1:224" s="136" customFormat="1" ht="189" customHeight="1" x14ac:dyDescent="0.3">
      <c r="B1274" s="400" t="s">
        <v>1937</v>
      </c>
      <c r="C1274" s="401"/>
      <c r="D1274" s="401"/>
      <c r="E1274" s="401"/>
      <c r="F1274" s="401"/>
      <c r="G1274" s="401"/>
      <c r="H1274" s="401"/>
      <c r="I1274" s="401"/>
      <c r="J1274" s="401"/>
      <c r="K1274" s="401"/>
      <c r="L1274" s="401"/>
      <c r="M1274" s="401"/>
      <c r="N1274" s="401"/>
      <c r="O1274" s="401"/>
      <c r="P1274" s="401"/>
      <c r="Q1274" s="401"/>
      <c r="R1274" s="401"/>
      <c r="S1274" s="401"/>
      <c r="T1274" s="401"/>
      <c r="U1274" s="401"/>
      <c r="V1274" s="401"/>
      <c r="W1274" s="401"/>
      <c r="X1274" s="401"/>
      <c r="Y1274" s="401"/>
      <c r="Z1274" s="401"/>
      <c r="AA1274" s="401"/>
      <c r="AB1274" s="401"/>
      <c r="AC1274" s="401"/>
      <c r="AD1274" s="401"/>
      <c r="AE1274" s="401"/>
      <c r="AF1274" s="401"/>
      <c r="AG1274" s="401"/>
      <c r="AH1274" s="402"/>
      <c r="AI1274" s="187"/>
      <c r="AJ1274" s="188"/>
      <c r="AK1274" s="187"/>
      <c r="AL1274" s="187"/>
      <c r="AM1274" s="140"/>
      <c r="HO1274" s="136" t="s">
        <v>1680</v>
      </c>
      <c r="HP1274" s="136">
        <v>47587.5</v>
      </c>
    </row>
    <row r="1275" spans="1:224" s="136" customFormat="1" ht="76.5" x14ac:dyDescent="0.3">
      <c r="B1275" s="403" t="s">
        <v>1686</v>
      </c>
      <c r="C1275" s="404"/>
      <c r="D1275" s="197">
        <f>D1276+D1280</f>
        <v>15488140.189999998</v>
      </c>
      <c r="E1275" s="189">
        <f t="shared" ref="E1275:AE1275" si="334">E1276+E1280</f>
        <v>0</v>
      </c>
      <c r="F1275" s="189">
        <f t="shared" si="334"/>
        <v>0</v>
      </c>
      <c r="G1275" s="189">
        <f t="shared" si="334"/>
        <v>994637</v>
      </c>
      <c r="H1275" s="189">
        <f t="shared" si="334"/>
        <v>0</v>
      </c>
      <c r="I1275" s="189">
        <f t="shared" si="334"/>
        <v>1224682</v>
      </c>
      <c r="J1275" s="189">
        <f t="shared" si="334"/>
        <v>0</v>
      </c>
      <c r="K1275" s="190">
        <f t="shared" si="334"/>
        <v>0</v>
      </c>
      <c r="L1275" s="189">
        <f t="shared" si="334"/>
        <v>0</v>
      </c>
      <c r="M1275" s="189">
        <f t="shared" si="334"/>
        <v>4113.5200000000004</v>
      </c>
      <c r="N1275" s="189">
        <f t="shared" si="334"/>
        <v>13039932.41</v>
      </c>
      <c r="O1275" s="189">
        <f t="shared" si="334"/>
        <v>0</v>
      </c>
      <c r="P1275" s="189">
        <f t="shared" si="334"/>
        <v>0</v>
      </c>
      <c r="Q1275" s="189">
        <f t="shared" si="334"/>
        <v>0</v>
      </c>
      <c r="R1275" s="189">
        <f t="shared" si="334"/>
        <v>0</v>
      </c>
      <c r="S1275" s="189">
        <f t="shared" si="334"/>
        <v>0</v>
      </c>
      <c r="T1275" s="189">
        <f t="shared" si="334"/>
        <v>0</v>
      </c>
      <c r="U1275" s="189">
        <f t="shared" si="334"/>
        <v>0</v>
      </c>
      <c r="V1275" s="189">
        <f t="shared" si="334"/>
        <v>0</v>
      </c>
      <c r="W1275" s="189">
        <f t="shared" si="334"/>
        <v>0</v>
      </c>
      <c r="X1275" s="189">
        <f t="shared" si="334"/>
        <v>0</v>
      </c>
      <c r="Y1275" s="189">
        <f t="shared" si="334"/>
        <v>0</v>
      </c>
      <c r="Z1275" s="189">
        <f t="shared" si="334"/>
        <v>0</v>
      </c>
      <c r="AA1275" s="189">
        <f t="shared" si="334"/>
        <v>0</v>
      </c>
      <c r="AB1275" s="189">
        <f t="shared" si="334"/>
        <v>0</v>
      </c>
      <c r="AC1275" s="197">
        <f t="shared" si="334"/>
        <v>228888.78</v>
      </c>
      <c r="AD1275" s="189">
        <f t="shared" si="334"/>
        <v>0</v>
      </c>
      <c r="AE1275" s="189">
        <f t="shared" si="334"/>
        <v>0</v>
      </c>
      <c r="AF1275" s="191" t="s">
        <v>1681</v>
      </c>
      <c r="AG1275" s="191" t="s">
        <v>1681</v>
      </c>
      <c r="AH1275" s="191" t="s">
        <v>1681</v>
      </c>
      <c r="AI1275" s="192"/>
      <c r="AJ1275" s="186"/>
      <c r="AK1275" s="192"/>
      <c r="AL1275" s="192"/>
      <c r="AM1275" s="141"/>
      <c r="HO1275" s="136" t="s">
        <v>1682</v>
      </c>
      <c r="HP1275" s="136">
        <v>53254.36</v>
      </c>
    </row>
    <row r="1276" spans="1:224" s="136" customFormat="1" ht="76.5" x14ac:dyDescent="0.85">
      <c r="B1276" s="193" t="s">
        <v>851</v>
      </c>
      <c r="C1276" s="25"/>
      <c r="D1276" s="197">
        <f>SUM(D1277:D1279)</f>
        <v>13655036.579999998</v>
      </c>
      <c r="E1276" s="189">
        <f t="shared" ref="E1276:AE1276" si="335">SUM(E1277:E1279)</f>
        <v>0</v>
      </c>
      <c r="F1276" s="189">
        <f t="shared" si="335"/>
        <v>0</v>
      </c>
      <c r="G1276" s="189">
        <f t="shared" si="335"/>
        <v>994637</v>
      </c>
      <c r="H1276" s="189">
        <f t="shared" si="335"/>
        <v>0</v>
      </c>
      <c r="I1276" s="189">
        <f t="shared" si="335"/>
        <v>1224682</v>
      </c>
      <c r="J1276" s="189">
        <f t="shared" si="335"/>
        <v>0</v>
      </c>
      <c r="K1276" s="190">
        <f t="shared" si="335"/>
        <v>0</v>
      </c>
      <c r="L1276" s="189">
        <f t="shared" si="335"/>
        <v>0</v>
      </c>
      <c r="M1276" s="189">
        <f t="shared" si="335"/>
        <v>3422.42</v>
      </c>
      <c r="N1276" s="189">
        <f t="shared" si="335"/>
        <v>11233919</v>
      </c>
      <c r="O1276" s="189">
        <f t="shared" si="335"/>
        <v>0</v>
      </c>
      <c r="P1276" s="189">
        <f t="shared" si="335"/>
        <v>0</v>
      </c>
      <c r="Q1276" s="189">
        <f t="shared" si="335"/>
        <v>0</v>
      </c>
      <c r="R1276" s="189">
        <f t="shared" si="335"/>
        <v>0</v>
      </c>
      <c r="S1276" s="189">
        <f t="shared" si="335"/>
        <v>0</v>
      </c>
      <c r="T1276" s="189">
        <f t="shared" si="335"/>
        <v>0</v>
      </c>
      <c r="U1276" s="189">
        <f t="shared" si="335"/>
        <v>0</v>
      </c>
      <c r="V1276" s="189">
        <f t="shared" si="335"/>
        <v>0</v>
      </c>
      <c r="W1276" s="189">
        <f t="shared" si="335"/>
        <v>0</v>
      </c>
      <c r="X1276" s="189">
        <f t="shared" si="335"/>
        <v>0</v>
      </c>
      <c r="Y1276" s="189">
        <f t="shared" si="335"/>
        <v>0</v>
      </c>
      <c r="Z1276" s="189">
        <f t="shared" si="335"/>
        <v>0</v>
      </c>
      <c r="AA1276" s="189">
        <f t="shared" si="335"/>
        <v>0</v>
      </c>
      <c r="AB1276" s="189">
        <f t="shared" si="335"/>
        <v>0</v>
      </c>
      <c r="AC1276" s="197">
        <f t="shared" si="335"/>
        <v>201798.58</v>
      </c>
      <c r="AD1276" s="189">
        <f t="shared" si="335"/>
        <v>0</v>
      </c>
      <c r="AE1276" s="189">
        <f t="shared" si="335"/>
        <v>0</v>
      </c>
      <c r="AF1276" s="191" t="s">
        <v>1681</v>
      </c>
      <c r="AG1276" s="191" t="s">
        <v>1681</v>
      </c>
      <c r="AH1276" s="191" t="s">
        <v>1681</v>
      </c>
      <c r="AI1276" s="186"/>
      <c r="AJ1276" s="188"/>
      <c r="AK1276" s="194"/>
      <c r="AL1276" s="186"/>
      <c r="AM1276" s="138"/>
      <c r="AR1276" s="142"/>
      <c r="AS1276" s="143"/>
      <c r="BF1276" s="139"/>
      <c r="BR1276" s="139"/>
      <c r="BU1276" s="143"/>
      <c r="CH1276" s="139"/>
      <c r="CK1276" s="139"/>
      <c r="EJ1276" s="144"/>
      <c r="EL1276" s="143"/>
      <c r="EU1276" s="139"/>
      <c r="FI1276" s="144"/>
      <c r="FL1276" s="145"/>
      <c r="FM1276" s="143"/>
      <c r="FV1276" s="139"/>
      <c r="GN1276" s="146"/>
      <c r="GX1276" s="139"/>
      <c r="GZ1276" s="143"/>
      <c r="HB1276" s="139"/>
      <c r="HO1276" s="136" t="s">
        <v>1683</v>
      </c>
      <c r="HP1276" s="136">
        <v>44890.35</v>
      </c>
    </row>
    <row r="1277" spans="1:224" s="136" customFormat="1" ht="63" x14ac:dyDescent="0.85">
      <c r="A1277" s="139"/>
      <c r="B1277" s="195">
        <v>1</v>
      </c>
      <c r="C1277" s="25" t="s">
        <v>1903</v>
      </c>
      <c r="D1277" s="197">
        <f>E1277+F1277+G1277+H1277+I1277+J1277+L1277+N1277+P1277+R1277+T1277+U1277+V1277+W1277+X1277+Y1277+Z1277+AA1277+AB1277+AC1277+AD1277+AE1277</f>
        <v>4228150.99</v>
      </c>
      <c r="E1277" s="196">
        <v>0</v>
      </c>
      <c r="F1277" s="197">
        <v>0</v>
      </c>
      <c r="G1277" s="197">
        <v>0</v>
      </c>
      <c r="H1277" s="197">
        <v>0</v>
      </c>
      <c r="I1277" s="197">
        <v>0</v>
      </c>
      <c r="J1277" s="197">
        <v>0</v>
      </c>
      <c r="K1277" s="190">
        <v>0</v>
      </c>
      <c r="L1277" s="197">
        <v>0</v>
      </c>
      <c r="M1277" s="197">
        <v>1122.67</v>
      </c>
      <c r="N1277" s="197">
        <v>4165666</v>
      </c>
      <c r="O1277" s="197">
        <v>0</v>
      </c>
      <c r="P1277" s="197">
        <v>0</v>
      </c>
      <c r="Q1277" s="197">
        <v>0</v>
      </c>
      <c r="R1277" s="197">
        <v>0</v>
      </c>
      <c r="S1277" s="197">
        <v>0</v>
      </c>
      <c r="T1277" s="197">
        <v>0</v>
      </c>
      <c r="U1277" s="197">
        <v>0</v>
      </c>
      <c r="V1277" s="197">
        <v>0</v>
      </c>
      <c r="W1277" s="197">
        <v>0</v>
      </c>
      <c r="X1277" s="197">
        <v>0</v>
      </c>
      <c r="Y1277" s="197">
        <v>0</v>
      </c>
      <c r="Z1277" s="197">
        <v>0</v>
      </c>
      <c r="AA1277" s="197">
        <v>0</v>
      </c>
      <c r="AB1277" s="197">
        <v>0</v>
      </c>
      <c r="AC1277" s="197">
        <f>ROUND((N1277+R1277)*1.5%,2)</f>
        <v>62484.99</v>
      </c>
      <c r="AD1277" s="197">
        <v>0</v>
      </c>
      <c r="AE1277" s="197">
        <v>0</v>
      </c>
      <c r="AF1277" s="223" t="s">
        <v>271</v>
      </c>
      <c r="AG1277" s="223">
        <v>2020</v>
      </c>
      <c r="AH1277" s="223">
        <v>2020</v>
      </c>
      <c r="AI1277" s="186"/>
      <c r="AJ1277" s="186"/>
      <c r="AK1277" s="194"/>
      <c r="AL1277" s="186"/>
      <c r="AM1277" s="138"/>
      <c r="AR1277" s="142"/>
      <c r="AS1277" s="143"/>
      <c r="BF1277" s="139"/>
      <c r="BR1277" s="139"/>
      <c r="BU1277" s="143"/>
      <c r="CH1277" s="139"/>
      <c r="CK1277" s="139"/>
      <c r="EJ1277" s="144"/>
      <c r="EL1277" s="143"/>
      <c r="EU1277" s="139"/>
      <c r="FI1277" s="144"/>
      <c r="FL1277" s="143"/>
      <c r="FM1277" s="143"/>
      <c r="FV1277" s="139"/>
      <c r="GN1277" s="146"/>
      <c r="GX1277" s="139"/>
      <c r="GZ1277" s="143"/>
      <c r="HO1277" s="136" t="s">
        <v>1684</v>
      </c>
      <c r="HP1277" s="136">
        <v>52429.26</v>
      </c>
    </row>
    <row r="1278" spans="1:224" s="136" customFormat="1" ht="63" x14ac:dyDescent="0.85">
      <c r="A1278" s="139"/>
      <c r="B1278" s="195">
        <v>2</v>
      </c>
      <c r="C1278" s="25" t="s">
        <v>1906</v>
      </c>
      <c r="D1278" s="197">
        <f>E1278+F1278+G1278+H1278+I1278+J1278+L1278+N1278+P1278+R1278+T1278+U1278+V1278+W1278+X1278+Y1278+Z1278+AA1278+AB1278+AC1278+AD1278+AE1278</f>
        <v>2813818.53</v>
      </c>
      <c r="E1278" s="196">
        <v>0</v>
      </c>
      <c r="F1278" s="197">
        <v>0</v>
      </c>
      <c r="G1278" s="197">
        <v>0</v>
      </c>
      <c r="H1278" s="197">
        <v>0</v>
      </c>
      <c r="I1278" s="197">
        <v>0</v>
      </c>
      <c r="J1278" s="197">
        <v>0</v>
      </c>
      <c r="K1278" s="190">
        <v>0</v>
      </c>
      <c r="L1278" s="197">
        <v>0</v>
      </c>
      <c r="M1278" s="197">
        <v>750</v>
      </c>
      <c r="N1278" s="197">
        <v>2772235</v>
      </c>
      <c r="O1278" s="197">
        <v>0</v>
      </c>
      <c r="P1278" s="197">
        <v>0</v>
      </c>
      <c r="Q1278" s="197">
        <v>0</v>
      </c>
      <c r="R1278" s="197">
        <v>0</v>
      </c>
      <c r="S1278" s="197">
        <v>0</v>
      </c>
      <c r="T1278" s="197">
        <v>0</v>
      </c>
      <c r="U1278" s="197">
        <v>0</v>
      </c>
      <c r="V1278" s="197">
        <v>0</v>
      </c>
      <c r="W1278" s="197">
        <v>0</v>
      </c>
      <c r="X1278" s="197">
        <v>0</v>
      </c>
      <c r="Y1278" s="197">
        <v>0</v>
      </c>
      <c r="Z1278" s="197">
        <v>0</v>
      </c>
      <c r="AA1278" s="197">
        <v>0</v>
      </c>
      <c r="AB1278" s="197">
        <v>0</v>
      </c>
      <c r="AC1278" s="197">
        <f>ROUND((N1278+R1278)*1.5%,2)</f>
        <v>41583.53</v>
      </c>
      <c r="AD1278" s="197">
        <v>0</v>
      </c>
      <c r="AE1278" s="197">
        <v>0</v>
      </c>
      <c r="AF1278" s="223" t="s">
        <v>271</v>
      </c>
      <c r="AG1278" s="223">
        <v>2020</v>
      </c>
      <c r="AH1278" s="223">
        <v>2020</v>
      </c>
      <c r="AI1278" s="186"/>
      <c r="AJ1278" s="186"/>
      <c r="AK1278" s="194"/>
      <c r="AL1278" s="186"/>
      <c r="AM1278" s="138"/>
      <c r="AR1278" s="142"/>
      <c r="AS1278" s="143"/>
      <c r="BF1278" s="139"/>
      <c r="BR1278" s="139"/>
      <c r="BU1278" s="143"/>
      <c r="CH1278" s="139"/>
      <c r="CK1278" s="139"/>
      <c r="EJ1278" s="144"/>
      <c r="EL1278" s="143"/>
      <c r="EU1278" s="139"/>
      <c r="FI1278" s="144"/>
      <c r="FL1278" s="143"/>
      <c r="FM1278" s="143"/>
      <c r="FV1278" s="139"/>
      <c r="GN1278" s="146"/>
      <c r="GX1278" s="139"/>
      <c r="GZ1278" s="143"/>
      <c r="HO1278" s="136" t="s">
        <v>1684</v>
      </c>
      <c r="HP1278" s="136">
        <v>52429.26</v>
      </c>
    </row>
    <row r="1279" spans="1:224" s="136" customFormat="1" ht="63" x14ac:dyDescent="0.85">
      <c r="A1279" s="139"/>
      <c r="B1279" s="195">
        <v>3</v>
      </c>
      <c r="C1279" s="25" t="s">
        <v>1907</v>
      </c>
      <c r="D1279" s="197">
        <f>E1279+F1279+G1279+H1279+I1279+J1279+L1279+N1279+P1279+R1279+T1279+U1279+V1279+W1279+X1279+Y1279+Z1279+AA1279+AB1279+AC1279+AD1279+AE1279</f>
        <v>6613067.0599999996</v>
      </c>
      <c r="E1279" s="196">
        <v>0</v>
      </c>
      <c r="F1279" s="197">
        <v>0</v>
      </c>
      <c r="G1279" s="197">
        <v>994637</v>
      </c>
      <c r="H1279" s="197">
        <v>0</v>
      </c>
      <c r="I1279" s="197">
        <v>1224682</v>
      </c>
      <c r="J1279" s="197">
        <v>0</v>
      </c>
      <c r="K1279" s="190">
        <v>0</v>
      </c>
      <c r="L1279" s="197">
        <v>0</v>
      </c>
      <c r="M1279" s="197">
        <v>1549.75</v>
      </c>
      <c r="N1279" s="197">
        <v>4296018</v>
      </c>
      <c r="O1279" s="197">
        <v>0</v>
      </c>
      <c r="P1279" s="197">
        <v>0</v>
      </c>
      <c r="Q1279" s="197">
        <v>0</v>
      </c>
      <c r="R1279" s="197">
        <v>0</v>
      </c>
      <c r="S1279" s="197">
        <v>0</v>
      </c>
      <c r="T1279" s="197">
        <v>0</v>
      </c>
      <c r="U1279" s="197">
        <v>0</v>
      </c>
      <c r="V1279" s="197">
        <v>0</v>
      </c>
      <c r="W1279" s="197">
        <v>0</v>
      </c>
      <c r="X1279" s="197">
        <v>0</v>
      </c>
      <c r="Y1279" s="197">
        <v>0</v>
      </c>
      <c r="Z1279" s="197">
        <v>0</v>
      </c>
      <c r="AA1279" s="197">
        <v>0</v>
      </c>
      <c r="AB1279" s="197">
        <v>0</v>
      </c>
      <c r="AC1279" s="197">
        <f>ROUND((N1279+R1279+I1279+G1279)*1.5%,2)</f>
        <v>97730.06</v>
      </c>
      <c r="AD1279" s="197">
        <v>0</v>
      </c>
      <c r="AE1279" s="197">
        <v>0</v>
      </c>
      <c r="AF1279" s="223" t="s">
        <v>271</v>
      </c>
      <c r="AG1279" s="223">
        <v>2020</v>
      </c>
      <c r="AH1279" s="223">
        <v>2020</v>
      </c>
      <c r="AI1279" s="186"/>
      <c r="AJ1279" s="186"/>
      <c r="AK1279" s="194"/>
      <c r="AL1279" s="186"/>
      <c r="AM1279" s="138"/>
      <c r="AR1279" s="142"/>
      <c r="AS1279" s="143"/>
      <c r="BF1279" s="139"/>
      <c r="BR1279" s="139"/>
      <c r="BU1279" s="143"/>
      <c r="CH1279" s="139"/>
      <c r="CK1279" s="139"/>
      <c r="EJ1279" s="144"/>
      <c r="EL1279" s="143"/>
      <c r="EU1279" s="139"/>
      <c r="FI1279" s="144"/>
      <c r="FL1279" s="143"/>
      <c r="FM1279" s="143"/>
      <c r="FV1279" s="139"/>
      <c r="GN1279" s="146"/>
      <c r="GX1279" s="139"/>
      <c r="GZ1279" s="143"/>
      <c r="HO1279" s="136" t="s">
        <v>1684</v>
      </c>
      <c r="HP1279" s="136">
        <v>52429.26</v>
      </c>
    </row>
    <row r="1280" spans="1:224" s="136" customFormat="1" ht="76.5" x14ac:dyDescent="0.85">
      <c r="B1280" s="193" t="s">
        <v>850</v>
      </c>
      <c r="C1280" s="25"/>
      <c r="D1280" s="197">
        <f t="shared" ref="D1280:AE1280" si="336">SUM(D1281:D1281)</f>
        <v>1833103.6099999999</v>
      </c>
      <c r="E1280" s="189">
        <f t="shared" si="336"/>
        <v>0</v>
      </c>
      <c r="F1280" s="189">
        <f t="shared" si="336"/>
        <v>0</v>
      </c>
      <c r="G1280" s="189">
        <f t="shared" si="336"/>
        <v>0</v>
      </c>
      <c r="H1280" s="189">
        <f t="shared" si="336"/>
        <v>0</v>
      </c>
      <c r="I1280" s="189">
        <f t="shared" si="336"/>
        <v>0</v>
      </c>
      <c r="J1280" s="189">
        <f t="shared" si="336"/>
        <v>0</v>
      </c>
      <c r="K1280" s="190">
        <f t="shared" si="336"/>
        <v>0</v>
      </c>
      <c r="L1280" s="189">
        <f t="shared" si="336"/>
        <v>0</v>
      </c>
      <c r="M1280" s="189">
        <f t="shared" si="336"/>
        <v>691.1</v>
      </c>
      <c r="N1280" s="189">
        <f t="shared" si="336"/>
        <v>1806013.41</v>
      </c>
      <c r="O1280" s="189">
        <f t="shared" si="336"/>
        <v>0</v>
      </c>
      <c r="P1280" s="189">
        <f t="shared" si="336"/>
        <v>0</v>
      </c>
      <c r="Q1280" s="189">
        <f t="shared" si="336"/>
        <v>0</v>
      </c>
      <c r="R1280" s="189">
        <f t="shared" si="336"/>
        <v>0</v>
      </c>
      <c r="S1280" s="189">
        <f t="shared" si="336"/>
        <v>0</v>
      </c>
      <c r="T1280" s="189">
        <f t="shared" si="336"/>
        <v>0</v>
      </c>
      <c r="U1280" s="189">
        <f t="shared" si="336"/>
        <v>0</v>
      </c>
      <c r="V1280" s="189">
        <f t="shared" si="336"/>
        <v>0</v>
      </c>
      <c r="W1280" s="189">
        <f t="shared" si="336"/>
        <v>0</v>
      </c>
      <c r="X1280" s="189">
        <f t="shared" si="336"/>
        <v>0</v>
      </c>
      <c r="Y1280" s="189">
        <f t="shared" si="336"/>
        <v>0</v>
      </c>
      <c r="Z1280" s="189">
        <f t="shared" si="336"/>
        <v>0</v>
      </c>
      <c r="AA1280" s="189">
        <f t="shared" si="336"/>
        <v>0</v>
      </c>
      <c r="AB1280" s="189">
        <f t="shared" si="336"/>
        <v>0</v>
      </c>
      <c r="AC1280" s="197">
        <f t="shared" si="336"/>
        <v>27090.2</v>
      </c>
      <c r="AD1280" s="189">
        <f t="shared" si="336"/>
        <v>0</v>
      </c>
      <c r="AE1280" s="189">
        <f t="shared" si="336"/>
        <v>0</v>
      </c>
      <c r="AF1280" s="191" t="s">
        <v>1681</v>
      </c>
      <c r="AG1280" s="191" t="s">
        <v>1681</v>
      </c>
      <c r="AH1280" s="191" t="s">
        <v>1681</v>
      </c>
      <c r="AI1280" s="186"/>
      <c r="AJ1280" s="188"/>
      <c r="AK1280" s="194"/>
      <c r="AL1280" s="186"/>
      <c r="AM1280" s="138"/>
      <c r="AR1280" s="142"/>
      <c r="AS1280" s="143"/>
      <c r="BF1280" s="139"/>
      <c r="BR1280" s="139"/>
      <c r="BU1280" s="143"/>
      <c r="CH1280" s="139"/>
      <c r="CK1280" s="139"/>
      <c r="EJ1280" s="144"/>
      <c r="EL1280" s="143"/>
      <c r="EU1280" s="139"/>
      <c r="FI1280" s="144"/>
      <c r="FL1280" s="145"/>
      <c r="FM1280" s="143"/>
      <c r="FV1280" s="139"/>
      <c r="GN1280" s="146"/>
      <c r="GX1280" s="139"/>
      <c r="GZ1280" s="143"/>
      <c r="HB1280" s="139"/>
      <c r="HO1280" s="136" t="s">
        <v>1683</v>
      </c>
      <c r="HP1280" s="136">
        <v>44890.35</v>
      </c>
    </row>
    <row r="1281" spans="1:224" s="148" customFormat="1" ht="76.5" customHeight="1" x14ac:dyDescent="0.85">
      <c r="A1281" s="139"/>
      <c r="B1281" s="195">
        <v>4</v>
      </c>
      <c r="C1281" s="156" t="s">
        <v>1905</v>
      </c>
      <c r="D1281" s="197">
        <f>E1281+F1281+G1281+H1281+I1281+J1281+L1281+N1281+P1281+R1281+T1281+U1281+V1281+W1281+X1281+Y1281+Z1281+AA1281+AB1281+AC1281+AD1281+AE1281</f>
        <v>1833103.6099999999</v>
      </c>
      <c r="E1281" s="196">
        <v>0</v>
      </c>
      <c r="F1281" s="197">
        <v>0</v>
      </c>
      <c r="G1281" s="197">
        <v>0</v>
      </c>
      <c r="H1281" s="197">
        <v>0</v>
      </c>
      <c r="I1281" s="197">
        <v>0</v>
      </c>
      <c r="J1281" s="197">
        <v>0</v>
      </c>
      <c r="K1281" s="190">
        <v>0</v>
      </c>
      <c r="L1281" s="197">
        <v>0</v>
      </c>
      <c r="M1281" s="197">
        <v>691.1</v>
      </c>
      <c r="N1281" s="197">
        <v>1806013.41</v>
      </c>
      <c r="O1281" s="197">
        <v>0</v>
      </c>
      <c r="P1281" s="197">
        <v>0</v>
      </c>
      <c r="Q1281" s="197">
        <v>0</v>
      </c>
      <c r="R1281" s="197">
        <v>0</v>
      </c>
      <c r="S1281" s="197">
        <v>0</v>
      </c>
      <c r="T1281" s="197">
        <v>0</v>
      </c>
      <c r="U1281" s="197">
        <v>0</v>
      </c>
      <c r="V1281" s="197">
        <v>0</v>
      </c>
      <c r="W1281" s="197">
        <v>0</v>
      </c>
      <c r="X1281" s="197">
        <v>0</v>
      </c>
      <c r="Y1281" s="197">
        <v>0</v>
      </c>
      <c r="Z1281" s="197">
        <v>0</v>
      </c>
      <c r="AA1281" s="197">
        <v>0</v>
      </c>
      <c r="AB1281" s="197">
        <v>0</v>
      </c>
      <c r="AC1281" s="197">
        <f>ROUND((N1281+R1281)*1.5%,2)</f>
        <v>27090.2</v>
      </c>
      <c r="AD1281" s="197">
        <v>0</v>
      </c>
      <c r="AE1281" s="197">
        <v>0</v>
      </c>
      <c r="AF1281" s="223" t="s">
        <v>271</v>
      </c>
      <c r="AG1281" s="223">
        <v>2020</v>
      </c>
      <c r="AH1281" s="223">
        <v>2020</v>
      </c>
      <c r="AI1281" s="186"/>
      <c r="AJ1281" s="186"/>
      <c r="AK1281" s="194"/>
      <c r="AL1281" s="186"/>
      <c r="AM1281" s="138"/>
      <c r="AR1281" s="147"/>
      <c r="AS1281" s="143"/>
      <c r="BF1281" s="139"/>
      <c r="BR1281" s="139"/>
      <c r="BU1281" s="143"/>
      <c r="CH1281" s="139"/>
      <c r="CK1281" s="139"/>
      <c r="EJ1281" s="144"/>
      <c r="EL1281" s="143"/>
      <c r="EU1281" s="139"/>
      <c r="FI1281" s="144"/>
      <c r="FL1281" s="143"/>
      <c r="FM1281" s="143"/>
      <c r="FV1281" s="139"/>
      <c r="GN1281" s="146"/>
      <c r="GX1281" s="139"/>
      <c r="GZ1281" s="143"/>
      <c r="HO1281" s="148" t="s">
        <v>1684</v>
      </c>
      <c r="HP1281" s="148">
        <v>52429.26</v>
      </c>
    </row>
  </sheetData>
  <autoFilter ref="A18:CH1281"/>
  <mergeCells count="45">
    <mergeCell ref="B1265:AH1265"/>
    <mergeCell ref="B1266:AH1266"/>
    <mergeCell ref="B1267:C1267"/>
    <mergeCell ref="B7:B8"/>
    <mergeCell ref="W1:AH1"/>
    <mergeCell ref="V2:AH2"/>
    <mergeCell ref="V3:AH3"/>
    <mergeCell ref="B4:AH4"/>
    <mergeCell ref="B5:AH5"/>
    <mergeCell ref="B6:AH6"/>
    <mergeCell ref="C7:AH8"/>
    <mergeCell ref="C9:AH9"/>
    <mergeCell ref="AB12:AB16"/>
    <mergeCell ref="AC12:AC16"/>
    <mergeCell ref="E13:E16"/>
    <mergeCell ref="F13:F16"/>
    <mergeCell ref="U11:AE11"/>
    <mergeCell ref="AF11:AF17"/>
    <mergeCell ref="G13:G16"/>
    <mergeCell ref="H13:H16"/>
    <mergeCell ref="I13:I16"/>
    <mergeCell ref="X12:X16"/>
    <mergeCell ref="Y12:Y16"/>
    <mergeCell ref="J13:J16"/>
    <mergeCell ref="U12:U16"/>
    <mergeCell ref="V12:V16"/>
    <mergeCell ref="W12:W16"/>
    <mergeCell ref="Z12:Z16"/>
    <mergeCell ref="AA12:AA16"/>
    <mergeCell ref="B1274:AH1274"/>
    <mergeCell ref="B1275:C1275"/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E11:T11"/>
  </mergeCells>
  <phoneticPr fontId="44" type="noConversion"/>
  <pageMargins left="0" right="0.16" top="0.39370078740157483" bottom="0.39370078740157483" header="0" footer="0"/>
  <pageSetup paperSize="8" scale="10" fitToHeight="0" orientation="landscape" r:id="rId1"/>
  <headerFooter differentFirst="1">
    <oddHeader>&amp;C&amp;48&amp;P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1476"/>
  <sheetViews>
    <sheetView view="pageBreakPreview" topLeftCell="B7" zoomScale="30" zoomScaleNormal="40" zoomScaleSheetLayoutView="30" workbookViewId="0">
      <pane xSplit="2" ySplit="6" topLeftCell="L13" activePane="bottomRight" state="frozen"/>
      <selection activeCell="B7" sqref="B7"/>
      <selection pane="topRight" activeCell="D7" sqref="D7"/>
      <selection pane="bottomLeft" activeCell="B13" sqref="B13"/>
      <selection pane="bottomRight" activeCell="P155" sqref="P155:P196"/>
    </sheetView>
  </sheetViews>
  <sheetFormatPr defaultRowHeight="27.75" x14ac:dyDescent="0.4"/>
  <cols>
    <col min="1" max="1" width="9.140625" style="6" hidden="1" customWidth="1"/>
    <col min="2" max="2" width="19.42578125" style="14" customWidth="1"/>
    <col min="3" max="3" width="168.7109375" style="6" bestFit="1" customWidth="1"/>
    <col min="4" max="4" width="35.140625" style="6" customWidth="1"/>
    <col min="5" max="5" width="29.28515625" style="14" customWidth="1"/>
    <col min="6" max="6" width="52.140625" style="6" customWidth="1"/>
    <col min="7" max="7" width="16.85546875" style="6" customWidth="1"/>
    <col min="8" max="8" width="17" style="6" customWidth="1"/>
    <col min="9" max="9" width="35.7109375" style="6" customWidth="1"/>
    <col min="10" max="10" width="34.7109375" style="6" customWidth="1"/>
    <col min="11" max="11" width="34.28515625" style="6" customWidth="1"/>
    <col min="12" max="12" width="22" style="15" customWidth="1"/>
    <col min="13" max="13" width="32.7109375" style="14" customWidth="1"/>
    <col min="14" max="14" width="43.28515625" style="14" customWidth="1"/>
    <col min="15" max="15" width="136.85546875" style="29" customWidth="1"/>
    <col min="16" max="16" width="46.7109375" style="16" customWidth="1"/>
    <col min="17" max="18" width="30.5703125" style="16" customWidth="1"/>
    <col min="19" max="19" width="41.42578125" style="16" customWidth="1"/>
    <col min="20" max="20" width="30.85546875" style="16" customWidth="1"/>
    <col min="21" max="21" width="32.28515625" style="16" customWidth="1"/>
    <col min="22" max="23" width="32.28515625" style="16" hidden="1" customWidth="1"/>
    <col min="24" max="24" width="32.28515625" style="381" hidden="1" customWidth="1"/>
    <col min="25" max="25" width="28.140625" style="380" hidden="1" customWidth="1"/>
    <col min="26" max="26" width="34.85546875" style="380" hidden="1" customWidth="1"/>
    <col min="27" max="28" width="23" style="380" hidden="1" customWidth="1"/>
    <col min="29" max="29" width="23.85546875" style="380" hidden="1" customWidth="1"/>
    <col min="30" max="30" width="39.28515625" style="381" hidden="1" customWidth="1"/>
    <col min="31" max="31" width="16" style="380" hidden="1" customWidth="1"/>
    <col min="32" max="32" width="30" style="381" hidden="1" customWidth="1"/>
    <col min="33" max="33" width="27.42578125" style="380" hidden="1" customWidth="1"/>
    <col min="34" max="34" width="28.85546875" style="381" hidden="1" customWidth="1"/>
    <col min="35" max="35" width="23.7109375" style="380" hidden="1" customWidth="1"/>
    <col min="36" max="36" width="47.7109375" style="381" hidden="1" customWidth="1"/>
    <col min="37" max="37" width="36.7109375" style="380" hidden="1" customWidth="1"/>
    <col min="38" max="38" width="28.85546875" style="380" hidden="1" customWidth="1"/>
    <col min="39" max="40" width="31.7109375" style="380" hidden="1" customWidth="1"/>
    <col min="41" max="41" width="37.7109375" style="380" hidden="1" customWidth="1"/>
    <col min="42" max="42" width="36" style="6" hidden="1" customWidth="1"/>
    <col min="43" max="74" width="9.140625" style="6" hidden="1" customWidth="1"/>
    <col min="75" max="128" width="9.140625" style="6" customWidth="1"/>
    <col min="129" max="147" width="9.140625" style="6"/>
    <col min="148" max="148" width="13" style="6" bestFit="1" customWidth="1"/>
    <col min="149" max="220" width="9.140625" style="6"/>
    <col min="221" max="221" width="20.5703125" style="6" bestFit="1" customWidth="1"/>
    <col min="222" max="16384" width="9.140625" style="6"/>
  </cols>
  <sheetData>
    <row r="1" spans="1:41" ht="36" x14ac:dyDescent="0.55000000000000004">
      <c r="B1" s="20"/>
      <c r="C1" s="22"/>
      <c r="D1" s="20"/>
      <c r="E1" s="75"/>
      <c r="F1" s="20"/>
      <c r="G1" s="20"/>
      <c r="H1" s="20"/>
      <c r="I1" s="20"/>
      <c r="J1" s="20"/>
      <c r="K1" s="40"/>
      <c r="L1" s="23"/>
      <c r="M1" s="21"/>
      <c r="N1" s="75"/>
      <c r="O1" s="43"/>
      <c r="P1" s="43"/>
      <c r="Q1" s="43"/>
      <c r="R1" s="43"/>
      <c r="S1" s="423" t="s">
        <v>986</v>
      </c>
      <c r="T1" s="423"/>
      <c r="U1" s="423"/>
      <c r="V1" s="108"/>
      <c r="W1" s="108"/>
      <c r="X1" s="370"/>
    </row>
    <row r="2" spans="1:41" ht="112.5" customHeight="1" x14ac:dyDescent="0.4">
      <c r="B2" s="20"/>
      <c r="C2" s="22"/>
      <c r="D2" s="20"/>
      <c r="E2" s="75"/>
      <c r="F2" s="20"/>
      <c r="G2" s="20"/>
      <c r="H2" s="20"/>
      <c r="I2" s="20"/>
      <c r="J2" s="20"/>
      <c r="K2" s="40"/>
      <c r="L2" s="23"/>
      <c r="M2" s="21"/>
      <c r="N2" s="75"/>
      <c r="O2" s="424" t="s">
        <v>987</v>
      </c>
      <c r="P2" s="424"/>
      <c r="Q2" s="424"/>
      <c r="R2" s="424"/>
      <c r="S2" s="424"/>
      <c r="T2" s="424"/>
      <c r="U2" s="424"/>
      <c r="V2" s="109"/>
      <c r="W2" s="109"/>
      <c r="X2" s="371"/>
    </row>
    <row r="3" spans="1:41" ht="15" customHeight="1" x14ac:dyDescent="0.4">
      <c r="B3" s="20"/>
      <c r="C3" s="22"/>
      <c r="D3" s="20"/>
      <c r="E3" s="75"/>
      <c r="F3" s="20"/>
      <c r="G3" s="20"/>
      <c r="H3" s="20"/>
      <c r="I3" s="20"/>
      <c r="J3" s="20"/>
      <c r="K3" s="40"/>
      <c r="L3" s="23"/>
      <c r="M3" s="21"/>
      <c r="N3" s="75"/>
      <c r="O3" s="424"/>
      <c r="P3" s="424"/>
      <c r="Q3" s="424"/>
      <c r="R3" s="424"/>
      <c r="S3" s="424"/>
      <c r="T3" s="424"/>
      <c r="U3" s="424"/>
      <c r="V3" s="109"/>
      <c r="W3" s="109"/>
      <c r="X3" s="371"/>
    </row>
    <row r="4" spans="1:41" ht="15" customHeight="1" x14ac:dyDescent="0.4">
      <c r="B4" s="421" t="s">
        <v>988</v>
      </c>
      <c r="C4" s="421"/>
      <c r="D4" s="421"/>
      <c r="E4" s="421"/>
      <c r="F4" s="421"/>
      <c r="G4" s="421"/>
      <c r="H4" s="421"/>
      <c r="I4" s="421"/>
      <c r="J4" s="421"/>
      <c r="K4" s="421"/>
      <c r="L4" s="422"/>
      <c r="M4" s="421"/>
      <c r="N4" s="421"/>
      <c r="O4" s="421"/>
      <c r="P4" s="421"/>
      <c r="Q4" s="421"/>
      <c r="R4" s="421"/>
      <c r="S4" s="421"/>
      <c r="T4" s="421"/>
      <c r="U4" s="421"/>
      <c r="V4" s="107"/>
      <c r="W4" s="107"/>
      <c r="X4" s="372"/>
    </row>
    <row r="5" spans="1:41" ht="15" customHeight="1" x14ac:dyDescent="0.4"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2"/>
      <c r="M5" s="421"/>
      <c r="N5" s="421"/>
      <c r="O5" s="421"/>
      <c r="P5" s="421"/>
      <c r="Q5" s="421"/>
      <c r="R5" s="421"/>
      <c r="S5" s="421"/>
      <c r="T5" s="421"/>
      <c r="U5" s="421"/>
      <c r="V5" s="107"/>
      <c r="W5" s="107"/>
      <c r="X5" s="372"/>
    </row>
    <row r="6" spans="1:41" ht="159" customHeight="1" x14ac:dyDescent="0.4"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2"/>
      <c r="M6" s="421"/>
      <c r="N6" s="421"/>
      <c r="O6" s="421"/>
      <c r="P6" s="421"/>
      <c r="Q6" s="421"/>
      <c r="R6" s="421"/>
      <c r="S6" s="421"/>
      <c r="T6" s="421"/>
      <c r="U6" s="421"/>
      <c r="V6" s="107"/>
      <c r="W6" s="107"/>
      <c r="X6" s="372"/>
    </row>
    <row r="8" spans="1:41" s="13" customFormat="1" ht="96.75" customHeight="1" x14ac:dyDescent="0.4">
      <c r="B8" s="425" t="s">
        <v>6</v>
      </c>
      <c r="C8" s="425" t="s">
        <v>250</v>
      </c>
      <c r="D8" s="425" t="s">
        <v>251</v>
      </c>
      <c r="E8" s="425"/>
      <c r="F8" s="427" t="s">
        <v>252</v>
      </c>
      <c r="G8" s="427" t="s">
        <v>253</v>
      </c>
      <c r="H8" s="427" t="s">
        <v>254</v>
      </c>
      <c r="I8" s="427" t="s">
        <v>255</v>
      </c>
      <c r="J8" s="425" t="s">
        <v>256</v>
      </c>
      <c r="K8" s="425"/>
      <c r="L8" s="430" t="s">
        <v>1015</v>
      </c>
      <c r="M8" s="435" t="s">
        <v>1017</v>
      </c>
      <c r="N8" s="435" t="s">
        <v>1018</v>
      </c>
      <c r="O8" s="425" t="s">
        <v>257</v>
      </c>
      <c r="P8" s="429" t="s">
        <v>258</v>
      </c>
      <c r="Q8" s="429"/>
      <c r="R8" s="429"/>
      <c r="S8" s="429"/>
      <c r="T8" s="428" t="s">
        <v>259</v>
      </c>
      <c r="U8" s="428" t="s">
        <v>260</v>
      </c>
      <c r="V8" s="116"/>
      <c r="W8" s="116"/>
      <c r="X8" s="373"/>
      <c r="Y8" s="380"/>
      <c r="Z8" s="380"/>
      <c r="AA8" s="380"/>
      <c r="AB8" s="380"/>
      <c r="AC8" s="380"/>
      <c r="AD8" s="381"/>
      <c r="AE8" s="380"/>
      <c r="AF8" s="381"/>
      <c r="AG8" s="380"/>
      <c r="AH8" s="381"/>
      <c r="AI8" s="380"/>
      <c r="AJ8" s="381"/>
      <c r="AK8" s="380"/>
      <c r="AL8" s="380"/>
      <c r="AM8" s="380"/>
      <c r="AN8" s="380"/>
      <c r="AO8" s="380"/>
    </row>
    <row r="9" spans="1:41" s="13" customFormat="1" ht="339.75" customHeight="1" x14ac:dyDescent="0.4">
      <c r="B9" s="425"/>
      <c r="C9" s="425"/>
      <c r="D9" s="427" t="s">
        <v>261</v>
      </c>
      <c r="E9" s="427" t="s">
        <v>262</v>
      </c>
      <c r="F9" s="425"/>
      <c r="G9" s="425"/>
      <c r="H9" s="425"/>
      <c r="I9" s="425"/>
      <c r="J9" s="427" t="s">
        <v>263</v>
      </c>
      <c r="K9" s="427" t="s">
        <v>1016</v>
      </c>
      <c r="L9" s="431"/>
      <c r="M9" s="435"/>
      <c r="N9" s="435"/>
      <c r="O9" s="425"/>
      <c r="P9" s="428" t="s">
        <v>263</v>
      </c>
      <c r="Q9" s="428" t="s">
        <v>264</v>
      </c>
      <c r="R9" s="428" t="s">
        <v>265</v>
      </c>
      <c r="S9" s="428" t="s">
        <v>1019</v>
      </c>
      <c r="T9" s="429"/>
      <c r="U9" s="429"/>
      <c r="V9" s="117"/>
      <c r="W9" s="117"/>
      <c r="X9" s="374"/>
      <c r="Y9" s="380"/>
      <c r="Z9" s="380"/>
      <c r="AA9" s="380"/>
      <c r="AB9" s="380"/>
      <c r="AC9" s="380"/>
      <c r="AD9" s="381"/>
      <c r="AE9" s="380"/>
      <c r="AF9" s="381"/>
      <c r="AG9" s="380"/>
      <c r="AH9" s="381"/>
      <c r="AI9" s="380"/>
      <c r="AJ9" s="381"/>
      <c r="AK9" s="380"/>
      <c r="AL9" s="380"/>
      <c r="AM9" s="380"/>
      <c r="AN9" s="380"/>
      <c r="AO9" s="380"/>
    </row>
    <row r="10" spans="1:41" s="13" customFormat="1" ht="45" customHeight="1" x14ac:dyDescent="0.4"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31"/>
      <c r="M10" s="435"/>
      <c r="N10" s="435"/>
      <c r="O10" s="425"/>
      <c r="P10" s="429"/>
      <c r="Q10" s="428"/>
      <c r="R10" s="428"/>
      <c r="S10" s="428"/>
      <c r="T10" s="429"/>
      <c r="U10" s="429"/>
      <c r="V10" s="117"/>
      <c r="W10" s="117"/>
      <c r="X10" s="374"/>
      <c r="Y10" s="380"/>
      <c r="Z10" s="380"/>
      <c r="AA10" s="380"/>
      <c r="AB10" s="380"/>
      <c r="AC10" s="380"/>
      <c r="AD10" s="381"/>
      <c r="AE10" s="380"/>
      <c r="AF10" s="381"/>
      <c r="AG10" s="380"/>
      <c r="AH10" s="381"/>
      <c r="AI10" s="380"/>
      <c r="AJ10" s="381"/>
      <c r="AK10" s="380"/>
      <c r="AL10" s="380"/>
      <c r="AM10" s="380"/>
      <c r="AN10" s="380"/>
      <c r="AO10" s="380"/>
    </row>
    <row r="11" spans="1:41" s="13" customFormat="1" ht="48" customHeight="1" x14ac:dyDescent="0.4">
      <c r="B11" s="426"/>
      <c r="C11" s="426"/>
      <c r="D11" s="426"/>
      <c r="E11" s="426"/>
      <c r="F11" s="425"/>
      <c r="G11" s="426"/>
      <c r="H11" s="426"/>
      <c r="I11" s="161" t="s">
        <v>38</v>
      </c>
      <c r="J11" s="161" t="s">
        <v>38</v>
      </c>
      <c r="K11" s="161" t="s">
        <v>38</v>
      </c>
      <c r="L11" s="44" t="s">
        <v>266</v>
      </c>
      <c r="M11" s="435"/>
      <c r="N11" s="435"/>
      <c r="O11" s="425"/>
      <c r="P11" s="45" t="s">
        <v>36</v>
      </c>
      <c r="Q11" s="45" t="s">
        <v>36</v>
      </c>
      <c r="R11" s="45" t="s">
        <v>36</v>
      </c>
      <c r="S11" s="45" t="s">
        <v>36</v>
      </c>
      <c r="T11" s="45" t="s">
        <v>267</v>
      </c>
      <c r="U11" s="45" t="s">
        <v>267</v>
      </c>
      <c r="V11" s="118"/>
      <c r="W11" s="118"/>
      <c r="X11" s="375" t="s">
        <v>1942</v>
      </c>
      <c r="Y11" s="380" t="s">
        <v>1943</v>
      </c>
      <c r="Z11" s="380" t="s">
        <v>1944</v>
      </c>
      <c r="AA11" s="380" t="s">
        <v>1945</v>
      </c>
      <c r="AB11" s="380" t="s">
        <v>1946</v>
      </c>
      <c r="AC11" s="380"/>
      <c r="AD11" s="381" t="s">
        <v>1947</v>
      </c>
      <c r="AE11" s="380"/>
      <c r="AF11" s="381" t="s">
        <v>1948</v>
      </c>
      <c r="AG11" s="380"/>
      <c r="AH11" s="381" t="s">
        <v>1949</v>
      </c>
      <c r="AI11" s="380"/>
      <c r="AJ11" s="381" t="s">
        <v>1950</v>
      </c>
      <c r="AK11" s="380"/>
      <c r="AL11" s="380" t="s">
        <v>1951</v>
      </c>
      <c r="AM11" s="380" t="s">
        <v>1952</v>
      </c>
      <c r="AN11" s="380"/>
      <c r="AO11" s="380" t="s">
        <v>1953</v>
      </c>
    </row>
    <row r="12" spans="1:41" s="13" customFormat="1" ht="40.5" customHeight="1" x14ac:dyDescent="0.4">
      <c r="B12" s="161">
        <v>1</v>
      </c>
      <c r="C12" s="161">
        <v>2</v>
      </c>
      <c r="D12" s="161">
        <v>3</v>
      </c>
      <c r="E12" s="161">
        <v>4</v>
      </c>
      <c r="F12" s="161">
        <v>5</v>
      </c>
      <c r="G12" s="161">
        <v>6</v>
      </c>
      <c r="H12" s="161">
        <v>7</v>
      </c>
      <c r="I12" s="161">
        <v>8</v>
      </c>
      <c r="J12" s="161">
        <v>9</v>
      </c>
      <c r="K12" s="161">
        <v>10</v>
      </c>
      <c r="L12" s="44">
        <v>11</v>
      </c>
      <c r="M12" s="161">
        <v>12</v>
      </c>
      <c r="N12" s="161">
        <v>13</v>
      </c>
      <c r="O12" s="160">
        <v>14</v>
      </c>
      <c r="P12" s="161">
        <v>15</v>
      </c>
      <c r="Q12" s="161">
        <v>16</v>
      </c>
      <c r="R12" s="161">
        <v>17</v>
      </c>
      <c r="S12" s="161">
        <v>18</v>
      </c>
      <c r="T12" s="161">
        <v>19</v>
      </c>
      <c r="U12" s="161">
        <v>20</v>
      </c>
      <c r="V12" s="119"/>
      <c r="W12" s="119"/>
      <c r="X12" s="376"/>
      <c r="Y12" s="380"/>
      <c r="Z12" s="380"/>
      <c r="AA12" s="380"/>
      <c r="AB12" s="380"/>
      <c r="AC12" s="380"/>
      <c r="AD12" s="381"/>
      <c r="AE12" s="380"/>
      <c r="AF12" s="381"/>
      <c r="AG12" s="380"/>
      <c r="AH12" s="381"/>
      <c r="AI12" s="380"/>
      <c r="AJ12" s="381"/>
      <c r="AK12" s="380"/>
      <c r="AL12" s="380"/>
      <c r="AM12" s="380"/>
      <c r="AN12" s="380"/>
      <c r="AO12" s="380"/>
    </row>
    <row r="13" spans="1:41" s="152" customFormat="1" ht="36" customHeight="1" x14ac:dyDescent="0.9">
      <c r="A13" s="151"/>
      <c r="B13" s="382" t="s">
        <v>765</v>
      </c>
      <c r="C13" s="383"/>
      <c r="D13" s="384" t="s">
        <v>903</v>
      </c>
      <c r="E13" s="163" t="s">
        <v>903</v>
      </c>
      <c r="F13" s="384" t="s">
        <v>903</v>
      </c>
      <c r="G13" s="384" t="s">
        <v>903</v>
      </c>
      <c r="H13" s="163" t="s">
        <v>903</v>
      </c>
      <c r="I13" s="386">
        <f>I14+I552+I986</f>
        <v>2733530.7600000007</v>
      </c>
      <c r="J13" s="164">
        <f>J14+J552+J986</f>
        <v>2219061.6999999993</v>
      </c>
      <c r="K13" s="164">
        <f>K14+K552+K986</f>
        <v>2027109.5190000008</v>
      </c>
      <c r="L13" s="165">
        <f>L14+L552+L986</f>
        <v>103449</v>
      </c>
      <c r="M13" s="163" t="s">
        <v>903</v>
      </c>
      <c r="N13" s="163" t="s">
        <v>903</v>
      </c>
      <c r="O13" s="166" t="s">
        <v>903</v>
      </c>
      <c r="P13" s="386">
        <f>P14+P552+P986</f>
        <v>3291470140.5300007</v>
      </c>
      <c r="Q13" s="164">
        <f>Q14+Q552+Q986</f>
        <v>0</v>
      </c>
      <c r="R13" s="164">
        <f>R14+R552+R986</f>
        <v>8635654.8399999999</v>
      </c>
      <c r="S13" s="164">
        <f>S14+S552+S986</f>
        <v>3282834485.6900005</v>
      </c>
      <c r="T13" s="387">
        <f>P13/I13</f>
        <v>1204.1094209344108</v>
      </c>
      <c r="U13" s="387">
        <f>MAX(U14:U1257)</f>
        <v>27670.326525450524</v>
      </c>
      <c r="V13" s="149"/>
      <c r="W13" s="149"/>
      <c r="X13" s="149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</row>
    <row r="14" spans="1:41" s="152" customFormat="1" ht="36" customHeight="1" x14ac:dyDescent="0.9">
      <c r="B14" s="382" t="s">
        <v>766</v>
      </c>
      <c r="C14" s="383"/>
      <c r="D14" s="384" t="s">
        <v>903</v>
      </c>
      <c r="E14" s="163" t="s">
        <v>903</v>
      </c>
      <c r="F14" s="384" t="s">
        <v>903</v>
      </c>
      <c r="G14" s="384" t="s">
        <v>903</v>
      </c>
      <c r="H14" s="163" t="s">
        <v>903</v>
      </c>
      <c r="I14" s="386">
        <f>I15+I123+I155+I197+I237+I244+I271+I278+I285+I290+I292+I295+I301+I307+I309+I325+I342+I349+I352+I355+I359+I362+I364+I380+I383+I385+I387+I392+I395+I397+I402+I404+I410+I412+I414+I419+I421+I425+I433+I439+I442+I454+I456+I458+I460+I462+I464+I470+I482+I491+I493+I500+I506+I508+I510+I513+I515+I517+I524+I526+I529+I531+I540+I546+I550+I452+I495</f>
        <v>1316972.7500000002</v>
      </c>
      <c r="J14" s="164">
        <f>J15+J123+J155+J197+J237+J244+J271+J278+J285+J290+J292+J295+J301+J307+J309+J325+J342+J349+J352+J355+J359+J362+J364+J380+J383+J385+J387+J392+J395+J397+J402+J404+J410+J412+J414+J419+J421+J425+J433+J439+J442+J454+J456+J458+J460+J462+J464+J470+J482+J491+J493+J500+J506+J508+J510+J513+J515+J517+J524+J526+J529+J531+J540+J546+J550+J452+J495</f>
        <v>1072010.3999999997</v>
      </c>
      <c r="K14" s="164">
        <f>K15+K123+K155+K197+K237+K244+K271+K278+K285+K290+K292+K295+K301+K307+K309+K325+K342+K349+K352+K355+K359+K362+K364+K380+K383+K385+K387+K392+K395+K397+K402+K404+K410+K412+K414+K419+K421+K425+K433+K439+K442+K454+K456+K458+K460+K462+K464+K470+K482+K491+K493+K500+K506+K508+K510+K513+K515+K517+K524+K526+K529+K531+K540+K546+K550+K452+K495</f>
        <v>994523.30900000024</v>
      </c>
      <c r="L14" s="165">
        <f>L15+L123+L155+L197+L237+L244+L271+L278+L285+L290+L292+L295+L301+L307+L309+L325+L342+L349+L352+L355+L359+L362+L364+L380+L383+L385+L387+L392+L395+L397+L402+L404+L410+L412+L414+L419+L421+L425+L433+L439+L442+L454+L456+L458+L460+L462+L464+L470+L482+L491+L493+L500+L506+L508+L510+L513+L515+L517+L524+L526+L529+L531+L540+L546+L550+L452+L495</f>
        <v>48715</v>
      </c>
      <c r="M14" s="163" t="s">
        <v>903</v>
      </c>
      <c r="N14" s="163" t="s">
        <v>903</v>
      </c>
      <c r="O14" s="166" t="s">
        <v>903</v>
      </c>
      <c r="P14" s="386">
        <v>1472013756.6300004</v>
      </c>
      <c r="Q14" s="164">
        <f>Q15+Q123+Q155+Q197+Q237+Q244+Q271+Q278+Q285+Q290+Q292+Q295+Q301+Q307+Q309+Q325+Q342+Q349+Q352+Q355+Q359+Q362+Q364+Q380+Q383+Q385+Q387+Q392+Q395+Q397+Q402+Q404+Q410+Q412+Q414+Q419+Q421+Q425+Q433+Q439+Q442+Q454+Q456+Q458+Q460+Q462+Q464+Q470+Q482+Q491+Q493+Q500+Q506+Q508+Q510+Q513+Q515+Q517+Q524+Q526+Q529+Q531+Q540+Q546+Q550+Q452+Q495</f>
        <v>0</v>
      </c>
      <c r="R14" s="164">
        <f>R15+R123+R155+R197+R237+R244+R271+R278+R285+R290+R292+R295+R301+R307+R309+R325+R342+R349+R352+R355+R359+R362+R364+R380+R383+R385+R387+R392+R395+R397+R402+R404+R410+R412+R414+R419+R421+R425+R433+R439+R442+R454+R456+R458+R460+R462+R464+R470+R482+R491+R493+R500+R506+R508+R510+R513+R515+R517+R524+R526+R529+R531+R540+R546+R550+R452+R495</f>
        <v>3768516.65</v>
      </c>
      <c r="S14" s="164">
        <f>S15+S123+S155+S197+S237+S244+S271+S278+S285+S290+S292+S295+S301+S307+S309+S325+S342+S349+S352+S355+S359+S362+S364+S380+S383+S385+S387+S392+S395+S397+S402+S404+S410+S412+S414+S419+S421+S425+S433+S439+S442+S454+S456+S458+S460+S462+S464+S470+S482+S491+S493+S500+S506+S508+S510+S513+S515+S517+S524+S526+S529+S531+S540+S546+S550+S452+S495</f>
        <v>1468245239.9800003</v>
      </c>
      <c r="T14" s="387">
        <f t="shared" ref="T14:T77" si="0">P14/I14</f>
        <v>1117.7252958574884</v>
      </c>
      <c r="U14" s="387">
        <f>MAX(U15:U550)</f>
        <v>20654.409025133282</v>
      </c>
      <c r="V14" s="149"/>
      <c r="W14" s="149"/>
      <c r="X14" s="149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</row>
    <row r="15" spans="1:41" s="152" customFormat="1" ht="36" customHeight="1" x14ac:dyDescent="0.9">
      <c r="B15" s="382" t="s">
        <v>1105</v>
      </c>
      <c r="C15" s="385"/>
      <c r="D15" s="384" t="s">
        <v>903</v>
      </c>
      <c r="E15" s="163" t="s">
        <v>903</v>
      </c>
      <c r="F15" s="384" t="s">
        <v>903</v>
      </c>
      <c r="G15" s="384" t="s">
        <v>903</v>
      </c>
      <c r="H15" s="163" t="s">
        <v>903</v>
      </c>
      <c r="I15" s="386">
        <f>SUM(I16:I122)</f>
        <v>352753.43</v>
      </c>
      <c r="J15" s="164">
        <f>SUM(J16:J122)</f>
        <v>305732.78000000009</v>
      </c>
      <c r="K15" s="164">
        <f>SUM(K16:K122)</f>
        <v>277835.01999999996</v>
      </c>
      <c r="L15" s="165">
        <f>SUM(L16:L122)</f>
        <v>13265</v>
      </c>
      <c r="M15" s="163" t="s">
        <v>903</v>
      </c>
      <c r="N15" s="163" t="s">
        <v>903</v>
      </c>
      <c r="O15" s="166" t="s">
        <v>903</v>
      </c>
      <c r="P15" s="386">
        <v>343675633.75000006</v>
      </c>
      <c r="Q15" s="164">
        <f>SUM(Q16:Q122)</f>
        <v>0</v>
      </c>
      <c r="R15" s="164">
        <f>SUM(R16:R122)</f>
        <v>0</v>
      </c>
      <c r="S15" s="164">
        <f>SUM(S16:S122)</f>
        <v>343675633.75000006</v>
      </c>
      <c r="T15" s="387">
        <f t="shared" si="0"/>
        <v>974.26588807371786</v>
      </c>
      <c r="U15" s="387">
        <f>MAX(U16:U122)</f>
        <v>10077.095563357803</v>
      </c>
      <c r="V15" s="149"/>
      <c r="W15" s="149"/>
      <c r="X15" s="149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</row>
    <row r="16" spans="1:41" s="152" customFormat="1" ht="36" customHeight="1" x14ac:dyDescent="0.9">
      <c r="A16" s="152">
        <v>1</v>
      </c>
      <c r="B16" s="90">
        <f>SUBTOTAL(103,$A16:A$16)</f>
        <v>1</v>
      </c>
      <c r="C16" s="89" t="s">
        <v>485</v>
      </c>
      <c r="D16" s="163">
        <v>1994</v>
      </c>
      <c r="E16" s="163"/>
      <c r="F16" s="168" t="s">
        <v>270</v>
      </c>
      <c r="G16" s="163">
        <v>5</v>
      </c>
      <c r="H16" s="163">
        <v>1</v>
      </c>
      <c r="I16" s="167">
        <v>1202.5999999999999</v>
      </c>
      <c r="J16" s="167">
        <v>621</v>
      </c>
      <c r="K16" s="167">
        <v>532</v>
      </c>
      <c r="L16" s="165">
        <v>52</v>
      </c>
      <c r="M16" s="163" t="s">
        <v>268</v>
      </c>
      <c r="N16" s="163" t="s">
        <v>272</v>
      </c>
      <c r="O16" s="166" t="s">
        <v>1088</v>
      </c>
      <c r="P16" s="167">
        <v>2167261.7599999998</v>
      </c>
      <c r="Q16" s="167">
        <v>0</v>
      </c>
      <c r="R16" s="167">
        <v>0</v>
      </c>
      <c r="S16" s="167">
        <f t="shared" ref="S16:S79" si="1">P16-Q16-R16</f>
        <v>2167261.7599999998</v>
      </c>
      <c r="T16" s="167">
        <f t="shared" si="0"/>
        <v>1802.1468152336604</v>
      </c>
      <c r="U16" s="167">
        <v>2248.9854266589055</v>
      </c>
      <c r="V16" s="149">
        <f>U16-T16</f>
        <v>446.83861142524506</v>
      </c>
      <c r="W16" s="149">
        <f>X16+Y16+Z16+AA16+AB16+AD16+AF16+AH16+AJ16+AL16+AN16+AO16</f>
        <v>2248.9854266589055</v>
      </c>
      <c r="X16" s="149">
        <v>0</v>
      </c>
      <c r="Y16" s="368">
        <v>0</v>
      </c>
      <c r="Z16" s="368">
        <v>0</v>
      </c>
      <c r="AA16" s="368">
        <v>0</v>
      </c>
      <c r="AB16" s="368">
        <v>0</v>
      </c>
      <c r="AC16" s="368">
        <v>0</v>
      </c>
      <c r="AD16" s="368">
        <v>0</v>
      </c>
      <c r="AE16" s="368">
        <v>433.51</v>
      </c>
      <c r="AF16" s="396">
        <f>6238.91*AE16/I16</f>
        <v>2248.9854266589055</v>
      </c>
      <c r="AG16" s="368">
        <v>0</v>
      </c>
      <c r="AH16" s="396">
        <v>0</v>
      </c>
      <c r="AI16" s="368">
        <v>0</v>
      </c>
      <c r="AJ16" s="396">
        <v>0</v>
      </c>
      <c r="AK16" s="368">
        <v>0</v>
      </c>
      <c r="AL16" s="368">
        <v>0</v>
      </c>
      <c r="AM16" s="368">
        <v>0</v>
      </c>
      <c r="AN16" s="368"/>
      <c r="AO16" s="368">
        <v>0</v>
      </c>
    </row>
    <row r="17" spans="1:41" s="152" customFormat="1" ht="36" customHeight="1" x14ac:dyDescent="0.9">
      <c r="A17" s="152">
        <v>1</v>
      </c>
      <c r="B17" s="90">
        <f>SUBTOTAL(103,$A$16:A17)</f>
        <v>2</v>
      </c>
      <c r="C17" s="89" t="s">
        <v>1080</v>
      </c>
      <c r="D17" s="163">
        <v>1959</v>
      </c>
      <c r="E17" s="163"/>
      <c r="F17" s="168" t="s">
        <v>270</v>
      </c>
      <c r="G17" s="163">
        <v>2</v>
      </c>
      <c r="H17" s="163">
        <v>2</v>
      </c>
      <c r="I17" s="167">
        <v>648.29999999999995</v>
      </c>
      <c r="J17" s="167">
        <v>389.3</v>
      </c>
      <c r="K17" s="167">
        <v>262.89999999999998</v>
      </c>
      <c r="L17" s="165">
        <v>47</v>
      </c>
      <c r="M17" s="163" t="s">
        <v>268</v>
      </c>
      <c r="N17" s="163" t="s">
        <v>272</v>
      </c>
      <c r="O17" s="166" t="s">
        <v>1088</v>
      </c>
      <c r="P17" s="167">
        <v>2182367.5499999998</v>
      </c>
      <c r="Q17" s="167">
        <v>0</v>
      </c>
      <c r="R17" s="167">
        <v>0</v>
      </c>
      <c r="S17" s="167">
        <f t="shared" si="1"/>
        <v>2182367.5499999998</v>
      </c>
      <c r="T17" s="167">
        <f t="shared" si="0"/>
        <v>3366.2926885701063</v>
      </c>
      <c r="U17" s="167">
        <v>4811.7461051982109</v>
      </c>
      <c r="V17" s="149">
        <f t="shared" ref="V17:V80" si="2">U17-T17</f>
        <v>1445.4534166281046</v>
      </c>
      <c r="W17" s="149">
        <f t="shared" ref="W17:W80" si="3">X17+Y17+Z17+AA17+AB17+AD17+AF17+AH17+AJ17+AL17+AN17+AO17</f>
        <v>4811.7461051982109</v>
      </c>
      <c r="X17" s="149">
        <v>0</v>
      </c>
      <c r="Y17" s="368">
        <v>0</v>
      </c>
      <c r="Z17" s="368">
        <v>0</v>
      </c>
      <c r="AA17" s="368">
        <v>0</v>
      </c>
      <c r="AB17" s="368">
        <v>0</v>
      </c>
      <c r="AC17" s="368">
        <v>0</v>
      </c>
      <c r="AD17" s="368">
        <v>0</v>
      </c>
      <c r="AE17" s="368">
        <v>500</v>
      </c>
      <c r="AF17" s="396">
        <f>6238.91*AE17/I17</f>
        <v>4811.7461051982109</v>
      </c>
      <c r="AG17" s="368">
        <v>0</v>
      </c>
      <c r="AH17" s="396">
        <v>0</v>
      </c>
      <c r="AI17" s="368">
        <v>0</v>
      </c>
      <c r="AJ17" s="396">
        <v>0</v>
      </c>
      <c r="AK17" s="368">
        <v>0</v>
      </c>
      <c r="AL17" s="368">
        <v>0</v>
      </c>
      <c r="AM17" s="368">
        <v>0</v>
      </c>
      <c r="AN17" s="368"/>
      <c r="AO17" s="368">
        <v>0</v>
      </c>
    </row>
    <row r="18" spans="1:41" s="152" customFormat="1" ht="36" customHeight="1" x14ac:dyDescent="0.9">
      <c r="A18" s="152">
        <v>1</v>
      </c>
      <c r="B18" s="90">
        <f>SUBTOTAL(103,$A$16:A18)</f>
        <v>3</v>
      </c>
      <c r="C18" s="89" t="s">
        <v>486</v>
      </c>
      <c r="D18" s="163">
        <v>1992</v>
      </c>
      <c r="E18" s="163"/>
      <c r="F18" s="168" t="s">
        <v>270</v>
      </c>
      <c r="G18" s="163">
        <v>9</v>
      </c>
      <c r="H18" s="163">
        <v>1</v>
      </c>
      <c r="I18" s="167">
        <v>4744.3</v>
      </c>
      <c r="J18" s="167">
        <v>4654.5</v>
      </c>
      <c r="K18" s="167">
        <v>4462.8</v>
      </c>
      <c r="L18" s="165">
        <v>245</v>
      </c>
      <c r="M18" s="163" t="s">
        <v>268</v>
      </c>
      <c r="N18" s="163" t="s">
        <v>272</v>
      </c>
      <c r="O18" s="166" t="s">
        <v>352</v>
      </c>
      <c r="P18" s="167">
        <v>2059937.96</v>
      </c>
      <c r="Q18" s="167">
        <v>0</v>
      </c>
      <c r="R18" s="167">
        <v>0</v>
      </c>
      <c r="S18" s="167">
        <f t="shared" si="1"/>
        <v>2059937.96</v>
      </c>
      <c r="T18" s="167">
        <f t="shared" si="0"/>
        <v>434.19218008979192</v>
      </c>
      <c r="U18" s="167">
        <v>518.05324283877496</v>
      </c>
      <c r="V18" s="149">
        <f t="shared" si="2"/>
        <v>83.861062748983045</v>
      </c>
      <c r="W18" s="149">
        <f t="shared" si="3"/>
        <v>518.05324283877496</v>
      </c>
      <c r="X18" s="149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1</v>
      </c>
      <c r="AD18" s="396">
        <f>2457800*AC18/I18</f>
        <v>518.05324283877496</v>
      </c>
      <c r="AE18" s="368">
        <v>0</v>
      </c>
      <c r="AF18" s="396">
        <v>0</v>
      </c>
      <c r="AG18" s="368">
        <v>0</v>
      </c>
      <c r="AH18" s="396">
        <v>0</v>
      </c>
      <c r="AI18" s="368">
        <v>0</v>
      </c>
      <c r="AJ18" s="396">
        <v>0</v>
      </c>
      <c r="AK18" s="368">
        <v>0</v>
      </c>
      <c r="AL18" s="368">
        <v>0</v>
      </c>
      <c r="AM18" s="368">
        <v>0</v>
      </c>
      <c r="AN18" s="368"/>
      <c r="AO18" s="368">
        <v>0</v>
      </c>
    </row>
    <row r="19" spans="1:41" s="152" customFormat="1" ht="36" customHeight="1" x14ac:dyDescent="0.9">
      <c r="A19" s="152">
        <v>1</v>
      </c>
      <c r="B19" s="90">
        <f>SUBTOTAL(103,$A$16:A19)</f>
        <v>4</v>
      </c>
      <c r="C19" s="89" t="s">
        <v>488</v>
      </c>
      <c r="D19" s="163">
        <v>1978</v>
      </c>
      <c r="E19" s="163"/>
      <c r="F19" s="168" t="s">
        <v>315</v>
      </c>
      <c r="G19" s="163">
        <v>9</v>
      </c>
      <c r="H19" s="163">
        <v>2</v>
      </c>
      <c r="I19" s="167">
        <v>4414</v>
      </c>
      <c r="J19" s="167">
        <v>3930.4</v>
      </c>
      <c r="K19" s="167">
        <v>3880.5</v>
      </c>
      <c r="L19" s="165">
        <v>188</v>
      </c>
      <c r="M19" s="163" t="s">
        <v>268</v>
      </c>
      <c r="N19" s="163" t="s">
        <v>272</v>
      </c>
      <c r="O19" s="166" t="s">
        <v>1088</v>
      </c>
      <c r="P19" s="167">
        <v>2571347.14</v>
      </c>
      <c r="Q19" s="167">
        <v>0</v>
      </c>
      <c r="R19" s="167">
        <v>0</v>
      </c>
      <c r="S19" s="167">
        <f t="shared" si="1"/>
        <v>2571347.14</v>
      </c>
      <c r="T19" s="167">
        <f t="shared" si="0"/>
        <v>582.54352967829641</v>
      </c>
      <c r="U19" s="167">
        <v>893.53233681468043</v>
      </c>
      <c r="V19" s="149">
        <f t="shared" si="2"/>
        <v>310.98880713638403</v>
      </c>
      <c r="W19" s="149">
        <f t="shared" si="3"/>
        <v>893.53233681468043</v>
      </c>
      <c r="X19" s="149">
        <v>0</v>
      </c>
      <c r="Y19" s="368">
        <v>0</v>
      </c>
      <c r="Z19" s="368">
        <v>0</v>
      </c>
      <c r="AA19" s="368">
        <v>0</v>
      </c>
      <c r="AB19" s="368">
        <v>0</v>
      </c>
      <c r="AC19" s="368">
        <v>0</v>
      </c>
      <c r="AD19" s="368">
        <v>0</v>
      </c>
      <c r="AE19" s="368">
        <v>632.16999999999996</v>
      </c>
      <c r="AF19" s="396">
        <f>6238.91*AE19/I19</f>
        <v>893.53233681468043</v>
      </c>
      <c r="AG19" s="368">
        <v>0</v>
      </c>
      <c r="AH19" s="396">
        <v>0</v>
      </c>
      <c r="AI19" s="368">
        <v>0</v>
      </c>
      <c r="AJ19" s="396">
        <v>0</v>
      </c>
      <c r="AK19" s="368">
        <v>0</v>
      </c>
      <c r="AL19" s="368">
        <v>0</v>
      </c>
      <c r="AM19" s="368">
        <v>0</v>
      </c>
      <c r="AN19" s="368"/>
      <c r="AO19" s="368">
        <v>0</v>
      </c>
    </row>
    <row r="20" spans="1:41" s="152" customFormat="1" ht="36" customHeight="1" x14ac:dyDescent="0.9">
      <c r="A20" s="152">
        <v>1</v>
      </c>
      <c r="B20" s="90">
        <f>SUBTOTAL(103,$A$16:A20)</f>
        <v>5</v>
      </c>
      <c r="C20" s="89" t="s">
        <v>489</v>
      </c>
      <c r="D20" s="163">
        <v>1957</v>
      </c>
      <c r="E20" s="163"/>
      <c r="F20" s="168" t="s">
        <v>270</v>
      </c>
      <c r="G20" s="163">
        <v>2</v>
      </c>
      <c r="H20" s="163">
        <v>1</v>
      </c>
      <c r="I20" s="167">
        <v>731.7</v>
      </c>
      <c r="J20" s="167">
        <v>435.3</v>
      </c>
      <c r="K20" s="167">
        <v>386</v>
      </c>
      <c r="L20" s="165">
        <v>21</v>
      </c>
      <c r="M20" s="163" t="s">
        <v>268</v>
      </c>
      <c r="N20" s="163" t="s">
        <v>272</v>
      </c>
      <c r="O20" s="166" t="s">
        <v>1337</v>
      </c>
      <c r="P20" s="167">
        <v>1179710.26</v>
      </c>
      <c r="Q20" s="167">
        <v>0</v>
      </c>
      <c r="R20" s="167">
        <v>0</v>
      </c>
      <c r="S20" s="167">
        <f t="shared" si="1"/>
        <v>1179710.26</v>
      </c>
      <c r="T20" s="167">
        <f t="shared" si="0"/>
        <v>1612.2868115347819</v>
      </c>
      <c r="U20" s="167">
        <v>5081.4024600246003</v>
      </c>
      <c r="V20" s="149">
        <f t="shared" si="2"/>
        <v>3469.1156484898183</v>
      </c>
      <c r="W20" s="149">
        <f t="shared" si="3"/>
        <v>5081.4024600246003</v>
      </c>
      <c r="X20" s="149">
        <v>0</v>
      </c>
      <c r="Y20" s="368">
        <v>0</v>
      </c>
      <c r="Z20" s="368">
        <v>0</v>
      </c>
      <c r="AA20" s="368">
        <v>0</v>
      </c>
      <c r="AB20" s="368">
        <v>0</v>
      </c>
      <c r="AC20" s="368">
        <v>0</v>
      </c>
      <c r="AD20" s="368">
        <v>0</v>
      </c>
      <c r="AE20" s="368">
        <v>0</v>
      </c>
      <c r="AF20" s="396">
        <v>0</v>
      </c>
      <c r="AG20" s="368">
        <v>0</v>
      </c>
      <c r="AH20" s="396">
        <v>0</v>
      </c>
      <c r="AI20" s="368">
        <v>499.8</v>
      </c>
      <c r="AJ20" s="397">
        <f>7439.1*AI20/I20</f>
        <v>5081.4024600246003</v>
      </c>
      <c r="AK20" s="368">
        <v>0</v>
      </c>
      <c r="AL20" s="368">
        <v>0</v>
      </c>
      <c r="AM20" s="368">
        <v>0</v>
      </c>
      <c r="AN20" s="368"/>
      <c r="AO20" s="368">
        <v>0</v>
      </c>
    </row>
    <row r="21" spans="1:41" s="152" customFormat="1" ht="36" customHeight="1" x14ac:dyDescent="0.9">
      <c r="A21" s="152">
        <v>1</v>
      </c>
      <c r="B21" s="90">
        <f>SUBTOTAL(103,$A$16:A21)</f>
        <v>6</v>
      </c>
      <c r="C21" s="89" t="s">
        <v>490</v>
      </c>
      <c r="D21" s="163">
        <v>1986</v>
      </c>
      <c r="E21" s="163"/>
      <c r="F21" s="168" t="s">
        <v>315</v>
      </c>
      <c r="G21" s="163">
        <v>9</v>
      </c>
      <c r="H21" s="163">
        <v>2</v>
      </c>
      <c r="I21" s="167">
        <v>4945.3999999999996</v>
      </c>
      <c r="J21" s="167">
        <v>3861.7</v>
      </c>
      <c r="K21" s="167">
        <v>3562.6</v>
      </c>
      <c r="L21" s="165">
        <v>203</v>
      </c>
      <c r="M21" s="163" t="s">
        <v>268</v>
      </c>
      <c r="N21" s="163" t="s">
        <v>272</v>
      </c>
      <c r="O21" s="166" t="s">
        <v>1104</v>
      </c>
      <c r="P21" s="167">
        <v>2362258.88</v>
      </c>
      <c r="Q21" s="167">
        <v>0</v>
      </c>
      <c r="R21" s="167">
        <v>0</v>
      </c>
      <c r="S21" s="167">
        <f t="shared" si="1"/>
        <v>2362258.88</v>
      </c>
      <c r="T21" s="167">
        <f t="shared" si="0"/>
        <v>477.66790957253204</v>
      </c>
      <c r="U21" s="167">
        <v>812.44349092085577</v>
      </c>
      <c r="V21" s="149">
        <f t="shared" si="2"/>
        <v>334.77558134832373</v>
      </c>
      <c r="W21" s="149">
        <f t="shared" si="3"/>
        <v>812.44349092085577</v>
      </c>
      <c r="X21" s="149">
        <v>0</v>
      </c>
      <c r="Y21" s="368">
        <v>0</v>
      </c>
      <c r="Z21" s="368">
        <v>0</v>
      </c>
      <c r="AA21" s="368">
        <v>0</v>
      </c>
      <c r="AB21" s="368">
        <v>0</v>
      </c>
      <c r="AC21" s="368">
        <v>0</v>
      </c>
      <c r="AD21" s="368">
        <v>0</v>
      </c>
      <c r="AE21" s="368">
        <v>644</v>
      </c>
      <c r="AF21" s="396">
        <f t="shared" ref="AF21:AF28" si="4">6238.91*AE21/I21</f>
        <v>812.44349092085577</v>
      </c>
      <c r="AG21" s="368">
        <v>0</v>
      </c>
      <c r="AH21" s="396">
        <v>0</v>
      </c>
      <c r="AI21" s="368">
        <v>0</v>
      </c>
      <c r="AJ21" s="396">
        <v>0</v>
      </c>
      <c r="AK21" s="368">
        <v>0</v>
      </c>
      <c r="AL21" s="368">
        <v>0</v>
      </c>
      <c r="AM21" s="368">
        <v>0</v>
      </c>
      <c r="AN21" s="368"/>
      <c r="AO21" s="368">
        <v>0</v>
      </c>
    </row>
    <row r="22" spans="1:41" s="152" customFormat="1" ht="36" customHeight="1" x14ac:dyDescent="0.9">
      <c r="A22" s="152">
        <v>1</v>
      </c>
      <c r="B22" s="90">
        <f>SUBTOTAL(103,$A$16:A22)</f>
        <v>7</v>
      </c>
      <c r="C22" s="89" t="s">
        <v>492</v>
      </c>
      <c r="D22" s="163">
        <v>1955</v>
      </c>
      <c r="E22" s="163"/>
      <c r="F22" s="168" t="s">
        <v>270</v>
      </c>
      <c r="G22" s="163">
        <v>3</v>
      </c>
      <c r="H22" s="163">
        <v>2</v>
      </c>
      <c r="I22" s="167">
        <v>1208.2</v>
      </c>
      <c r="J22" s="167">
        <v>1108.2</v>
      </c>
      <c r="K22" s="167">
        <v>1058.5999999999999</v>
      </c>
      <c r="L22" s="165">
        <v>52</v>
      </c>
      <c r="M22" s="163" t="s">
        <v>268</v>
      </c>
      <c r="N22" s="163" t="s">
        <v>272</v>
      </c>
      <c r="O22" s="166" t="s">
        <v>1413</v>
      </c>
      <c r="P22" s="167">
        <v>2862415.7800000003</v>
      </c>
      <c r="Q22" s="167">
        <v>0</v>
      </c>
      <c r="R22" s="167">
        <v>0</v>
      </c>
      <c r="S22" s="167">
        <f t="shared" si="1"/>
        <v>2862415.7800000003</v>
      </c>
      <c r="T22" s="167">
        <f t="shared" si="0"/>
        <v>2369.1572421784472</v>
      </c>
      <c r="U22" s="167">
        <v>3118.9386194338686</v>
      </c>
      <c r="V22" s="149">
        <f t="shared" si="2"/>
        <v>749.78137725542138</v>
      </c>
      <c r="W22" s="149">
        <f t="shared" si="3"/>
        <v>3118.9386194338686</v>
      </c>
      <c r="X22" s="149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604</v>
      </c>
      <c r="AF22" s="396">
        <f t="shared" si="4"/>
        <v>3118.9386194338686</v>
      </c>
      <c r="AG22" s="368">
        <v>0</v>
      </c>
      <c r="AH22" s="396">
        <v>0</v>
      </c>
      <c r="AI22" s="368">
        <v>0</v>
      </c>
      <c r="AJ22" s="396">
        <v>0</v>
      </c>
      <c r="AK22" s="368">
        <v>0</v>
      </c>
      <c r="AL22" s="368">
        <v>0</v>
      </c>
      <c r="AM22" s="368">
        <v>0</v>
      </c>
      <c r="AN22" s="368"/>
      <c r="AO22" s="368">
        <v>0</v>
      </c>
    </row>
    <row r="23" spans="1:41" s="152" customFormat="1" ht="36" customHeight="1" x14ac:dyDescent="0.9">
      <c r="A23" s="152">
        <v>1</v>
      </c>
      <c r="B23" s="90">
        <f>SUBTOTAL(103,$A$16:A23)</f>
        <v>8</v>
      </c>
      <c r="C23" s="89" t="s">
        <v>493</v>
      </c>
      <c r="D23" s="163">
        <v>1990</v>
      </c>
      <c r="E23" s="163"/>
      <c r="F23" s="168" t="s">
        <v>270</v>
      </c>
      <c r="G23" s="163">
        <v>3</v>
      </c>
      <c r="H23" s="163">
        <v>1</v>
      </c>
      <c r="I23" s="167">
        <v>620.29999999999995</v>
      </c>
      <c r="J23" s="167">
        <v>538.5</v>
      </c>
      <c r="K23" s="167">
        <v>538.5</v>
      </c>
      <c r="L23" s="165">
        <v>23</v>
      </c>
      <c r="M23" s="163" t="s">
        <v>268</v>
      </c>
      <c r="N23" s="163" t="s">
        <v>272</v>
      </c>
      <c r="O23" s="166" t="s">
        <v>353</v>
      </c>
      <c r="P23" s="167">
        <v>2008550.03</v>
      </c>
      <c r="Q23" s="167">
        <v>0</v>
      </c>
      <c r="R23" s="167">
        <v>0</v>
      </c>
      <c r="S23" s="167">
        <f t="shared" si="1"/>
        <v>2008550.03</v>
      </c>
      <c r="T23" s="167">
        <f t="shared" si="0"/>
        <v>3238.0300338545867</v>
      </c>
      <c r="U23" s="167">
        <v>5944.2137836530719</v>
      </c>
      <c r="V23" s="149">
        <f t="shared" si="2"/>
        <v>2706.1837497984852</v>
      </c>
      <c r="W23" s="149">
        <f t="shared" si="3"/>
        <v>5944.2137836530719</v>
      </c>
      <c r="X23" s="149">
        <v>0</v>
      </c>
      <c r="Y23" s="368">
        <v>0</v>
      </c>
      <c r="Z23" s="368">
        <v>0</v>
      </c>
      <c r="AA23" s="368">
        <v>0</v>
      </c>
      <c r="AB23" s="368">
        <v>0</v>
      </c>
      <c r="AC23" s="368">
        <v>0</v>
      </c>
      <c r="AD23" s="368">
        <v>0</v>
      </c>
      <c r="AE23" s="368">
        <v>591</v>
      </c>
      <c r="AF23" s="396">
        <f t="shared" si="4"/>
        <v>5944.2137836530719</v>
      </c>
      <c r="AG23" s="368">
        <v>0</v>
      </c>
      <c r="AH23" s="396">
        <v>0</v>
      </c>
      <c r="AI23" s="368">
        <v>0</v>
      </c>
      <c r="AJ23" s="396">
        <v>0</v>
      </c>
      <c r="AK23" s="368">
        <v>0</v>
      </c>
      <c r="AL23" s="368">
        <v>0</v>
      </c>
      <c r="AM23" s="368">
        <v>0</v>
      </c>
      <c r="AN23" s="368"/>
      <c r="AO23" s="368">
        <v>0</v>
      </c>
    </row>
    <row r="24" spans="1:41" s="152" customFormat="1" ht="36" customHeight="1" x14ac:dyDescent="0.9">
      <c r="A24" s="152">
        <v>1</v>
      </c>
      <c r="B24" s="90">
        <f>SUBTOTAL(103,$A$16:A24)</f>
        <v>9</v>
      </c>
      <c r="C24" s="89" t="s">
        <v>494</v>
      </c>
      <c r="D24" s="163">
        <v>1989</v>
      </c>
      <c r="E24" s="163"/>
      <c r="F24" s="168" t="s">
        <v>270</v>
      </c>
      <c r="G24" s="163">
        <v>5</v>
      </c>
      <c r="H24" s="163">
        <v>3</v>
      </c>
      <c r="I24" s="167">
        <v>2454.8000000000002</v>
      </c>
      <c r="J24" s="167">
        <v>1749.7</v>
      </c>
      <c r="K24" s="167">
        <v>1749.7</v>
      </c>
      <c r="L24" s="165">
        <v>61</v>
      </c>
      <c r="M24" s="163" t="s">
        <v>268</v>
      </c>
      <c r="N24" s="163" t="s">
        <v>272</v>
      </c>
      <c r="O24" s="166" t="s">
        <v>1398</v>
      </c>
      <c r="P24" s="167">
        <v>2712409.97</v>
      </c>
      <c r="Q24" s="167">
        <v>0</v>
      </c>
      <c r="R24" s="167">
        <v>0</v>
      </c>
      <c r="S24" s="167">
        <f t="shared" si="1"/>
        <v>2712409.97</v>
      </c>
      <c r="T24" s="167">
        <f t="shared" si="0"/>
        <v>1104.9413271956982</v>
      </c>
      <c r="U24" s="167">
        <v>1761.2696064852532</v>
      </c>
      <c r="V24" s="149">
        <f t="shared" si="2"/>
        <v>656.32827928955498</v>
      </c>
      <c r="W24" s="149">
        <f t="shared" si="3"/>
        <v>1761.2696064852532</v>
      </c>
      <c r="X24" s="149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693</v>
      </c>
      <c r="AF24" s="396">
        <f t="shared" si="4"/>
        <v>1761.2696064852532</v>
      </c>
      <c r="AG24" s="368">
        <v>0</v>
      </c>
      <c r="AH24" s="396">
        <v>0</v>
      </c>
      <c r="AI24" s="368">
        <v>0</v>
      </c>
      <c r="AJ24" s="396">
        <v>0</v>
      </c>
      <c r="AK24" s="368">
        <v>0</v>
      </c>
      <c r="AL24" s="368">
        <v>0</v>
      </c>
      <c r="AM24" s="368">
        <v>0</v>
      </c>
      <c r="AN24" s="368"/>
      <c r="AO24" s="368">
        <v>0</v>
      </c>
    </row>
    <row r="25" spans="1:41" s="152" customFormat="1" ht="36" customHeight="1" x14ac:dyDescent="0.9">
      <c r="A25" s="152">
        <v>1</v>
      </c>
      <c r="B25" s="90">
        <f>SUBTOTAL(103,$A$16:A25)</f>
        <v>10</v>
      </c>
      <c r="C25" s="89" t="s">
        <v>495</v>
      </c>
      <c r="D25" s="163">
        <v>1995</v>
      </c>
      <c r="E25" s="163"/>
      <c r="F25" s="168" t="s">
        <v>270</v>
      </c>
      <c r="G25" s="163">
        <v>9</v>
      </c>
      <c r="H25" s="163">
        <v>1</v>
      </c>
      <c r="I25" s="167">
        <v>5292.9</v>
      </c>
      <c r="J25" s="167">
        <v>4340.07</v>
      </c>
      <c r="K25" s="167">
        <v>3967.77</v>
      </c>
      <c r="L25" s="165">
        <v>182</v>
      </c>
      <c r="M25" s="163" t="s">
        <v>268</v>
      </c>
      <c r="N25" s="163" t="s">
        <v>272</v>
      </c>
      <c r="O25" s="166" t="s">
        <v>1411</v>
      </c>
      <c r="P25" s="167">
        <v>3274095.59</v>
      </c>
      <c r="Q25" s="167">
        <v>0</v>
      </c>
      <c r="R25" s="167">
        <v>0</v>
      </c>
      <c r="S25" s="167">
        <f t="shared" si="1"/>
        <v>3274095.59</v>
      </c>
      <c r="T25" s="167">
        <f t="shared" si="0"/>
        <v>618.58255209809374</v>
      </c>
      <c r="U25" s="167">
        <v>1284.5820094844037</v>
      </c>
      <c r="V25" s="149">
        <f t="shared" si="2"/>
        <v>665.99945738630993</v>
      </c>
      <c r="W25" s="149">
        <f t="shared" si="3"/>
        <v>1284.5820094844037</v>
      </c>
      <c r="X25" s="149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1089.8</v>
      </c>
      <c r="AF25" s="396">
        <f t="shared" si="4"/>
        <v>1284.5820094844037</v>
      </c>
      <c r="AG25" s="368">
        <v>0</v>
      </c>
      <c r="AH25" s="396">
        <v>0</v>
      </c>
      <c r="AI25" s="368">
        <v>0</v>
      </c>
      <c r="AJ25" s="396">
        <v>0</v>
      </c>
      <c r="AK25" s="368">
        <v>0</v>
      </c>
      <c r="AL25" s="368">
        <v>0</v>
      </c>
      <c r="AM25" s="368">
        <v>0</v>
      </c>
      <c r="AN25" s="368"/>
      <c r="AO25" s="368">
        <v>0</v>
      </c>
    </row>
    <row r="26" spans="1:41" s="152" customFormat="1" ht="36" customHeight="1" x14ac:dyDescent="0.9">
      <c r="A26" s="152">
        <v>1</v>
      </c>
      <c r="B26" s="90">
        <f>SUBTOTAL(103,$A$16:A26)</f>
        <v>11</v>
      </c>
      <c r="C26" s="89" t="s">
        <v>496</v>
      </c>
      <c r="D26" s="163">
        <v>1962</v>
      </c>
      <c r="E26" s="163"/>
      <c r="F26" s="168" t="s">
        <v>270</v>
      </c>
      <c r="G26" s="163">
        <v>3</v>
      </c>
      <c r="H26" s="163">
        <v>3</v>
      </c>
      <c r="I26" s="167">
        <v>2721.6</v>
      </c>
      <c r="J26" s="167">
        <v>1752.6</v>
      </c>
      <c r="K26" s="167">
        <v>1482.9</v>
      </c>
      <c r="L26" s="165">
        <v>80</v>
      </c>
      <c r="M26" s="163" t="s">
        <v>268</v>
      </c>
      <c r="N26" s="163" t="s">
        <v>272</v>
      </c>
      <c r="O26" s="166" t="s">
        <v>1337</v>
      </c>
      <c r="P26" s="167">
        <v>3977663.1999999997</v>
      </c>
      <c r="Q26" s="167">
        <v>0</v>
      </c>
      <c r="R26" s="167">
        <v>0</v>
      </c>
      <c r="S26" s="167">
        <f t="shared" si="1"/>
        <v>3977663.1999999997</v>
      </c>
      <c r="T26" s="167">
        <f t="shared" si="0"/>
        <v>1461.5164609053497</v>
      </c>
      <c r="U26" s="167">
        <v>2171.7898787477952</v>
      </c>
      <c r="V26" s="149">
        <f t="shared" si="2"/>
        <v>710.2734178424455</v>
      </c>
      <c r="W26" s="149">
        <f t="shared" si="3"/>
        <v>2171.7898787477952</v>
      </c>
      <c r="X26" s="149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947.4</v>
      </c>
      <c r="AF26" s="396">
        <f t="shared" si="4"/>
        <v>2171.7898787477952</v>
      </c>
      <c r="AG26" s="368">
        <v>0</v>
      </c>
      <c r="AH26" s="396">
        <v>0</v>
      </c>
      <c r="AI26" s="368">
        <v>0</v>
      </c>
      <c r="AJ26" s="396">
        <v>0</v>
      </c>
      <c r="AK26" s="368">
        <v>0</v>
      </c>
      <c r="AL26" s="368">
        <v>0</v>
      </c>
      <c r="AM26" s="368">
        <v>0</v>
      </c>
      <c r="AN26" s="368"/>
      <c r="AO26" s="368">
        <v>0</v>
      </c>
    </row>
    <row r="27" spans="1:41" s="152" customFormat="1" ht="36" customHeight="1" x14ac:dyDescent="0.9">
      <c r="A27" s="152">
        <v>1</v>
      </c>
      <c r="B27" s="90">
        <f>SUBTOTAL(103,$A$16:A27)</f>
        <v>12</v>
      </c>
      <c r="C27" s="89" t="s">
        <v>498</v>
      </c>
      <c r="D27" s="163">
        <v>1994</v>
      </c>
      <c r="E27" s="163"/>
      <c r="F27" s="168" t="s">
        <v>270</v>
      </c>
      <c r="G27" s="163">
        <v>6</v>
      </c>
      <c r="H27" s="163">
        <v>4</v>
      </c>
      <c r="I27" s="167">
        <v>3744.6</v>
      </c>
      <c r="J27" s="167">
        <v>2905.1</v>
      </c>
      <c r="K27" s="167">
        <v>2782.1</v>
      </c>
      <c r="L27" s="165">
        <v>138</v>
      </c>
      <c r="M27" s="163" t="s">
        <v>268</v>
      </c>
      <c r="N27" s="163" t="s">
        <v>272</v>
      </c>
      <c r="O27" s="166" t="s">
        <v>1104</v>
      </c>
      <c r="P27" s="167">
        <v>2688426.41</v>
      </c>
      <c r="Q27" s="167">
        <v>0</v>
      </c>
      <c r="R27" s="167">
        <v>0</v>
      </c>
      <c r="S27" s="167">
        <f t="shared" si="1"/>
        <v>2688426.41</v>
      </c>
      <c r="T27" s="167">
        <f t="shared" si="0"/>
        <v>717.94755381082098</v>
      </c>
      <c r="U27" s="167">
        <v>1268.7416453025689</v>
      </c>
      <c r="V27" s="149">
        <f t="shared" si="2"/>
        <v>550.79409149174796</v>
      </c>
      <c r="W27" s="149">
        <f t="shared" si="3"/>
        <v>1268.7416453025689</v>
      </c>
      <c r="X27" s="149">
        <v>0</v>
      </c>
      <c r="Y27" s="368">
        <v>0</v>
      </c>
      <c r="Z27" s="368">
        <v>0</v>
      </c>
      <c r="AA27" s="368">
        <v>0</v>
      </c>
      <c r="AB27" s="368">
        <v>0</v>
      </c>
      <c r="AC27" s="368">
        <v>0</v>
      </c>
      <c r="AD27" s="368">
        <v>0</v>
      </c>
      <c r="AE27" s="368">
        <v>761.5</v>
      </c>
      <c r="AF27" s="396">
        <f t="shared" si="4"/>
        <v>1268.7416453025689</v>
      </c>
      <c r="AG27" s="368">
        <v>0</v>
      </c>
      <c r="AH27" s="396">
        <v>0</v>
      </c>
      <c r="AI27" s="368">
        <v>0</v>
      </c>
      <c r="AJ27" s="396">
        <v>0</v>
      </c>
      <c r="AK27" s="368">
        <v>0</v>
      </c>
      <c r="AL27" s="368">
        <v>0</v>
      </c>
      <c r="AM27" s="368">
        <v>0</v>
      </c>
      <c r="AN27" s="368"/>
      <c r="AO27" s="368">
        <v>0</v>
      </c>
    </row>
    <row r="28" spans="1:41" s="152" customFormat="1" ht="36" customHeight="1" x14ac:dyDescent="0.9">
      <c r="A28" s="152">
        <v>1</v>
      </c>
      <c r="B28" s="90">
        <f>SUBTOTAL(103,$A$16:A28)</f>
        <v>13</v>
      </c>
      <c r="C28" s="89" t="s">
        <v>499</v>
      </c>
      <c r="D28" s="163">
        <v>1993</v>
      </c>
      <c r="E28" s="163"/>
      <c r="F28" s="168" t="s">
        <v>270</v>
      </c>
      <c r="G28" s="163">
        <v>9</v>
      </c>
      <c r="H28" s="163">
        <v>3</v>
      </c>
      <c r="I28" s="167">
        <v>6478</v>
      </c>
      <c r="J28" s="167">
        <v>6359.39</v>
      </c>
      <c r="K28" s="167">
        <v>5823.79</v>
      </c>
      <c r="L28" s="165">
        <v>108</v>
      </c>
      <c r="M28" s="163" t="s">
        <v>268</v>
      </c>
      <c r="N28" s="163" t="s">
        <v>272</v>
      </c>
      <c r="O28" s="166" t="s">
        <v>352</v>
      </c>
      <c r="P28" s="167">
        <v>2593330.65</v>
      </c>
      <c r="Q28" s="167">
        <v>0</v>
      </c>
      <c r="R28" s="167">
        <v>0</v>
      </c>
      <c r="S28" s="167">
        <f t="shared" si="1"/>
        <v>2593330.65</v>
      </c>
      <c r="T28" s="167">
        <f t="shared" si="0"/>
        <v>400.32890552639702</v>
      </c>
      <c r="U28" s="167">
        <v>905.30648348255625</v>
      </c>
      <c r="V28" s="149">
        <f t="shared" si="2"/>
        <v>504.97757795615922</v>
      </c>
      <c r="W28" s="149">
        <f t="shared" si="3"/>
        <v>905.30648348255625</v>
      </c>
      <c r="X28" s="149">
        <v>0</v>
      </c>
      <c r="Y28" s="368">
        <v>0</v>
      </c>
      <c r="Z28" s="368">
        <v>0</v>
      </c>
      <c r="AA28" s="368">
        <v>0</v>
      </c>
      <c r="AB28" s="368">
        <v>0</v>
      </c>
      <c r="AC28" s="368">
        <v>0</v>
      </c>
      <c r="AD28" s="368">
        <v>0</v>
      </c>
      <c r="AE28" s="368">
        <v>940</v>
      </c>
      <c r="AF28" s="396">
        <f t="shared" si="4"/>
        <v>905.30648348255625</v>
      </c>
      <c r="AG28" s="368">
        <v>0</v>
      </c>
      <c r="AH28" s="396">
        <v>0</v>
      </c>
      <c r="AI28" s="368">
        <v>0</v>
      </c>
      <c r="AJ28" s="396">
        <v>0</v>
      </c>
      <c r="AK28" s="368">
        <v>0</v>
      </c>
      <c r="AL28" s="368">
        <v>0</v>
      </c>
      <c r="AM28" s="368">
        <v>0</v>
      </c>
      <c r="AN28" s="368"/>
      <c r="AO28" s="368">
        <v>0</v>
      </c>
    </row>
    <row r="29" spans="1:41" s="152" customFormat="1" ht="36" customHeight="1" x14ac:dyDescent="0.9">
      <c r="A29" s="152">
        <v>1</v>
      </c>
      <c r="B29" s="90">
        <f>SUBTOTAL(103,$A$16:A29)</f>
        <v>14</v>
      </c>
      <c r="C29" s="89" t="s">
        <v>500</v>
      </c>
      <c r="D29" s="163">
        <v>1992</v>
      </c>
      <c r="E29" s="163"/>
      <c r="F29" s="168" t="s">
        <v>315</v>
      </c>
      <c r="G29" s="163">
        <v>9</v>
      </c>
      <c r="H29" s="163">
        <v>8</v>
      </c>
      <c r="I29" s="167">
        <v>14555.58</v>
      </c>
      <c r="J29" s="167">
        <v>14455.58</v>
      </c>
      <c r="K29" s="167">
        <v>13861.18</v>
      </c>
      <c r="L29" s="165">
        <v>704</v>
      </c>
      <c r="M29" s="163" t="s">
        <v>268</v>
      </c>
      <c r="N29" s="163" t="s">
        <v>272</v>
      </c>
      <c r="O29" s="166" t="s">
        <v>352</v>
      </c>
      <c r="P29" s="167">
        <v>16664175.41</v>
      </c>
      <c r="Q29" s="167">
        <v>0</v>
      </c>
      <c r="R29" s="167">
        <v>0</v>
      </c>
      <c r="S29" s="167">
        <f t="shared" si="1"/>
        <v>16664175.41</v>
      </c>
      <c r="T29" s="167">
        <f t="shared" si="0"/>
        <v>1144.8650902265661</v>
      </c>
      <c r="U29" s="167">
        <v>1350.849639794498</v>
      </c>
      <c r="V29" s="149">
        <f t="shared" si="2"/>
        <v>205.98454956793194</v>
      </c>
      <c r="W29" s="149">
        <f t="shared" si="3"/>
        <v>1350.849639794498</v>
      </c>
      <c r="X29" s="149">
        <v>0</v>
      </c>
      <c r="Y29" s="368">
        <v>0</v>
      </c>
      <c r="Z29" s="368">
        <v>0</v>
      </c>
      <c r="AA29" s="368">
        <v>0</v>
      </c>
      <c r="AB29" s="368">
        <v>0</v>
      </c>
      <c r="AC29" s="368">
        <v>8</v>
      </c>
      <c r="AD29" s="396">
        <f>2457800*AC29/I29</f>
        <v>1350.849639794498</v>
      </c>
      <c r="AE29" s="368">
        <v>0</v>
      </c>
      <c r="AF29" s="396">
        <v>0</v>
      </c>
      <c r="AG29" s="368">
        <v>0</v>
      </c>
      <c r="AH29" s="396">
        <v>0</v>
      </c>
      <c r="AI29" s="368">
        <v>0</v>
      </c>
      <c r="AJ29" s="396">
        <v>0</v>
      </c>
      <c r="AK29" s="368">
        <v>0</v>
      </c>
      <c r="AL29" s="368">
        <v>0</v>
      </c>
      <c r="AM29" s="368">
        <v>0</v>
      </c>
      <c r="AN29" s="368"/>
      <c r="AO29" s="368">
        <v>0</v>
      </c>
    </row>
    <row r="30" spans="1:41" s="152" customFormat="1" ht="36" customHeight="1" x14ac:dyDescent="0.9">
      <c r="A30" s="152">
        <v>1</v>
      </c>
      <c r="B30" s="90">
        <f>SUBTOTAL(103,$A$16:A30)</f>
        <v>15</v>
      </c>
      <c r="C30" s="89" t="s">
        <v>501</v>
      </c>
      <c r="D30" s="163">
        <v>1978</v>
      </c>
      <c r="E30" s="163"/>
      <c r="F30" s="168" t="s">
        <v>270</v>
      </c>
      <c r="G30" s="163">
        <v>5</v>
      </c>
      <c r="H30" s="163">
        <v>1</v>
      </c>
      <c r="I30" s="167">
        <v>985.3</v>
      </c>
      <c r="J30" s="167">
        <v>777.2</v>
      </c>
      <c r="K30" s="167">
        <v>724.1</v>
      </c>
      <c r="L30" s="165">
        <v>33</v>
      </c>
      <c r="M30" s="163" t="s">
        <v>268</v>
      </c>
      <c r="N30" s="163" t="s">
        <v>272</v>
      </c>
      <c r="O30" s="166" t="s">
        <v>352</v>
      </c>
      <c r="P30" s="167">
        <v>855995.43</v>
      </c>
      <c r="Q30" s="167">
        <v>0</v>
      </c>
      <c r="R30" s="167">
        <v>0</v>
      </c>
      <c r="S30" s="167">
        <f t="shared" si="1"/>
        <v>855995.43</v>
      </c>
      <c r="T30" s="167">
        <f t="shared" si="0"/>
        <v>868.76629452958502</v>
      </c>
      <c r="U30" s="167">
        <v>1994.9568502994014</v>
      </c>
      <c r="V30" s="149">
        <f t="shared" si="2"/>
        <v>1126.1905557698165</v>
      </c>
      <c r="W30" s="149">
        <f t="shared" si="3"/>
        <v>1994.9568502994014</v>
      </c>
      <c r="X30" s="149">
        <v>0</v>
      </c>
      <c r="Y30" s="368">
        <v>0</v>
      </c>
      <c r="Z30" s="368">
        <v>0</v>
      </c>
      <c r="AA30" s="368">
        <v>0</v>
      </c>
      <c r="AB30" s="368">
        <v>0</v>
      </c>
      <c r="AC30" s="368">
        <v>0</v>
      </c>
      <c r="AD30" s="368">
        <v>0</v>
      </c>
      <c r="AE30" s="368">
        <v>315.06</v>
      </c>
      <c r="AF30" s="396">
        <f t="shared" ref="AF30:AF34" si="5">6238.91*AE30/I30</f>
        <v>1994.9568502994014</v>
      </c>
      <c r="AG30" s="368">
        <v>0</v>
      </c>
      <c r="AH30" s="396">
        <v>0</v>
      </c>
      <c r="AI30" s="368">
        <v>0</v>
      </c>
      <c r="AJ30" s="396">
        <v>0</v>
      </c>
      <c r="AK30" s="368">
        <v>0</v>
      </c>
      <c r="AL30" s="368">
        <v>0</v>
      </c>
      <c r="AM30" s="368">
        <v>0</v>
      </c>
      <c r="AN30" s="368"/>
      <c r="AO30" s="368">
        <v>0</v>
      </c>
    </row>
    <row r="31" spans="1:41" s="152" customFormat="1" ht="36" customHeight="1" x14ac:dyDescent="0.9">
      <c r="A31" s="152">
        <v>1</v>
      </c>
      <c r="B31" s="90">
        <f>SUBTOTAL(103,$A$16:A31)</f>
        <v>16</v>
      </c>
      <c r="C31" s="89" t="s">
        <v>504</v>
      </c>
      <c r="D31" s="163">
        <v>1980</v>
      </c>
      <c r="E31" s="163"/>
      <c r="F31" s="168" t="s">
        <v>270</v>
      </c>
      <c r="G31" s="163">
        <v>5</v>
      </c>
      <c r="H31" s="163">
        <v>4</v>
      </c>
      <c r="I31" s="167">
        <v>3320</v>
      </c>
      <c r="J31" s="167">
        <v>3048.7</v>
      </c>
      <c r="K31" s="167">
        <v>2877.8</v>
      </c>
      <c r="L31" s="165">
        <v>147</v>
      </c>
      <c r="M31" s="163" t="s">
        <v>268</v>
      </c>
      <c r="N31" s="163" t="s">
        <v>272</v>
      </c>
      <c r="O31" s="166" t="s">
        <v>1088</v>
      </c>
      <c r="P31" s="167">
        <v>4074712.4</v>
      </c>
      <c r="Q31" s="167">
        <v>0</v>
      </c>
      <c r="R31" s="167">
        <v>0</v>
      </c>
      <c r="S31" s="167">
        <f t="shared" si="1"/>
        <v>4074712.4</v>
      </c>
      <c r="T31" s="167">
        <f t="shared" si="0"/>
        <v>1227.3230120481928</v>
      </c>
      <c r="U31" s="167">
        <v>1503.3518072289157</v>
      </c>
      <c r="V31" s="149">
        <f t="shared" si="2"/>
        <v>276.02879518072291</v>
      </c>
      <c r="W31" s="149">
        <f t="shared" si="3"/>
        <v>1503.3518072289157</v>
      </c>
      <c r="X31" s="149">
        <v>0</v>
      </c>
      <c r="Y31" s="368">
        <v>0</v>
      </c>
      <c r="Z31" s="368">
        <v>0</v>
      </c>
      <c r="AA31" s="368">
        <v>0</v>
      </c>
      <c r="AB31" s="368">
        <v>0</v>
      </c>
      <c r="AC31" s="368">
        <v>0</v>
      </c>
      <c r="AD31" s="368">
        <v>0</v>
      </c>
      <c r="AE31" s="368">
        <v>800</v>
      </c>
      <c r="AF31" s="396">
        <f t="shared" si="5"/>
        <v>1503.3518072289157</v>
      </c>
      <c r="AG31" s="368">
        <v>0</v>
      </c>
      <c r="AH31" s="396">
        <v>0</v>
      </c>
      <c r="AI31" s="368">
        <v>0</v>
      </c>
      <c r="AJ31" s="396">
        <v>0</v>
      </c>
      <c r="AK31" s="368">
        <v>0</v>
      </c>
      <c r="AL31" s="368">
        <v>0</v>
      </c>
      <c r="AM31" s="368">
        <v>0</v>
      </c>
      <c r="AN31" s="368"/>
      <c r="AO31" s="368">
        <v>0</v>
      </c>
    </row>
    <row r="32" spans="1:41" s="152" customFormat="1" ht="36" customHeight="1" x14ac:dyDescent="0.9">
      <c r="A32" s="152">
        <v>1</v>
      </c>
      <c r="B32" s="90">
        <f>SUBTOTAL(103,$A$16:A32)</f>
        <v>17</v>
      </c>
      <c r="C32" s="89" t="s">
        <v>506</v>
      </c>
      <c r="D32" s="163">
        <v>1968</v>
      </c>
      <c r="E32" s="163"/>
      <c r="F32" s="168" t="s">
        <v>270</v>
      </c>
      <c r="G32" s="163">
        <v>5</v>
      </c>
      <c r="H32" s="163">
        <v>5</v>
      </c>
      <c r="I32" s="167">
        <v>5941.6</v>
      </c>
      <c r="J32" s="167">
        <v>4706.8</v>
      </c>
      <c r="K32" s="167">
        <v>3495.5</v>
      </c>
      <c r="L32" s="165">
        <v>147</v>
      </c>
      <c r="M32" s="163" t="s">
        <v>268</v>
      </c>
      <c r="N32" s="163" t="s">
        <v>272</v>
      </c>
      <c r="O32" s="166" t="s">
        <v>1399</v>
      </c>
      <c r="P32" s="167">
        <v>4205685.74</v>
      </c>
      <c r="Q32" s="167">
        <v>0</v>
      </c>
      <c r="R32" s="167">
        <v>0</v>
      </c>
      <c r="S32" s="167">
        <f t="shared" si="1"/>
        <v>4205685.74</v>
      </c>
      <c r="T32" s="167">
        <f t="shared" si="0"/>
        <v>707.8372391275077</v>
      </c>
      <c r="U32" s="167">
        <v>1155.0425811229297</v>
      </c>
      <c r="V32" s="149">
        <f t="shared" si="2"/>
        <v>447.20534199542203</v>
      </c>
      <c r="W32" s="149">
        <f t="shared" si="3"/>
        <v>1155.0425811229297</v>
      </c>
      <c r="X32" s="149">
        <v>0</v>
      </c>
      <c r="Y32" s="368">
        <v>0</v>
      </c>
      <c r="Z32" s="368">
        <v>0</v>
      </c>
      <c r="AA32" s="368">
        <v>0</v>
      </c>
      <c r="AB32" s="368">
        <v>0</v>
      </c>
      <c r="AC32" s="368">
        <v>0</v>
      </c>
      <c r="AD32" s="368">
        <v>0</v>
      </c>
      <c r="AE32" s="368">
        <v>1100</v>
      </c>
      <c r="AF32" s="396">
        <f t="shared" si="5"/>
        <v>1155.0425811229297</v>
      </c>
      <c r="AG32" s="368">
        <v>0</v>
      </c>
      <c r="AH32" s="396">
        <v>0</v>
      </c>
      <c r="AI32" s="368">
        <v>0</v>
      </c>
      <c r="AJ32" s="396">
        <v>0</v>
      </c>
      <c r="AK32" s="368">
        <v>0</v>
      </c>
      <c r="AL32" s="368">
        <v>0</v>
      </c>
      <c r="AM32" s="368">
        <v>0</v>
      </c>
      <c r="AN32" s="368"/>
      <c r="AO32" s="368">
        <v>0</v>
      </c>
    </row>
    <row r="33" spans="1:41" s="152" customFormat="1" ht="36" customHeight="1" x14ac:dyDescent="0.9">
      <c r="A33" s="152">
        <v>1</v>
      </c>
      <c r="B33" s="90">
        <f>SUBTOTAL(103,$A$16:A33)</f>
        <v>18</v>
      </c>
      <c r="C33" s="89" t="s">
        <v>1650</v>
      </c>
      <c r="D33" s="163">
        <v>1988</v>
      </c>
      <c r="E33" s="163"/>
      <c r="F33" s="168" t="s">
        <v>315</v>
      </c>
      <c r="G33" s="163">
        <v>5</v>
      </c>
      <c r="H33" s="163">
        <v>3</v>
      </c>
      <c r="I33" s="167">
        <v>2415</v>
      </c>
      <c r="J33" s="167">
        <v>2076.5</v>
      </c>
      <c r="K33" s="167">
        <v>2076.5</v>
      </c>
      <c r="L33" s="165">
        <v>101</v>
      </c>
      <c r="M33" s="163" t="s">
        <v>268</v>
      </c>
      <c r="N33" s="163" t="s">
        <v>272</v>
      </c>
      <c r="O33" s="166" t="s">
        <v>1399</v>
      </c>
      <c r="P33" s="167">
        <v>2349201.9300000002</v>
      </c>
      <c r="Q33" s="167">
        <v>0</v>
      </c>
      <c r="R33" s="167">
        <v>0</v>
      </c>
      <c r="S33" s="167">
        <f t="shared" si="1"/>
        <v>2349201.9300000002</v>
      </c>
      <c r="T33" s="167">
        <f t="shared" si="0"/>
        <v>972.75442236024855</v>
      </c>
      <c r="U33" s="167">
        <v>1618.8615165217391</v>
      </c>
      <c r="V33" s="149">
        <f t="shared" si="2"/>
        <v>646.10709416149052</v>
      </c>
      <c r="W33" s="149">
        <f t="shared" si="3"/>
        <v>1618.8615165217391</v>
      </c>
      <c r="X33" s="149">
        <v>0</v>
      </c>
      <c r="Y33" s="368">
        <v>0</v>
      </c>
      <c r="Z33" s="368">
        <v>0</v>
      </c>
      <c r="AA33" s="368">
        <v>0</v>
      </c>
      <c r="AB33" s="368">
        <v>0</v>
      </c>
      <c r="AC33" s="368">
        <v>0</v>
      </c>
      <c r="AD33" s="368">
        <v>0</v>
      </c>
      <c r="AE33" s="368">
        <v>626.64</v>
      </c>
      <c r="AF33" s="396">
        <f t="shared" si="5"/>
        <v>1618.8615165217391</v>
      </c>
      <c r="AG33" s="368">
        <v>0</v>
      </c>
      <c r="AH33" s="396">
        <v>0</v>
      </c>
      <c r="AI33" s="368">
        <v>0</v>
      </c>
      <c r="AJ33" s="396">
        <v>0</v>
      </c>
      <c r="AK33" s="368">
        <v>0</v>
      </c>
      <c r="AL33" s="368">
        <v>0</v>
      </c>
      <c r="AM33" s="368">
        <v>0</v>
      </c>
      <c r="AN33" s="368"/>
      <c r="AO33" s="368">
        <v>0</v>
      </c>
    </row>
    <row r="34" spans="1:41" s="152" customFormat="1" ht="36" customHeight="1" x14ac:dyDescent="0.9">
      <c r="A34" s="152">
        <v>1</v>
      </c>
      <c r="B34" s="90">
        <f>SUBTOTAL(103,$A$16:A34)</f>
        <v>19</v>
      </c>
      <c r="C34" s="89" t="s">
        <v>507</v>
      </c>
      <c r="D34" s="163">
        <v>1988</v>
      </c>
      <c r="E34" s="163"/>
      <c r="F34" s="168" t="s">
        <v>270</v>
      </c>
      <c r="G34" s="163">
        <v>5</v>
      </c>
      <c r="H34" s="163">
        <v>3</v>
      </c>
      <c r="I34" s="167">
        <v>4166.5</v>
      </c>
      <c r="J34" s="167">
        <v>3262.2</v>
      </c>
      <c r="K34" s="167">
        <v>3262.2</v>
      </c>
      <c r="L34" s="165">
        <v>188</v>
      </c>
      <c r="M34" s="163" t="s">
        <v>268</v>
      </c>
      <c r="N34" s="163" t="s">
        <v>272</v>
      </c>
      <c r="O34" s="166" t="s">
        <v>1414</v>
      </c>
      <c r="P34" s="167">
        <v>4136394.6</v>
      </c>
      <c r="Q34" s="167">
        <v>0</v>
      </c>
      <c r="R34" s="167">
        <v>0</v>
      </c>
      <c r="S34" s="167">
        <f t="shared" si="1"/>
        <v>4136394.6</v>
      </c>
      <c r="T34" s="167">
        <f t="shared" si="0"/>
        <v>992.77441497659913</v>
      </c>
      <c r="U34" s="167">
        <v>1366.9749043561742</v>
      </c>
      <c r="V34" s="149">
        <f t="shared" si="2"/>
        <v>374.20048937957506</v>
      </c>
      <c r="W34" s="149">
        <f t="shared" si="3"/>
        <v>1366.9749043561742</v>
      </c>
      <c r="X34" s="149">
        <v>0</v>
      </c>
      <c r="Y34" s="368">
        <v>0</v>
      </c>
      <c r="Z34" s="368">
        <v>0</v>
      </c>
      <c r="AA34" s="368">
        <v>0</v>
      </c>
      <c r="AB34" s="368">
        <v>0</v>
      </c>
      <c r="AC34" s="368">
        <v>0</v>
      </c>
      <c r="AD34" s="368">
        <v>0</v>
      </c>
      <c r="AE34" s="368">
        <v>912.9</v>
      </c>
      <c r="AF34" s="396">
        <f t="shared" si="5"/>
        <v>1366.9749043561742</v>
      </c>
      <c r="AG34" s="368">
        <v>0</v>
      </c>
      <c r="AH34" s="396">
        <v>0</v>
      </c>
      <c r="AI34" s="368">
        <v>0</v>
      </c>
      <c r="AJ34" s="396">
        <v>0</v>
      </c>
      <c r="AK34" s="368">
        <v>0</v>
      </c>
      <c r="AL34" s="368">
        <v>0</v>
      </c>
      <c r="AM34" s="368">
        <v>0</v>
      </c>
      <c r="AN34" s="368"/>
      <c r="AO34" s="368">
        <v>0</v>
      </c>
    </row>
    <row r="35" spans="1:41" s="152" customFormat="1" ht="36" customHeight="1" x14ac:dyDescent="0.9">
      <c r="A35" s="152">
        <v>1</v>
      </c>
      <c r="B35" s="90">
        <f>SUBTOTAL(103,$A$16:A35)</f>
        <v>20</v>
      </c>
      <c r="C35" s="89" t="s">
        <v>508</v>
      </c>
      <c r="D35" s="163">
        <v>1981</v>
      </c>
      <c r="E35" s="163"/>
      <c r="F35" s="168" t="s">
        <v>270</v>
      </c>
      <c r="G35" s="163">
        <v>5</v>
      </c>
      <c r="H35" s="163">
        <v>1</v>
      </c>
      <c r="I35" s="167">
        <v>794.8</v>
      </c>
      <c r="J35" s="167">
        <v>792.5</v>
      </c>
      <c r="K35" s="167">
        <v>792.5</v>
      </c>
      <c r="L35" s="165">
        <v>22</v>
      </c>
      <c r="M35" s="163" t="s">
        <v>268</v>
      </c>
      <c r="N35" s="163" t="s">
        <v>272</v>
      </c>
      <c r="O35" s="166" t="s">
        <v>352</v>
      </c>
      <c r="P35" s="167">
        <v>609000</v>
      </c>
      <c r="Q35" s="167">
        <v>0</v>
      </c>
      <c r="R35" s="167">
        <v>0</v>
      </c>
      <c r="S35" s="167">
        <f t="shared" si="1"/>
        <v>609000</v>
      </c>
      <c r="T35" s="167">
        <f t="shared" si="0"/>
        <v>766.23049823855058</v>
      </c>
      <c r="U35" s="167">
        <v>3259.66</v>
      </c>
      <c r="V35" s="149">
        <f t="shared" si="2"/>
        <v>2493.4295017614495</v>
      </c>
      <c r="W35" s="149">
        <f t="shared" si="3"/>
        <v>3259.66</v>
      </c>
      <c r="X35" s="149">
        <v>0</v>
      </c>
      <c r="Y35" s="368">
        <v>0</v>
      </c>
      <c r="Z35" s="368">
        <v>3259.66</v>
      </c>
      <c r="AA35" s="368">
        <v>0</v>
      </c>
      <c r="AB35" s="368">
        <v>0</v>
      </c>
      <c r="AC35" s="368">
        <v>0</v>
      </c>
      <c r="AD35" s="368">
        <v>0</v>
      </c>
      <c r="AE35" s="368">
        <v>0</v>
      </c>
      <c r="AF35" s="396">
        <v>0</v>
      </c>
      <c r="AG35" s="368">
        <v>0</v>
      </c>
      <c r="AH35" s="396">
        <v>0</v>
      </c>
      <c r="AI35" s="368">
        <v>0</v>
      </c>
      <c r="AJ35" s="396">
        <v>0</v>
      </c>
      <c r="AK35" s="368">
        <v>0</v>
      </c>
      <c r="AL35" s="368">
        <v>0</v>
      </c>
      <c r="AM35" s="368">
        <v>0</v>
      </c>
      <c r="AN35" s="368"/>
      <c r="AO35" s="368">
        <v>0</v>
      </c>
    </row>
    <row r="36" spans="1:41" s="152" customFormat="1" ht="36" customHeight="1" x14ac:dyDescent="0.9">
      <c r="A36" s="152">
        <v>1</v>
      </c>
      <c r="B36" s="90">
        <f>SUBTOTAL(103,$A$16:A36)</f>
        <v>21</v>
      </c>
      <c r="C36" s="89" t="s">
        <v>509</v>
      </c>
      <c r="D36" s="163">
        <v>1985</v>
      </c>
      <c r="E36" s="163"/>
      <c r="F36" s="168" t="s">
        <v>315</v>
      </c>
      <c r="G36" s="163">
        <v>2</v>
      </c>
      <c r="H36" s="163">
        <v>2</v>
      </c>
      <c r="I36" s="167">
        <v>617.79999999999995</v>
      </c>
      <c r="J36" s="167">
        <v>560.5</v>
      </c>
      <c r="K36" s="167">
        <v>560.5</v>
      </c>
      <c r="L36" s="165">
        <v>35</v>
      </c>
      <c r="M36" s="163" t="s">
        <v>268</v>
      </c>
      <c r="N36" s="163" t="s">
        <v>272</v>
      </c>
      <c r="O36" s="166" t="s">
        <v>1398</v>
      </c>
      <c r="P36" s="167">
        <v>56688.3</v>
      </c>
      <c r="Q36" s="167">
        <v>0</v>
      </c>
      <c r="R36" s="167">
        <v>0</v>
      </c>
      <c r="S36" s="167">
        <f t="shared" si="1"/>
        <v>56688.3</v>
      </c>
      <c r="T36" s="167">
        <f t="shared" si="0"/>
        <v>91.758336031078031</v>
      </c>
      <c r="U36" s="167">
        <v>91.758336031078031</v>
      </c>
      <c r="V36" s="149">
        <f t="shared" si="2"/>
        <v>0</v>
      </c>
      <c r="W36" s="149">
        <f>T36</f>
        <v>91.758336031078031</v>
      </c>
      <c r="X36" s="149">
        <v>0</v>
      </c>
      <c r="Y36" s="368">
        <v>0</v>
      </c>
      <c r="Z36" s="368">
        <v>0</v>
      </c>
      <c r="AA36" s="368">
        <v>0</v>
      </c>
      <c r="AB36" s="368">
        <v>0</v>
      </c>
      <c r="AC36" s="368">
        <v>0</v>
      </c>
      <c r="AD36" s="368">
        <v>0</v>
      </c>
      <c r="AE36" s="368">
        <v>0</v>
      </c>
      <c r="AF36" s="396">
        <v>0</v>
      </c>
      <c r="AG36" s="368">
        <v>0</v>
      </c>
      <c r="AH36" s="396">
        <v>0</v>
      </c>
      <c r="AI36" s="368">
        <v>0</v>
      </c>
      <c r="AJ36" s="396">
        <v>0</v>
      </c>
      <c r="AK36" s="368">
        <v>0</v>
      </c>
      <c r="AL36" s="368">
        <v>0</v>
      </c>
      <c r="AM36" s="368">
        <v>0</v>
      </c>
      <c r="AN36" s="368"/>
      <c r="AO36" s="368">
        <v>0</v>
      </c>
    </row>
    <row r="37" spans="1:41" s="152" customFormat="1" ht="36" customHeight="1" x14ac:dyDescent="0.9">
      <c r="A37" s="152">
        <v>1</v>
      </c>
      <c r="B37" s="90">
        <f>SUBTOTAL(103,$A$16:A37)</f>
        <v>22</v>
      </c>
      <c r="C37" s="89" t="s">
        <v>510</v>
      </c>
      <c r="D37" s="163">
        <v>1967</v>
      </c>
      <c r="E37" s="163"/>
      <c r="F37" s="168" t="s">
        <v>270</v>
      </c>
      <c r="G37" s="163">
        <v>2</v>
      </c>
      <c r="H37" s="163">
        <v>2</v>
      </c>
      <c r="I37" s="167">
        <v>705.8</v>
      </c>
      <c r="J37" s="167">
        <v>652.9</v>
      </c>
      <c r="K37" s="167">
        <v>519.20000000000005</v>
      </c>
      <c r="L37" s="165">
        <v>38</v>
      </c>
      <c r="M37" s="163" t="s">
        <v>268</v>
      </c>
      <c r="N37" s="163" t="s">
        <v>272</v>
      </c>
      <c r="O37" s="166" t="s">
        <v>1398</v>
      </c>
      <c r="P37" s="167">
        <v>2626564.2799999998</v>
      </c>
      <c r="Q37" s="167">
        <v>0</v>
      </c>
      <c r="R37" s="167">
        <v>0</v>
      </c>
      <c r="S37" s="167">
        <f t="shared" si="1"/>
        <v>2626564.2799999998</v>
      </c>
      <c r="T37" s="167">
        <f t="shared" si="0"/>
        <v>3721.4002266931143</v>
      </c>
      <c r="U37" s="167">
        <v>5347.8896996316234</v>
      </c>
      <c r="V37" s="149">
        <f t="shared" si="2"/>
        <v>1626.4894729385092</v>
      </c>
      <c r="W37" s="149">
        <f t="shared" si="3"/>
        <v>5347.8896996316234</v>
      </c>
      <c r="X37" s="149">
        <v>0</v>
      </c>
      <c r="Y37" s="368">
        <v>0</v>
      </c>
      <c r="Z37" s="368">
        <v>0</v>
      </c>
      <c r="AA37" s="368">
        <v>0</v>
      </c>
      <c r="AB37" s="368">
        <v>0</v>
      </c>
      <c r="AC37" s="368">
        <v>0</v>
      </c>
      <c r="AD37" s="368">
        <v>0</v>
      </c>
      <c r="AE37" s="368">
        <v>605</v>
      </c>
      <c r="AF37" s="396">
        <f t="shared" ref="AF37:AF38" si="6">6238.91*AE37/I37</f>
        <v>5347.8896996316234</v>
      </c>
      <c r="AG37" s="368">
        <v>0</v>
      </c>
      <c r="AH37" s="396">
        <v>0</v>
      </c>
      <c r="AI37" s="368">
        <v>0</v>
      </c>
      <c r="AJ37" s="396">
        <v>0</v>
      </c>
      <c r="AK37" s="368">
        <v>0</v>
      </c>
      <c r="AL37" s="368">
        <v>0</v>
      </c>
      <c r="AM37" s="368">
        <v>0</v>
      </c>
      <c r="AN37" s="368"/>
      <c r="AO37" s="368">
        <v>0</v>
      </c>
    </row>
    <row r="38" spans="1:41" s="152" customFormat="1" ht="36" customHeight="1" x14ac:dyDescent="0.9">
      <c r="A38" s="152">
        <v>1</v>
      </c>
      <c r="B38" s="90">
        <f>SUBTOTAL(103,$A$16:A38)</f>
        <v>23</v>
      </c>
      <c r="C38" s="89" t="s">
        <v>511</v>
      </c>
      <c r="D38" s="163">
        <v>1972</v>
      </c>
      <c r="E38" s="163"/>
      <c r="F38" s="168" t="s">
        <v>270</v>
      </c>
      <c r="G38" s="163">
        <v>2</v>
      </c>
      <c r="H38" s="163">
        <v>2</v>
      </c>
      <c r="I38" s="167">
        <v>790.6</v>
      </c>
      <c r="J38" s="167">
        <v>725.4</v>
      </c>
      <c r="K38" s="167">
        <v>532.9</v>
      </c>
      <c r="L38" s="165">
        <v>47</v>
      </c>
      <c r="M38" s="163" t="s">
        <v>268</v>
      </c>
      <c r="N38" s="163" t="s">
        <v>272</v>
      </c>
      <c r="O38" s="166" t="s">
        <v>1659</v>
      </c>
      <c r="P38" s="167">
        <v>2644244.0599999996</v>
      </c>
      <c r="Q38" s="167">
        <v>0</v>
      </c>
      <c r="R38" s="167">
        <v>0</v>
      </c>
      <c r="S38" s="167">
        <f t="shared" si="1"/>
        <v>2644244.0599999996</v>
      </c>
      <c r="T38" s="167">
        <f t="shared" si="0"/>
        <v>3344.6041740450287</v>
      </c>
      <c r="U38" s="167">
        <v>6155.2615734884894</v>
      </c>
      <c r="V38" s="149">
        <f t="shared" si="2"/>
        <v>2810.6573994434607</v>
      </c>
      <c r="W38" s="149">
        <f t="shared" si="3"/>
        <v>6155.2615734884894</v>
      </c>
      <c r="X38" s="149">
        <v>0</v>
      </c>
      <c r="Y38" s="368">
        <v>0</v>
      </c>
      <c r="Z38" s="368">
        <v>0</v>
      </c>
      <c r="AA38" s="368">
        <v>0</v>
      </c>
      <c r="AB38" s="368">
        <v>0</v>
      </c>
      <c r="AC38" s="368">
        <v>0</v>
      </c>
      <c r="AD38" s="368">
        <v>0</v>
      </c>
      <c r="AE38" s="368">
        <v>780</v>
      </c>
      <c r="AF38" s="396">
        <f t="shared" si="6"/>
        <v>6155.2615734884894</v>
      </c>
      <c r="AG38" s="368">
        <v>0</v>
      </c>
      <c r="AH38" s="396">
        <v>0</v>
      </c>
      <c r="AI38" s="368">
        <v>0</v>
      </c>
      <c r="AJ38" s="396">
        <v>0</v>
      </c>
      <c r="AK38" s="368">
        <v>0</v>
      </c>
      <c r="AL38" s="368">
        <v>0</v>
      </c>
      <c r="AM38" s="368">
        <v>0</v>
      </c>
      <c r="AN38" s="368"/>
      <c r="AO38" s="368">
        <v>0</v>
      </c>
    </row>
    <row r="39" spans="1:41" s="152" customFormat="1" ht="36" customHeight="1" x14ac:dyDescent="0.9">
      <c r="A39" s="152">
        <v>1</v>
      </c>
      <c r="B39" s="90">
        <f>SUBTOTAL(103,$A$16:A39)</f>
        <v>24</v>
      </c>
      <c r="C39" s="89" t="s">
        <v>512</v>
      </c>
      <c r="D39" s="163">
        <v>1994</v>
      </c>
      <c r="E39" s="163"/>
      <c r="F39" s="168" t="s">
        <v>315</v>
      </c>
      <c r="G39" s="163">
        <v>9</v>
      </c>
      <c r="H39" s="163">
        <v>7</v>
      </c>
      <c r="I39" s="167">
        <v>14325</v>
      </c>
      <c r="J39" s="167">
        <v>14166</v>
      </c>
      <c r="K39" s="167">
        <v>14001.7</v>
      </c>
      <c r="L39" s="165">
        <v>600</v>
      </c>
      <c r="M39" s="163" t="s">
        <v>268</v>
      </c>
      <c r="N39" s="163" t="s">
        <v>272</v>
      </c>
      <c r="O39" s="166" t="s">
        <v>352</v>
      </c>
      <c r="P39" s="167">
        <v>14212345.49</v>
      </c>
      <c r="Q39" s="167">
        <v>0</v>
      </c>
      <c r="R39" s="167">
        <v>0</v>
      </c>
      <c r="S39" s="167">
        <f t="shared" si="1"/>
        <v>14212345.49</v>
      </c>
      <c r="T39" s="167">
        <f t="shared" si="0"/>
        <v>992.13581082024439</v>
      </c>
      <c r="U39" s="167">
        <v>1201.0191972076789</v>
      </c>
      <c r="V39" s="149">
        <f t="shared" si="2"/>
        <v>208.88338638743448</v>
      </c>
      <c r="W39" s="149">
        <f t="shared" si="3"/>
        <v>1201.0191972076789</v>
      </c>
      <c r="X39" s="149">
        <v>0</v>
      </c>
      <c r="Y39" s="368">
        <v>0</v>
      </c>
      <c r="Z39" s="368">
        <v>0</v>
      </c>
      <c r="AA39" s="368">
        <v>0</v>
      </c>
      <c r="AB39" s="368">
        <v>0</v>
      </c>
      <c r="AC39" s="368">
        <v>7</v>
      </c>
      <c r="AD39" s="396">
        <f t="shared" ref="AD39:AD42" si="7">2457800*AC39/I39</f>
        <v>1201.0191972076789</v>
      </c>
      <c r="AE39" s="368">
        <v>0</v>
      </c>
      <c r="AF39" s="396">
        <v>0</v>
      </c>
      <c r="AG39" s="368">
        <v>0</v>
      </c>
      <c r="AH39" s="396">
        <v>0</v>
      </c>
      <c r="AI39" s="368">
        <v>0</v>
      </c>
      <c r="AJ39" s="396">
        <v>0</v>
      </c>
      <c r="AK39" s="368">
        <v>0</v>
      </c>
      <c r="AL39" s="368">
        <v>0</v>
      </c>
      <c r="AM39" s="368">
        <v>0</v>
      </c>
      <c r="AN39" s="368"/>
      <c r="AO39" s="368">
        <v>0</v>
      </c>
    </row>
    <row r="40" spans="1:41" s="152" customFormat="1" ht="36" customHeight="1" x14ac:dyDescent="0.9">
      <c r="A40" s="152">
        <v>1</v>
      </c>
      <c r="B40" s="90">
        <f>SUBTOTAL(103,$A$16:A40)</f>
        <v>25</v>
      </c>
      <c r="C40" s="89" t="s">
        <v>513</v>
      </c>
      <c r="D40" s="163">
        <v>1994</v>
      </c>
      <c r="E40" s="163"/>
      <c r="F40" s="168" t="s">
        <v>315</v>
      </c>
      <c r="G40" s="163">
        <v>9</v>
      </c>
      <c r="H40" s="163">
        <v>2</v>
      </c>
      <c r="I40" s="167">
        <v>5491.1</v>
      </c>
      <c r="J40" s="167">
        <v>5444.9</v>
      </c>
      <c r="K40" s="167">
        <v>5379.7</v>
      </c>
      <c r="L40" s="165">
        <v>257</v>
      </c>
      <c r="M40" s="163" t="s">
        <v>268</v>
      </c>
      <c r="N40" s="163" t="s">
        <v>272</v>
      </c>
      <c r="O40" s="166" t="s">
        <v>352</v>
      </c>
      <c r="P40" s="167">
        <v>3983582.65</v>
      </c>
      <c r="Q40" s="167">
        <v>0</v>
      </c>
      <c r="R40" s="167">
        <v>0</v>
      </c>
      <c r="S40" s="167">
        <f t="shared" si="1"/>
        <v>3983582.65</v>
      </c>
      <c r="T40" s="167">
        <f t="shared" si="0"/>
        <v>725.46168345140313</v>
      </c>
      <c r="U40" s="167">
        <v>895.19404126677705</v>
      </c>
      <c r="V40" s="149">
        <f t="shared" si="2"/>
        <v>169.73235781537392</v>
      </c>
      <c r="W40" s="149">
        <f t="shared" si="3"/>
        <v>895.19404126677705</v>
      </c>
      <c r="X40" s="149">
        <v>0</v>
      </c>
      <c r="Y40" s="368">
        <v>0</v>
      </c>
      <c r="Z40" s="368">
        <v>0</v>
      </c>
      <c r="AA40" s="368">
        <v>0</v>
      </c>
      <c r="AB40" s="368">
        <v>0</v>
      </c>
      <c r="AC40" s="368">
        <v>2</v>
      </c>
      <c r="AD40" s="396">
        <f t="shared" si="7"/>
        <v>895.19404126677705</v>
      </c>
      <c r="AE40" s="368">
        <v>0</v>
      </c>
      <c r="AF40" s="396">
        <v>0</v>
      </c>
      <c r="AG40" s="368">
        <v>0</v>
      </c>
      <c r="AH40" s="396">
        <v>0</v>
      </c>
      <c r="AI40" s="368">
        <v>0</v>
      </c>
      <c r="AJ40" s="396">
        <v>0</v>
      </c>
      <c r="AK40" s="368">
        <v>0</v>
      </c>
      <c r="AL40" s="368">
        <v>0</v>
      </c>
      <c r="AM40" s="368">
        <v>0</v>
      </c>
      <c r="AN40" s="368"/>
      <c r="AO40" s="368">
        <v>0</v>
      </c>
    </row>
    <row r="41" spans="1:41" s="152" customFormat="1" ht="36" customHeight="1" x14ac:dyDescent="0.9">
      <c r="A41" s="152">
        <v>1</v>
      </c>
      <c r="B41" s="90">
        <f>SUBTOTAL(103,$A$16:A41)</f>
        <v>26</v>
      </c>
      <c r="C41" s="89" t="s">
        <v>514</v>
      </c>
      <c r="D41" s="163">
        <v>1993</v>
      </c>
      <c r="E41" s="163"/>
      <c r="F41" s="168" t="s">
        <v>315</v>
      </c>
      <c r="G41" s="163">
        <v>9</v>
      </c>
      <c r="H41" s="163">
        <v>1</v>
      </c>
      <c r="I41" s="167">
        <v>1614.7</v>
      </c>
      <c r="J41" s="167">
        <v>1585.9</v>
      </c>
      <c r="K41" s="167">
        <v>1361.4</v>
      </c>
      <c r="L41" s="165">
        <v>66</v>
      </c>
      <c r="M41" s="163" t="s">
        <v>268</v>
      </c>
      <c r="N41" s="163" t="s">
        <v>272</v>
      </c>
      <c r="O41" s="166" t="s">
        <v>352</v>
      </c>
      <c r="P41" s="167">
        <v>2058639.13</v>
      </c>
      <c r="Q41" s="167">
        <v>0</v>
      </c>
      <c r="R41" s="167">
        <v>0</v>
      </c>
      <c r="S41" s="167">
        <f t="shared" si="1"/>
        <v>2058639.13</v>
      </c>
      <c r="T41" s="167">
        <f t="shared" si="0"/>
        <v>1274.9359819161452</v>
      </c>
      <c r="U41" s="167">
        <v>1522.140335666068</v>
      </c>
      <c r="V41" s="149">
        <f t="shared" si="2"/>
        <v>247.2043537499228</v>
      </c>
      <c r="W41" s="149">
        <f t="shared" si="3"/>
        <v>1522.140335666068</v>
      </c>
      <c r="X41" s="149">
        <v>0</v>
      </c>
      <c r="Y41" s="368">
        <v>0</v>
      </c>
      <c r="Z41" s="368">
        <v>0</v>
      </c>
      <c r="AA41" s="368">
        <v>0</v>
      </c>
      <c r="AB41" s="368">
        <v>0</v>
      </c>
      <c r="AC41" s="368">
        <v>1</v>
      </c>
      <c r="AD41" s="396">
        <f t="shared" si="7"/>
        <v>1522.140335666068</v>
      </c>
      <c r="AE41" s="368">
        <v>0</v>
      </c>
      <c r="AF41" s="396">
        <v>0</v>
      </c>
      <c r="AG41" s="368">
        <v>0</v>
      </c>
      <c r="AH41" s="396">
        <v>0</v>
      </c>
      <c r="AI41" s="368">
        <v>0</v>
      </c>
      <c r="AJ41" s="396">
        <v>0</v>
      </c>
      <c r="AK41" s="368">
        <v>0</v>
      </c>
      <c r="AL41" s="368">
        <v>0</v>
      </c>
      <c r="AM41" s="368">
        <v>0</v>
      </c>
      <c r="AN41" s="368"/>
      <c r="AO41" s="368">
        <v>0</v>
      </c>
    </row>
    <row r="42" spans="1:41" s="152" customFormat="1" ht="36" customHeight="1" x14ac:dyDescent="0.9">
      <c r="A42" s="152">
        <v>1</v>
      </c>
      <c r="B42" s="90">
        <f>SUBTOTAL(103,$A$16:A42)</f>
        <v>27</v>
      </c>
      <c r="C42" s="89" t="s">
        <v>515</v>
      </c>
      <c r="D42" s="163">
        <v>1993</v>
      </c>
      <c r="E42" s="163"/>
      <c r="F42" s="168" t="s">
        <v>315</v>
      </c>
      <c r="G42" s="163">
        <v>9</v>
      </c>
      <c r="H42" s="163">
        <v>2</v>
      </c>
      <c r="I42" s="167">
        <v>4490.3</v>
      </c>
      <c r="J42" s="167">
        <v>4474.6000000000004</v>
      </c>
      <c r="K42" s="167">
        <v>4474.6000000000004</v>
      </c>
      <c r="L42" s="165">
        <v>177</v>
      </c>
      <c r="M42" s="163" t="s">
        <v>268</v>
      </c>
      <c r="N42" s="163" t="s">
        <v>272</v>
      </c>
      <c r="O42" s="166" t="s">
        <v>352</v>
      </c>
      <c r="P42" s="167">
        <v>4117278.25</v>
      </c>
      <c r="Q42" s="167">
        <v>0</v>
      </c>
      <c r="R42" s="167">
        <v>0</v>
      </c>
      <c r="S42" s="167">
        <f t="shared" si="1"/>
        <v>4117278.25</v>
      </c>
      <c r="T42" s="167">
        <f t="shared" si="0"/>
        <v>916.92720976326746</v>
      </c>
      <c r="U42" s="167">
        <v>1094.7152751486537</v>
      </c>
      <c r="V42" s="149">
        <f t="shared" si="2"/>
        <v>177.78806538538629</v>
      </c>
      <c r="W42" s="149">
        <f t="shared" si="3"/>
        <v>1094.7152751486537</v>
      </c>
      <c r="X42" s="149">
        <v>0</v>
      </c>
      <c r="Y42" s="368">
        <v>0</v>
      </c>
      <c r="Z42" s="368">
        <v>0</v>
      </c>
      <c r="AA42" s="368">
        <v>0</v>
      </c>
      <c r="AB42" s="368">
        <v>0</v>
      </c>
      <c r="AC42" s="368">
        <v>2</v>
      </c>
      <c r="AD42" s="396">
        <f t="shared" si="7"/>
        <v>1094.7152751486537</v>
      </c>
      <c r="AE42" s="368">
        <v>0</v>
      </c>
      <c r="AF42" s="396">
        <v>0</v>
      </c>
      <c r="AG42" s="368">
        <v>0</v>
      </c>
      <c r="AH42" s="396">
        <v>0</v>
      </c>
      <c r="AI42" s="368">
        <v>0</v>
      </c>
      <c r="AJ42" s="396">
        <v>0</v>
      </c>
      <c r="AK42" s="368">
        <v>0</v>
      </c>
      <c r="AL42" s="368">
        <v>0</v>
      </c>
      <c r="AM42" s="368">
        <v>0</v>
      </c>
      <c r="AN42" s="368"/>
      <c r="AO42" s="368">
        <v>0</v>
      </c>
    </row>
    <row r="43" spans="1:41" s="152" customFormat="1" ht="36" customHeight="1" x14ac:dyDescent="0.9">
      <c r="A43" s="152">
        <v>1</v>
      </c>
      <c r="B43" s="90">
        <f>SUBTOTAL(103,$A$16:A43)</f>
        <v>28</v>
      </c>
      <c r="C43" s="89" t="s">
        <v>516</v>
      </c>
      <c r="D43" s="163">
        <v>1987</v>
      </c>
      <c r="E43" s="163"/>
      <c r="F43" s="168" t="s">
        <v>270</v>
      </c>
      <c r="G43" s="163">
        <v>5</v>
      </c>
      <c r="H43" s="163">
        <v>2</v>
      </c>
      <c r="I43" s="167">
        <v>1670.9</v>
      </c>
      <c r="J43" s="167">
        <v>1146.4000000000001</v>
      </c>
      <c r="K43" s="167">
        <v>1030.9000000000001</v>
      </c>
      <c r="L43" s="165">
        <v>65</v>
      </c>
      <c r="M43" s="163" t="s">
        <v>268</v>
      </c>
      <c r="N43" s="163" t="s">
        <v>272</v>
      </c>
      <c r="O43" s="166" t="s">
        <v>1104</v>
      </c>
      <c r="P43" s="167">
        <v>1143421.82</v>
      </c>
      <c r="Q43" s="167">
        <v>0</v>
      </c>
      <c r="R43" s="167">
        <v>0</v>
      </c>
      <c r="S43" s="167">
        <f t="shared" si="1"/>
        <v>1143421.82</v>
      </c>
      <c r="T43" s="167">
        <f t="shared" si="0"/>
        <v>684.31493207253573</v>
      </c>
      <c r="U43" s="167">
        <v>1141.5162877491173</v>
      </c>
      <c r="V43" s="149">
        <f t="shared" si="2"/>
        <v>457.20135567658156</v>
      </c>
      <c r="W43" s="149">
        <f t="shared" si="3"/>
        <v>1141.5162877491173</v>
      </c>
      <c r="X43" s="149">
        <v>0</v>
      </c>
      <c r="Y43" s="368">
        <v>0</v>
      </c>
      <c r="Z43" s="368">
        <v>0</v>
      </c>
      <c r="AA43" s="368">
        <v>0</v>
      </c>
      <c r="AB43" s="368">
        <v>0</v>
      </c>
      <c r="AC43" s="368">
        <v>0</v>
      </c>
      <c r="AD43" s="368">
        <v>0</v>
      </c>
      <c r="AE43" s="368">
        <v>305.72000000000003</v>
      </c>
      <c r="AF43" s="396">
        <f t="shared" ref="AF43:AF44" si="8">6238.91*AE43/I43</f>
        <v>1141.5162877491173</v>
      </c>
      <c r="AG43" s="368">
        <v>0</v>
      </c>
      <c r="AH43" s="396">
        <v>0</v>
      </c>
      <c r="AI43" s="368">
        <v>0</v>
      </c>
      <c r="AJ43" s="396">
        <v>0</v>
      </c>
      <c r="AK43" s="368">
        <v>0</v>
      </c>
      <c r="AL43" s="368">
        <v>0</v>
      </c>
      <c r="AM43" s="368">
        <v>0</v>
      </c>
      <c r="AN43" s="368"/>
      <c r="AO43" s="368">
        <v>0</v>
      </c>
    </row>
    <row r="44" spans="1:41" s="152" customFormat="1" ht="36" customHeight="1" x14ac:dyDescent="0.9">
      <c r="A44" s="152">
        <v>1</v>
      </c>
      <c r="B44" s="90">
        <f>SUBTOTAL(103,$A$16:A44)</f>
        <v>29</v>
      </c>
      <c r="C44" s="89" t="s">
        <v>517</v>
      </c>
      <c r="D44" s="163">
        <v>1983</v>
      </c>
      <c r="E44" s="163"/>
      <c r="F44" s="168" t="s">
        <v>270</v>
      </c>
      <c r="G44" s="163">
        <v>5</v>
      </c>
      <c r="H44" s="163">
        <v>1</v>
      </c>
      <c r="I44" s="167">
        <v>629</v>
      </c>
      <c r="J44" s="167">
        <v>568.5</v>
      </c>
      <c r="K44" s="167">
        <v>568.5</v>
      </c>
      <c r="L44" s="165">
        <v>31</v>
      </c>
      <c r="M44" s="163" t="s">
        <v>268</v>
      </c>
      <c r="N44" s="163" t="s">
        <v>272</v>
      </c>
      <c r="O44" s="166" t="s">
        <v>1088</v>
      </c>
      <c r="P44" s="167">
        <v>947034.45</v>
      </c>
      <c r="Q44" s="167">
        <v>0</v>
      </c>
      <c r="R44" s="167">
        <v>0</v>
      </c>
      <c r="S44" s="167">
        <f t="shared" si="1"/>
        <v>947034.45</v>
      </c>
      <c r="T44" s="167">
        <f t="shared" si="0"/>
        <v>1505.6191573926867</v>
      </c>
      <c r="U44" s="167">
        <v>2053.1865977742445</v>
      </c>
      <c r="V44" s="149">
        <f t="shared" si="2"/>
        <v>547.56744038155784</v>
      </c>
      <c r="W44" s="149">
        <f t="shared" si="3"/>
        <v>2053.1865977742445</v>
      </c>
      <c r="X44" s="149">
        <v>0</v>
      </c>
      <c r="Y44" s="368">
        <v>0</v>
      </c>
      <c r="Z44" s="368">
        <v>0</v>
      </c>
      <c r="AA44" s="368">
        <v>0</v>
      </c>
      <c r="AB44" s="368">
        <v>0</v>
      </c>
      <c r="AC44" s="368">
        <v>0</v>
      </c>
      <c r="AD44" s="368">
        <v>0</v>
      </c>
      <c r="AE44" s="368">
        <v>207</v>
      </c>
      <c r="AF44" s="396">
        <f t="shared" si="8"/>
        <v>2053.1865977742445</v>
      </c>
      <c r="AG44" s="368">
        <v>0</v>
      </c>
      <c r="AH44" s="396">
        <v>0</v>
      </c>
      <c r="AI44" s="368">
        <v>0</v>
      </c>
      <c r="AJ44" s="396">
        <v>0</v>
      </c>
      <c r="AK44" s="368">
        <v>0</v>
      </c>
      <c r="AL44" s="368">
        <v>0</v>
      </c>
      <c r="AM44" s="368">
        <v>0</v>
      </c>
      <c r="AN44" s="368"/>
      <c r="AO44" s="368">
        <v>0</v>
      </c>
    </row>
    <row r="45" spans="1:41" s="152" customFormat="1" ht="36" customHeight="1" x14ac:dyDescent="0.9">
      <c r="A45" s="152">
        <v>1</v>
      </c>
      <c r="B45" s="90">
        <f>SUBTOTAL(103,$A$16:A45)</f>
        <v>30</v>
      </c>
      <c r="C45" s="89" t="s">
        <v>518</v>
      </c>
      <c r="D45" s="163">
        <v>1959</v>
      </c>
      <c r="E45" s="163"/>
      <c r="F45" s="168" t="s">
        <v>270</v>
      </c>
      <c r="G45" s="163">
        <v>2</v>
      </c>
      <c r="H45" s="163">
        <v>1</v>
      </c>
      <c r="I45" s="167">
        <v>313.3</v>
      </c>
      <c r="J45" s="167">
        <v>290.10000000000002</v>
      </c>
      <c r="K45" s="167">
        <v>290.10000000000002</v>
      </c>
      <c r="L45" s="165">
        <v>24</v>
      </c>
      <c r="M45" s="163" t="s">
        <v>268</v>
      </c>
      <c r="N45" s="163" t="s">
        <v>272</v>
      </c>
      <c r="O45" s="166" t="s">
        <v>1088</v>
      </c>
      <c r="P45" s="167">
        <v>1287913.6700000002</v>
      </c>
      <c r="Q45" s="167">
        <v>0</v>
      </c>
      <c r="R45" s="167">
        <v>0</v>
      </c>
      <c r="S45" s="167">
        <f t="shared" si="1"/>
        <v>1287913.6700000002</v>
      </c>
      <c r="T45" s="167">
        <f t="shared" si="0"/>
        <v>4110.8000957548675</v>
      </c>
      <c r="U45" s="167">
        <v>10077.095563357803</v>
      </c>
      <c r="V45" s="149">
        <f t="shared" si="2"/>
        <v>5966.2954676029358</v>
      </c>
      <c r="W45" s="149">
        <f t="shared" si="3"/>
        <v>10077.095563357803</v>
      </c>
      <c r="X45" s="149">
        <v>0</v>
      </c>
      <c r="Y45" s="368">
        <v>0</v>
      </c>
      <c r="Z45" s="368">
        <v>0</v>
      </c>
      <c r="AA45" s="368">
        <v>0</v>
      </c>
      <c r="AB45" s="368">
        <v>0</v>
      </c>
      <c r="AC45" s="368">
        <v>0</v>
      </c>
      <c r="AD45" s="368">
        <v>0</v>
      </c>
      <c r="AE45" s="368">
        <v>0</v>
      </c>
      <c r="AF45" s="396">
        <v>0</v>
      </c>
      <c r="AG45" s="368">
        <v>0</v>
      </c>
      <c r="AH45" s="396">
        <v>0</v>
      </c>
      <c r="AI45" s="368">
        <v>424.4</v>
      </c>
      <c r="AJ45" s="397">
        <f>7439.1*AI45/I45</f>
        <v>10077.095563357803</v>
      </c>
      <c r="AK45" s="368">
        <v>0</v>
      </c>
      <c r="AL45" s="368">
        <v>0</v>
      </c>
      <c r="AM45" s="368">
        <v>0</v>
      </c>
      <c r="AN45" s="368"/>
      <c r="AO45" s="368">
        <v>0</v>
      </c>
    </row>
    <row r="46" spans="1:41" s="152" customFormat="1" ht="36" customHeight="1" x14ac:dyDescent="0.9">
      <c r="A46" s="152">
        <v>1</v>
      </c>
      <c r="B46" s="90">
        <f>SUBTOTAL(103,$A$16:A46)</f>
        <v>31</v>
      </c>
      <c r="C46" s="89" t="s">
        <v>519</v>
      </c>
      <c r="D46" s="163">
        <v>1969</v>
      </c>
      <c r="E46" s="163"/>
      <c r="F46" s="168" t="s">
        <v>270</v>
      </c>
      <c r="G46" s="163">
        <v>9</v>
      </c>
      <c r="H46" s="163">
        <v>1</v>
      </c>
      <c r="I46" s="167">
        <v>2575.6999999999998</v>
      </c>
      <c r="J46" s="167">
        <v>2278.3000000000002</v>
      </c>
      <c r="K46" s="167">
        <v>2233.5</v>
      </c>
      <c r="L46" s="165">
        <v>84</v>
      </c>
      <c r="M46" s="163" t="s">
        <v>268</v>
      </c>
      <c r="N46" s="163" t="s">
        <v>272</v>
      </c>
      <c r="O46" s="166" t="s">
        <v>1088</v>
      </c>
      <c r="P46" s="167">
        <v>2046760.76</v>
      </c>
      <c r="Q46" s="167">
        <v>0</v>
      </c>
      <c r="R46" s="167">
        <v>0</v>
      </c>
      <c r="S46" s="167">
        <f t="shared" si="1"/>
        <v>2046760.76</v>
      </c>
      <c r="T46" s="167">
        <f t="shared" si="0"/>
        <v>794.64252824474909</v>
      </c>
      <c r="U46" s="167">
        <v>954.22603564079679</v>
      </c>
      <c r="V46" s="149">
        <f t="shared" si="2"/>
        <v>159.58350739604771</v>
      </c>
      <c r="W46" s="149">
        <f t="shared" si="3"/>
        <v>954.22603564079679</v>
      </c>
      <c r="X46" s="149">
        <v>0</v>
      </c>
      <c r="Y46" s="368">
        <v>0</v>
      </c>
      <c r="Z46" s="368">
        <v>0</v>
      </c>
      <c r="AA46" s="368">
        <v>0</v>
      </c>
      <c r="AB46" s="368">
        <v>0</v>
      </c>
      <c r="AC46" s="368">
        <v>1</v>
      </c>
      <c r="AD46" s="396">
        <f>2457800*AC46/I46</f>
        <v>954.22603564079679</v>
      </c>
      <c r="AE46" s="368">
        <v>0</v>
      </c>
      <c r="AF46" s="396">
        <v>0</v>
      </c>
      <c r="AG46" s="368">
        <v>0</v>
      </c>
      <c r="AH46" s="396">
        <v>0</v>
      </c>
      <c r="AI46" s="368">
        <v>0</v>
      </c>
      <c r="AJ46" s="396">
        <v>0</v>
      </c>
      <c r="AK46" s="368">
        <v>0</v>
      </c>
      <c r="AL46" s="368">
        <v>0</v>
      </c>
      <c r="AM46" s="368">
        <v>0</v>
      </c>
      <c r="AN46" s="368"/>
      <c r="AO46" s="368">
        <v>0</v>
      </c>
    </row>
    <row r="47" spans="1:41" s="152" customFormat="1" ht="36" customHeight="1" x14ac:dyDescent="0.9">
      <c r="A47" s="152">
        <v>1</v>
      </c>
      <c r="B47" s="90">
        <f>SUBTOTAL(103,$A$16:A47)</f>
        <v>32</v>
      </c>
      <c r="C47" s="89" t="s">
        <v>520</v>
      </c>
      <c r="D47" s="163">
        <v>1983</v>
      </c>
      <c r="E47" s="163"/>
      <c r="F47" s="168" t="s">
        <v>270</v>
      </c>
      <c r="G47" s="163">
        <v>5</v>
      </c>
      <c r="H47" s="163">
        <v>3</v>
      </c>
      <c r="I47" s="167">
        <v>2944</v>
      </c>
      <c r="J47" s="167">
        <v>1558.5</v>
      </c>
      <c r="K47" s="167">
        <v>1519.6</v>
      </c>
      <c r="L47" s="165">
        <v>99</v>
      </c>
      <c r="M47" s="163" t="s">
        <v>268</v>
      </c>
      <c r="N47" s="163" t="s">
        <v>272</v>
      </c>
      <c r="O47" s="166" t="s">
        <v>1088</v>
      </c>
      <c r="P47" s="167">
        <v>2502648.29</v>
      </c>
      <c r="Q47" s="167">
        <v>0</v>
      </c>
      <c r="R47" s="167">
        <v>0</v>
      </c>
      <c r="S47" s="167">
        <f t="shared" si="1"/>
        <v>2502648.29</v>
      </c>
      <c r="T47" s="167">
        <f t="shared" si="0"/>
        <v>850.08433763586959</v>
      </c>
      <c r="U47" s="167">
        <v>2017.473614130435</v>
      </c>
      <c r="V47" s="149">
        <f t="shared" si="2"/>
        <v>1167.3892764945654</v>
      </c>
      <c r="W47" s="149">
        <f t="shared" si="3"/>
        <v>2017.473614130435</v>
      </c>
      <c r="X47" s="149">
        <v>0</v>
      </c>
      <c r="Y47" s="368">
        <v>0</v>
      </c>
      <c r="Z47" s="368">
        <v>0</v>
      </c>
      <c r="AA47" s="368">
        <v>0</v>
      </c>
      <c r="AB47" s="368">
        <v>0</v>
      </c>
      <c r="AC47" s="368">
        <v>0</v>
      </c>
      <c r="AD47" s="368">
        <v>0</v>
      </c>
      <c r="AE47" s="368">
        <v>952</v>
      </c>
      <c r="AF47" s="396">
        <f t="shared" ref="AF47:AF62" si="9">6238.91*AE47/I47</f>
        <v>2017.473614130435</v>
      </c>
      <c r="AG47" s="368">
        <v>0</v>
      </c>
      <c r="AH47" s="396">
        <v>0</v>
      </c>
      <c r="AI47" s="368">
        <v>0</v>
      </c>
      <c r="AJ47" s="396">
        <v>0</v>
      </c>
      <c r="AK47" s="368">
        <v>0</v>
      </c>
      <c r="AL47" s="368">
        <v>0</v>
      </c>
      <c r="AM47" s="368">
        <v>0</v>
      </c>
      <c r="AN47" s="368"/>
      <c r="AO47" s="368">
        <v>0</v>
      </c>
    </row>
    <row r="48" spans="1:41" s="152" customFormat="1" ht="36" customHeight="1" x14ac:dyDescent="0.9">
      <c r="A48" s="152">
        <v>1</v>
      </c>
      <c r="B48" s="90">
        <f>SUBTOTAL(103,$A$16:A48)</f>
        <v>33</v>
      </c>
      <c r="C48" s="89" t="s">
        <v>521</v>
      </c>
      <c r="D48" s="163">
        <v>1989</v>
      </c>
      <c r="E48" s="163"/>
      <c r="F48" s="168" t="s">
        <v>270</v>
      </c>
      <c r="G48" s="163">
        <v>5</v>
      </c>
      <c r="H48" s="163">
        <v>4</v>
      </c>
      <c r="I48" s="167">
        <v>3501.4</v>
      </c>
      <c r="J48" s="167">
        <v>2634.9</v>
      </c>
      <c r="K48" s="167">
        <v>2634.9</v>
      </c>
      <c r="L48" s="165">
        <v>131</v>
      </c>
      <c r="M48" s="163" t="s">
        <v>268</v>
      </c>
      <c r="N48" s="163" t="s">
        <v>272</v>
      </c>
      <c r="O48" s="166" t="s">
        <v>1414</v>
      </c>
      <c r="P48" s="167">
        <v>2398202</v>
      </c>
      <c r="Q48" s="167">
        <v>0</v>
      </c>
      <c r="R48" s="167">
        <v>0</v>
      </c>
      <c r="S48" s="167">
        <f t="shared" si="1"/>
        <v>2398202</v>
      </c>
      <c r="T48" s="167">
        <f t="shared" si="0"/>
        <v>684.92660078825611</v>
      </c>
      <c r="U48" s="167">
        <v>1207.5482112869138</v>
      </c>
      <c r="V48" s="149">
        <f t="shared" si="2"/>
        <v>522.62161049865767</v>
      </c>
      <c r="W48" s="149">
        <f t="shared" si="3"/>
        <v>1207.5482112869138</v>
      </c>
      <c r="X48" s="149">
        <v>0</v>
      </c>
      <c r="Y48" s="368">
        <v>0</v>
      </c>
      <c r="Z48" s="368">
        <v>0</v>
      </c>
      <c r="AA48" s="368">
        <v>0</v>
      </c>
      <c r="AB48" s="368">
        <v>0</v>
      </c>
      <c r="AC48" s="368">
        <v>0</v>
      </c>
      <c r="AD48" s="368">
        <v>0</v>
      </c>
      <c r="AE48" s="368">
        <v>677.7</v>
      </c>
      <c r="AF48" s="396">
        <f t="shared" si="9"/>
        <v>1207.5482112869138</v>
      </c>
      <c r="AG48" s="368">
        <v>0</v>
      </c>
      <c r="AH48" s="396">
        <v>0</v>
      </c>
      <c r="AI48" s="368">
        <v>0</v>
      </c>
      <c r="AJ48" s="396">
        <v>0</v>
      </c>
      <c r="AK48" s="368">
        <v>0</v>
      </c>
      <c r="AL48" s="368">
        <v>0</v>
      </c>
      <c r="AM48" s="368">
        <v>0</v>
      </c>
      <c r="AN48" s="368"/>
      <c r="AO48" s="368">
        <v>0</v>
      </c>
    </row>
    <row r="49" spans="1:41" s="152" customFormat="1" ht="36" customHeight="1" x14ac:dyDescent="0.9">
      <c r="A49" s="152">
        <v>1</v>
      </c>
      <c r="B49" s="90">
        <f>SUBTOTAL(103,$A$16:A49)</f>
        <v>34</v>
      </c>
      <c r="C49" s="89" t="s">
        <v>522</v>
      </c>
      <c r="D49" s="163">
        <v>1980</v>
      </c>
      <c r="E49" s="163"/>
      <c r="F49" s="168" t="s">
        <v>270</v>
      </c>
      <c r="G49" s="163">
        <v>5</v>
      </c>
      <c r="H49" s="163">
        <v>1</v>
      </c>
      <c r="I49" s="167">
        <v>1254.0999999999999</v>
      </c>
      <c r="J49" s="167">
        <v>1001.3</v>
      </c>
      <c r="K49" s="167">
        <v>1001.3</v>
      </c>
      <c r="L49" s="165">
        <v>42</v>
      </c>
      <c r="M49" s="163" t="s">
        <v>268</v>
      </c>
      <c r="N49" s="163" t="s">
        <v>272</v>
      </c>
      <c r="O49" s="166" t="s">
        <v>1414</v>
      </c>
      <c r="P49" s="167">
        <v>1104719.2799999998</v>
      </c>
      <c r="Q49" s="167">
        <v>0</v>
      </c>
      <c r="R49" s="167">
        <v>0</v>
      </c>
      <c r="S49" s="167">
        <f t="shared" si="1"/>
        <v>1104719.2799999998</v>
      </c>
      <c r="T49" s="167">
        <f t="shared" si="0"/>
        <v>880.88611753448674</v>
      </c>
      <c r="U49" s="167">
        <v>1245.6925795391119</v>
      </c>
      <c r="V49" s="149">
        <f t="shared" si="2"/>
        <v>364.80646200462513</v>
      </c>
      <c r="W49" s="149">
        <f t="shared" si="3"/>
        <v>1245.6925795391119</v>
      </c>
      <c r="X49" s="149">
        <v>0</v>
      </c>
      <c r="Y49" s="368">
        <v>0</v>
      </c>
      <c r="Z49" s="368">
        <v>0</v>
      </c>
      <c r="AA49" s="368">
        <v>0</v>
      </c>
      <c r="AB49" s="368">
        <v>0</v>
      </c>
      <c r="AC49" s="368">
        <v>0</v>
      </c>
      <c r="AD49" s="368">
        <v>0</v>
      </c>
      <c r="AE49" s="368">
        <v>250.4</v>
      </c>
      <c r="AF49" s="396">
        <f t="shared" si="9"/>
        <v>1245.6925795391119</v>
      </c>
      <c r="AG49" s="368">
        <v>0</v>
      </c>
      <c r="AH49" s="396">
        <v>0</v>
      </c>
      <c r="AI49" s="368">
        <v>0</v>
      </c>
      <c r="AJ49" s="396">
        <v>0</v>
      </c>
      <c r="AK49" s="368">
        <v>0</v>
      </c>
      <c r="AL49" s="368">
        <v>0</v>
      </c>
      <c r="AM49" s="368">
        <v>0</v>
      </c>
      <c r="AN49" s="368"/>
      <c r="AO49" s="368">
        <v>0</v>
      </c>
    </row>
    <row r="50" spans="1:41" s="152" customFormat="1" ht="36" customHeight="1" x14ac:dyDescent="0.9">
      <c r="A50" s="152">
        <v>1</v>
      </c>
      <c r="B50" s="90">
        <f>SUBTOTAL(103,$A$16:A50)</f>
        <v>35</v>
      </c>
      <c r="C50" s="89" t="s">
        <v>523</v>
      </c>
      <c r="D50" s="163">
        <v>1981</v>
      </c>
      <c r="E50" s="163"/>
      <c r="F50" s="168" t="s">
        <v>315</v>
      </c>
      <c r="G50" s="163">
        <v>5</v>
      </c>
      <c r="H50" s="163">
        <v>8</v>
      </c>
      <c r="I50" s="167">
        <v>7968.9</v>
      </c>
      <c r="J50" s="167">
        <v>6120.8</v>
      </c>
      <c r="K50" s="167">
        <v>6120.8</v>
      </c>
      <c r="L50" s="165">
        <v>317</v>
      </c>
      <c r="M50" s="163" t="s">
        <v>268</v>
      </c>
      <c r="N50" s="163" t="s">
        <v>272</v>
      </c>
      <c r="O50" s="166" t="s">
        <v>1414</v>
      </c>
      <c r="P50" s="167">
        <v>2605870.27</v>
      </c>
      <c r="Q50" s="167">
        <v>0</v>
      </c>
      <c r="R50" s="167">
        <v>0</v>
      </c>
      <c r="S50" s="167">
        <f t="shared" si="1"/>
        <v>2605870.27</v>
      </c>
      <c r="T50" s="167">
        <f t="shared" si="0"/>
        <v>327.00501574872317</v>
      </c>
      <c r="U50" s="167">
        <v>1184.0768328251077</v>
      </c>
      <c r="V50" s="149">
        <f t="shared" si="2"/>
        <v>857.07181707638449</v>
      </c>
      <c r="W50" s="149">
        <f t="shared" si="3"/>
        <v>1184.0768328251077</v>
      </c>
      <c r="X50" s="149">
        <v>0</v>
      </c>
      <c r="Y50" s="368">
        <v>0</v>
      </c>
      <c r="Z50" s="368">
        <v>0</v>
      </c>
      <c r="AA50" s="368">
        <v>0</v>
      </c>
      <c r="AB50" s="368">
        <v>0</v>
      </c>
      <c r="AC50" s="368">
        <v>0</v>
      </c>
      <c r="AD50" s="368">
        <v>0</v>
      </c>
      <c r="AE50" s="368">
        <v>1512.41</v>
      </c>
      <c r="AF50" s="396">
        <f t="shared" si="9"/>
        <v>1184.0768328251077</v>
      </c>
      <c r="AG50" s="368">
        <v>0</v>
      </c>
      <c r="AH50" s="396">
        <v>0</v>
      </c>
      <c r="AI50" s="368">
        <v>0</v>
      </c>
      <c r="AJ50" s="396">
        <v>0</v>
      </c>
      <c r="AK50" s="368">
        <v>0</v>
      </c>
      <c r="AL50" s="368">
        <v>0</v>
      </c>
      <c r="AM50" s="368">
        <v>0</v>
      </c>
      <c r="AN50" s="368"/>
      <c r="AO50" s="368">
        <v>0</v>
      </c>
    </row>
    <row r="51" spans="1:41" s="152" customFormat="1" ht="36" customHeight="1" x14ac:dyDescent="0.9">
      <c r="A51" s="152">
        <v>1</v>
      </c>
      <c r="B51" s="90">
        <f>SUBTOTAL(103,$A$16:A51)</f>
        <v>36</v>
      </c>
      <c r="C51" s="89" t="s">
        <v>524</v>
      </c>
      <c r="D51" s="163">
        <v>1993</v>
      </c>
      <c r="E51" s="163"/>
      <c r="F51" s="168" t="s">
        <v>315</v>
      </c>
      <c r="G51" s="163">
        <v>5</v>
      </c>
      <c r="H51" s="163">
        <v>5</v>
      </c>
      <c r="I51" s="167">
        <v>7577.6</v>
      </c>
      <c r="J51" s="167">
        <v>5722.2</v>
      </c>
      <c r="K51" s="167">
        <v>5722</v>
      </c>
      <c r="L51" s="165">
        <v>260</v>
      </c>
      <c r="M51" s="163" t="s">
        <v>268</v>
      </c>
      <c r="N51" s="163" t="s">
        <v>272</v>
      </c>
      <c r="O51" s="166" t="s">
        <v>1414</v>
      </c>
      <c r="P51" s="167">
        <v>4726303.2699999996</v>
      </c>
      <c r="Q51" s="167">
        <v>0</v>
      </c>
      <c r="R51" s="167">
        <v>0</v>
      </c>
      <c r="S51" s="167">
        <f t="shared" si="1"/>
        <v>4726303.2699999996</v>
      </c>
      <c r="T51" s="167">
        <f t="shared" si="0"/>
        <v>623.72034285261816</v>
      </c>
      <c r="U51" s="167">
        <v>1704.8239829629435</v>
      </c>
      <c r="V51" s="149">
        <f t="shared" si="2"/>
        <v>1081.1036401103254</v>
      </c>
      <c r="W51" s="149">
        <f t="shared" si="3"/>
        <v>1704.8239829629435</v>
      </c>
      <c r="X51" s="149">
        <v>0</v>
      </c>
      <c r="Y51" s="368">
        <v>0</v>
      </c>
      <c r="Z51" s="368">
        <v>0</v>
      </c>
      <c r="AA51" s="368">
        <v>0</v>
      </c>
      <c r="AB51" s="368">
        <v>0</v>
      </c>
      <c r="AC51" s="368">
        <v>0</v>
      </c>
      <c r="AD51" s="368">
        <v>0</v>
      </c>
      <c r="AE51" s="368">
        <v>2070.63</v>
      </c>
      <c r="AF51" s="396">
        <f t="shared" si="9"/>
        <v>1704.8239829629435</v>
      </c>
      <c r="AG51" s="368">
        <v>0</v>
      </c>
      <c r="AH51" s="396">
        <v>0</v>
      </c>
      <c r="AI51" s="368">
        <v>0</v>
      </c>
      <c r="AJ51" s="396">
        <v>0</v>
      </c>
      <c r="AK51" s="368">
        <v>0</v>
      </c>
      <c r="AL51" s="368">
        <v>0</v>
      </c>
      <c r="AM51" s="368">
        <v>0</v>
      </c>
      <c r="AN51" s="368"/>
      <c r="AO51" s="368">
        <v>0</v>
      </c>
    </row>
    <row r="52" spans="1:41" s="152" customFormat="1" ht="36" customHeight="1" x14ac:dyDescent="0.9">
      <c r="A52" s="152">
        <v>1</v>
      </c>
      <c r="B52" s="90">
        <f>SUBTOTAL(103,$A$16:A52)</f>
        <v>37</v>
      </c>
      <c r="C52" s="89" t="s">
        <v>525</v>
      </c>
      <c r="D52" s="163">
        <v>1986</v>
      </c>
      <c r="E52" s="163"/>
      <c r="F52" s="168" t="s">
        <v>270</v>
      </c>
      <c r="G52" s="163">
        <v>5</v>
      </c>
      <c r="H52" s="163">
        <v>4</v>
      </c>
      <c r="I52" s="167">
        <v>3600.3</v>
      </c>
      <c r="J52" s="167">
        <v>2714.2</v>
      </c>
      <c r="K52" s="167">
        <v>2714.2</v>
      </c>
      <c r="L52" s="165">
        <v>137</v>
      </c>
      <c r="M52" s="163" t="s">
        <v>268</v>
      </c>
      <c r="N52" s="163" t="s">
        <v>272</v>
      </c>
      <c r="O52" s="166" t="s">
        <v>1414</v>
      </c>
      <c r="P52" s="167">
        <v>2474623</v>
      </c>
      <c r="Q52" s="167">
        <v>0</v>
      </c>
      <c r="R52" s="167">
        <v>0</v>
      </c>
      <c r="S52" s="167">
        <f t="shared" si="1"/>
        <v>2474623</v>
      </c>
      <c r="T52" s="167">
        <f t="shared" si="0"/>
        <v>687.33799961114346</v>
      </c>
      <c r="U52" s="167">
        <v>1318.7263589145348</v>
      </c>
      <c r="V52" s="149">
        <f t="shared" si="2"/>
        <v>631.38835930339133</v>
      </c>
      <c r="W52" s="149">
        <f t="shared" si="3"/>
        <v>1318.7263589145348</v>
      </c>
      <c r="X52" s="149">
        <v>0</v>
      </c>
      <c r="Y52" s="368">
        <v>0</v>
      </c>
      <c r="Z52" s="368">
        <v>0</v>
      </c>
      <c r="AA52" s="368">
        <v>0</v>
      </c>
      <c r="AB52" s="368">
        <v>0</v>
      </c>
      <c r="AC52" s="368">
        <v>0</v>
      </c>
      <c r="AD52" s="368">
        <v>0</v>
      </c>
      <c r="AE52" s="368">
        <v>761</v>
      </c>
      <c r="AF52" s="396">
        <f t="shared" si="9"/>
        <v>1318.7263589145348</v>
      </c>
      <c r="AG52" s="368">
        <v>0</v>
      </c>
      <c r="AH52" s="396">
        <v>0</v>
      </c>
      <c r="AI52" s="368">
        <v>0</v>
      </c>
      <c r="AJ52" s="396">
        <v>0</v>
      </c>
      <c r="AK52" s="368">
        <v>0</v>
      </c>
      <c r="AL52" s="368">
        <v>0</v>
      </c>
      <c r="AM52" s="368">
        <v>0</v>
      </c>
      <c r="AN52" s="368"/>
      <c r="AO52" s="368">
        <v>0</v>
      </c>
    </row>
    <row r="53" spans="1:41" s="152" customFormat="1" ht="36" customHeight="1" x14ac:dyDescent="0.9">
      <c r="A53" s="152">
        <v>1</v>
      </c>
      <c r="B53" s="90">
        <f>SUBTOTAL(103,$A$16:A53)</f>
        <v>38</v>
      </c>
      <c r="C53" s="89" t="s">
        <v>526</v>
      </c>
      <c r="D53" s="163">
        <v>1988</v>
      </c>
      <c r="E53" s="163"/>
      <c r="F53" s="168" t="s">
        <v>315</v>
      </c>
      <c r="G53" s="163">
        <v>5</v>
      </c>
      <c r="H53" s="163">
        <v>5</v>
      </c>
      <c r="I53" s="167">
        <v>5202.1000000000004</v>
      </c>
      <c r="J53" s="167">
        <v>3872.5</v>
      </c>
      <c r="K53" s="167">
        <v>3697</v>
      </c>
      <c r="L53" s="165">
        <v>193</v>
      </c>
      <c r="M53" s="163" t="s">
        <v>268</v>
      </c>
      <c r="N53" s="163" t="s">
        <v>272</v>
      </c>
      <c r="O53" s="166" t="s">
        <v>1104</v>
      </c>
      <c r="P53" s="167">
        <v>4187098.32</v>
      </c>
      <c r="Q53" s="167">
        <v>0</v>
      </c>
      <c r="R53" s="167">
        <v>0</v>
      </c>
      <c r="S53" s="167">
        <f t="shared" si="1"/>
        <v>4187098.32</v>
      </c>
      <c r="T53" s="167">
        <f t="shared" si="0"/>
        <v>804.88616520251423</v>
      </c>
      <c r="U53" s="167">
        <v>1199.3060494800177</v>
      </c>
      <c r="V53" s="149">
        <f t="shared" si="2"/>
        <v>394.41988427750346</v>
      </c>
      <c r="W53" s="149">
        <f t="shared" si="3"/>
        <v>1199.3060494800177</v>
      </c>
      <c r="X53" s="149">
        <v>0</v>
      </c>
      <c r="Y53" s="368">
        <v>0</v>
      </c>
      <c r="Z53" s="368">
        <v>0</v>
      </c>
      <c r="AA53" s="368">
        <v>0</v>
      </c>
      <c r="AB53" s="368">
        <v>0</v>
      </c>
      <c r="AC53" s="368">
        <v>0</v>
      </c>
      <c r="AD53" s="368">
        <v>0</v>
      </c>
      <c r="AE53" s="368">
        <v>1000</v>
      </c>
      <c r="AF53" s="396">
        <f t="shared" si="9"/>
        <v>1199.3060494800177</v>
      </c>
      <c r="AG53" s="368">
        <v>0</v>
      </c>
      <c r="AH53" s="396">
        <v>0</v>
      </c>
      <c r="AI53" s="368">
        <v>0</v>
      </c>
      <c r="AJ53" s="396">
        <v>0</v>
      </c>
      <c r="AK53" s="368">
        <v>0</v>
      </c>
      <c r="AL53" s="368">
        <v>0</v>
      </c>
      <c r="AM53" s="368">
        <v>0</v>
      </c>
      <c r="AN53" s="368"/>
      <c r="AO53" s="368">
        <v>0</v>
      </c>
    </row>
    <row r="54" spans="1:41" s="152" customFormat="1" ht="36" customHeight="1" x14ac:dyDescent="0.9">
      <c r="A54" s="152">
        <v>1</v>
      </c>
      <c r="B54" s="90">
        <f>SUBTOTAL(103,$A$16:A54)</f>
        <v>39</v>
      </c>
      <c r="C54" s="89" t="s">
        <v>527</v>
      </c>
      <c r="D54" s="163">
        <v>1987</v>
      </c>
      <c r="E54" s="163"/>
      <c r="F54" s="168" t="s">
        <v>315</v>
      </c>
      <c r="G54" s="163">
        <v>5</v>
      </c>
      <c r="H54" s="163">
        <v>3</v>
      </c>
      <c r="I54" s="167">
        <v>3164.6</v>
      </c>
      <c r="J54" s="167">
        <v>2306.6999999999998</v>
      </c>
      <c r="K54" s="167">
        <v>2254.6</v>
      </c>
      <c r="L54" s="165">
        <v>96</v>
      </c>
      <c r="M54" s="163" t="s">
        <v>268</v>
      </c>
      <c r="N54" s="163" t="s">
        <v>272</v>
      </c>
      <c r="O54" s="166" t="s">
        <v>1104</v>
      </c>
      <c r="P54" s="167">
        <v>2693319.61</v>
      </c>
      <c r="Q54" s="167">
        <v>0</v>
      </c>
      <c r="R54" s="167">
        <v>0</v>
      </c>
      <c r="S54" s="167">
        <f t="shared" si="1"/>
        <v>2693319.61</v>
      </c>
      <c r="T54" s="167">
        <f t="shared" si="0"/>
        <v>851.07742210705931</v>
      </c>
      <c r="U54" s="167">
        <v>1182.8812488150161</v>
      </c>
      <c r="V54" s="149">
        <f t="shared" si="2"/>
        <v>331.80382670795677</v>
      </c>
      <c r="W54" s="149">
        <f t="shared" si="3"/>
        <v>1182.8812488150161</v>
      </c>
      <c r="X54" s="149">
        <v>0</v>
      </c>
      <c r="Y54" s="368">
        <v>0</v>
      </c>
      <c r="Z54" s="368">
        <v>0</v>
      </c>
      <c r="AA54" s="368">
        <v>0</v>
      </c>
      <c r="AB54" s="368">
        <v>0</v>
      </c>
      <c r="AC54" s="368">
        <v>0</v>
      </c>
      <c r="AD54" s="368">
        <v>0</v>
      </c>
      <c r="AE54" s="368">
        <v>600</v>
      </c>
      <c r="AF54" s="396">
        <f t="shared" si="9"/>
        <v>1182.8812488150161</v>
      </c>
      <c r="AG54" s="368">
        <v>0</v>
      </c>
      <c r="AH54" s="396">
        <v>0</v>
      </c>
      <c r="AI54" s="368">
        <v>0</v>
      </c>
      <c r="AJ54" s="396">
        <v>0</v>
      </c>
      <c r="AK54" s="368">
        <v>0</v>
      </c>
      <c r="AL54" s="368">
        <v>0</v>
      </c>
      <c r="AM54" s="368">
        <v>0</v>
      </c>
      <c r="AN54" s="368"/>
      <c r="AO54" s="368">
        <v>0</v>
      </c>
    </row>
    <row r="55" spans="1:41" s="152" customFormat="1" ht="36" customHeight="1" x14ac:dyDescent="0.9">
      <c r="A55" s="152">
        <v>1</v>
      </c>
      <c r="B55" s="90">
        <f>SUBTOTAL(103,$A$16:A55)</f>
        <v>40</v>
      </c>
      <c r="C55" s="89" t="s">
        <v>528</v>
      </c>
      <c r="D55" s="163">
        <v>1952</v>
      </c>
      <c r="E55" s="163"/>
      <c r="F55" s="168" t="s">
        <v>270</v>
      </c>
      <c r="G55" s="163">
        <v>2</v>
      </c>
      <c r="H55" s="163">
        <v>2</v>
      </c>
      <c r="I55" s="167">
        <v>796</v>
      </c>
      <c r="J55" s="167">
        <v>723.4</v>
      </c>
      <c r="K55" s="167">
        <v>571.67999999999995</v>
      </c>
      <c r="L55" s="165">
        <v>47</v>
      </c>
      <c r="M55" s="163" t="s">
        <v>268</v>
      </c>
      <c r="N55" s="163" t="s">
        <v>272</v>
      </c>
      <c r="O55" s="166" t="s">
        <v>1398</v>
      </c>
      <c r="P55" s="167">
        <v>2288122.8600000003</v>
      </c>
      <c r="Q55" s="167">
        <v>0</v>
      </c>
      <c r="R55" s="167">
        <v>0</v>
      </c>
      <c r="S55" s="167">
        <f t="shared" si="1"/>
        <v>2288122.8600000003</v>
      </c>
      <c r="T55" s="167">
        <f t="shared" si="0"/>
        <v>2874.5262060301511</v>
      </c>
      <c r="U55" s="167">
        <v>4514.1178711055281</v>
      </c>
      <c r="V55" s="149">
        <f t="shared" si="2"/>
        <v>1639.591665075377</v>
      </c>
      <c r="W55" s="149">
        <f t="shared" si="3"/>
        <v>4514.1178711055281</v>
      </c>
      <c r="X55" s="149">
        <v>0</v>
      </c>
      <c r="Y55" s="368">
        <v>0</v>
      </c>
      <c r="Z55" s="368">
        <v>0</v>
      </c>
      <c r="AA55" s="368">
        <v>0</v>
      </c>
      <c r="AB55" s="368">
        <v>0</v>
      </c>
      <c r="AC55" s="368">
        <v>0</v>
      </c>
      <c r="AD55" s="368">
        <v>0</v>
      </c>
      <c r="AE55" s="368">
        <v>575.94000000000005</v>
      </c>
      <c r="AF55" s="396">
        <f t="shared" si="9"/>
        <v>4514.1178711055281</v>
      </c>
      <c r="AG55" s="368">
        <v>0</v>
      </c>
      <c r="AH55" s="396">
        <v>0</v>
      </c>
      <c r="AI55" s="368">
        <v>0</v>
      </c>
      <c r="AJ55" s="396">
        <v>0</v>
      </c>
      <c r="AK55" s="368">
        <v>0</v>
      </c>
      <c r="AL55" s="368">
        <v>0</v>
      </c>
      <c r="AM55" s="368">
        <v>0</v>
      </c>
      <c r="AN55" s="368"/>
      <c r="AO55" s="368">
        <v>0</v>
      </c>
    </row>
    <row r="56" spans="1:41" s="152" customFormat="1" ht="36" customHeight="1" x14ac:dyDescent="0.9">
      <c r="A56" s="152">
        <v>1</v>
      </c>
      <c r="B56" s="90">
        <f>SUBTOTAL(103,$A$16:A56)</f>
        <v>41</v>
      </c>
      <c r="C56" s="89" t="s">
        <v>529</v>
      </c>
      <c r="D56" s="163">
        <v>1989</v>
      </c>
      <c r="E56" s="163"/>
      <c r="F56" s="168" t="s">
        <v>315</v>
      </c>
      <c r="G56" s="163">
        <v>5</v>
      </c>
      <c r="H56" s="163">
        <v>4</v>
      </c>
      <c r="I56" s="167">
        <v>4185.3</v>
      </c>
      <c r="J56" s="167">
        <v>3109.7</v>
      </c>
      <c r="K56" s="167">
        <v>3039.3</v>
      </c>
      <c r="L56" s="165">
        <v>144</v>
      </c>
      <c r="M56" s="163" t="s">
        <v>268</v>
      </c>
      <c r="N56" s="163" t="s">
        <v>272</v>
      </c>
      <c r="O56" s="166" t="s">
        <v>1104</v>
      </c>
      <c r="P56" s="167">
        <v>3382151.3</v>
      </c>
      <c r="Q56" s="167">
        <v>0</v>
      </c>
      <c r="R56" s="167">
        <v>0</v>
      </c>
      <c r="S56" s="167">
        <f t="shared" si="1"/>
        <v>3382151.3</v>
      </c>
      <c r="T56" s="167">
        <f t="shared" si="0"/>
        <v>808.1024777196377</v>
      </c>
      <c r="U56" s="167">
        <v>1192.537691443863</v>
      </c>
      <c r="V56" s="149">
        <f t="shared" si="2"/>
        <v>384.43521372422526</v>
      </c>
      <c r="W56" s="149">
        <f t="shared" si="3"/>
        <v>1192.537691443863</v>
      </c>
      <c r="X56" s="149">
        <v>0</v>
      </c>
      <c r="Y56" s="368">
        <v>0</v>
      </c>
      <c r="Z56" s="368">
        <v>0</v>
      </c>
      <c r="AA56" s="368">
        <v>0</v>
      </c>
      <c r="AB56" s="368">
        <v>0</v>
      </c>
      <c r="AC56" s="368">
        <v>0</v>
      </c>
      <c r="AD56" s="368">
        <v>0</v>
      </c>
      <c r="AE56" s="368">
        <v>800</v>
      </c>
      <c r="AF56" s="396">
        <f t="shared" si="9"/>
        <v>1192.537691443863</v>
      </c>
      <c r="AG56" s="368">
        <v>0</v>
      </c>
      <c r="AH56" s="396">
        <v>0</v>
      </c>
      <c r="AI56" s="368">
        <v>0</v>
      </c>
      <c r="AJ56" s="396">
        <v>0</v>
      </c>
      <c r="AK56" s="368">
        <v>0</v>
      </c>
      <c r="AL56" s="368">
        <v>0</v>
      </c>
      <c r="AM56" s="368">
        <v>0</v>
      </c>
      <c r="AN56" s="368"/>
      <c r="AO56" s="368">
        <v>0</v>
      </c>
    </row>
    <row r="57" spans="1:41" s="152" customFormat="1" ht="36" customHeight="1" x14ac:dyDescent="0.9">
      <c r="A57" s="152">
        <v>1</v>
      </c>
      <c r="B57" s="90">
        <f>SUBTOTAL(103,$A$16:A57)</f>
        <v>42</v>
      </c>
      <c r="C57" s="89" t="s">
        <v>530</v>
      </c>
      <c r="D57" s="163">
        <v>1958</v>
      </c>
      <c r="E57" s="163"/>
      <c r="F57" s="168" t="s">
        <v>270</v>
      </c>
      <c r="G57" s="163">
        <v>3</v>
      </c>
      <c r="H57" s="163">
        <v>2</v>
      </c>
      <c r="I57" s="167">
        <v>1891.9</v>
      </c>
      <c r="J57" s="167">
        <v>1802.9</v>
      </c>
      <c r="K57" s="167">
        <v>1802.9</v>
      </c>
      <c r="L57" s="165">
        <v>64</v>
      </c>
      <c r="M57" s="163" t="s">
        <v>268</v>
      </c>
      <c r="N57" s="163" t="s">
        <v>272</v>
      </c>
      <c r="O57" s="166" t="s">
        <v>1413</v>
      </c>
      <c r="P57" s="167">
        <v>4414109.6800000006</v>
      </c>
      <c r="Q57" s="167">
        <v>0</v>
      </c>
      <c r="R57" s="167">
        <v>0</v>
      </c>
      <c r="S57" s="167">
        <f t="shared" si="1"/>
        <v>4414109.6800000006</v>
      </c>
      <c r="T57" s="167">
        <f t="shared" si="0"/>
        <v>2333.1622601617423</v>
      </c>
      <c r="U57" s="167">
        <v>3512.0456419472484</v>
      </c>
      <c r="V57" s="149">
        <f t="shared" si="2"/>
        <v>1178.8833817855061</v>
      </c>
      <c r="W57" s="149">
        <f t="shared" si="3"/>
        <v>3512.0456419472484</v>
      </c>
      <c r="X57" s="149">
        <v>0</v>
      </c>
      <c r="Y57" s="368">
        <v>0</v>
      </c>
      <c r="Z57" s="368">
        <v>0</v>
      </c>
      <c r="AA57" s="368">
        <v>0</v>
      </c>
      <c r="AB57" s="368">
        <v>0</v>
      </c>
      <c r="AC57" s="368">
        <v>0</v>
      </c>
      <c r="AD57" s="368">
        <v>0</v>
      </c>
      <c r="AE57" s="368">
        <v>1065</v>
      </c>
      <c r="AF57" s="396">
        <f t="shared" si="9"/>
        <v>3512.0456419472484</v>
      </c>
      <c r="AG57" s="368">
        <v>0</v>
      </c>
      <c r="AH57" s="396">
        <v>0</v>
      </c>
      <c r="AI57" s="368">
        <v>0</v>
      </c>
      <c r="AJ57" s="396">
        <v>0</v>
      </c>
      <c r="AK57" s="368">
        <v>0</v>
      </c>
      <c r="AL57" s="368">
        <v>0</v>
      </c>
      <c r="AM57" s="368">
        <v>0</v>
      </c>
      <c r="AN57" s="368"/>
      <c r="AO57" s="368">
        <v>0</v>
      </c>
    </row>
    <row r="58" spans="1:41" s="152" customFormat="1" ht="36" customHeight="1" x14ac:dyDescent="0.9">
      <c r="A58" s="152">
        <v>1</v>
      </c>
      <c r="B58" s="90">
        <f>SUBTOTAL(103,$A$16:A58)</f>
        <v>43</v>
      </c>
      <c r="C58" s="89" t="s">
        <v>531</v>
      </c>
      <c r="D58" s="163">
        <v>1997</v>
      </c>
      <c r="E58" s="163"/>
      <c r="F58" s="168" t="s">
        <v>270</v>
      </c>
      <c r="G58" s="163">
        <v>4</v>
      </c>
      <c r="H58" s="163">
        <v>3</v>
      </c>
      <c r="I58" s="167">
        <v>2862.3</v>
      </c>
      <c r="J58" s="167">
        <v>2037.4</v>
      </c>
      <c r="K58" s="167">
        <v>2037.4</v>
      </c>
      <c r="L58" s="165">
        <v>98</v>
      </c>
      <c r="M58" s="163" t="s">
        <v>268</v>
      </c>
      <c r="N58" s="163" t="s">
        <v>272</v>
      </c>
      <c r="O58" s="166" t="s">
        <v>1414</v>
      </c>
      <c r="P58" s="167">
        <v>4032402</v>
      </c>
      <c r="Q58" s="167">
        <v>0</v>
      </c>
      <c r="R58" s="167">
        <v>0</v>
      </c>
      <c r="S58" s="167">
        <f t="shared" si="1"/>
        <v>4032402</v>
      </c>
      <c r="T58" s="167">
        <f t="shared" si="0"/>
        <v>1408.7978199350173</v>
      </c>
      <c r="U58" s="167">
        <v>1970.4344897460082</v>
      </c>
      <c r="V58" s="149">
        <f t="shared" si="2"/>
        <v>561.63666981099095</v>
      </c>
      <c r="W58" s="149">
        <f t="shared" si="3"/>
        <v>1970.4344897460082</v>
      </c>
      <c r="X58" s="149">
        <v>0</v>
      </c>
      <c r="Y58" s="368">
        <v>0</v>
      </c>
      <c r="Z58" s="368">
        <v>0</v>
      </c>
      <c r="AA58" s="368">
        <v>0</v>
      </c>
      <c r="AB58" s="368">
        <v>0</v>
      </c>
      <c r="AC58" s="368">
        <v>0</v>
      </c>
      <c r="AD58" s="368">
        <v>0</v>
      </c>
      <c r="AE58" s="368">
        <v>904</v>
      </c>
      <c r="AF58" s="396">
        <f t="shared" si="9"/>
        <v>1970.4344897460082</v>
      </c>
      <c r="AG58" s="368">
        <v>0</v>
      </c>
      <c r="AH58" s="396">
        <v>0</v>
      </c>
      <c r="AI58" s="368">
        <v>0</v>
      </c>
      <c r="AJ58" s="396">
        <v>0</v>
      </c>
      <c r="AK58" s="368">
        <v>0</v>
      </c>
      <c r="AL58" s="368">
        <v>0</v>
      </c>
      <c r="AM58" s="368">
        <v>0</v>
      </c>
      <c r="AN58" s="368"/>
      <c r="AO58" s="368">
        <v>0</v>
      </c>
    </row>
    <row r="59" spans="1:41" s="152" customFormat="1" ht="36" customHeight="1" x14ac:dyDescent="0.9">
      <c r="A59" s="152">
        <v>1</v>
      </c>
      <c r="B59" s="90">
        <f>SUBTOTAL(103,$A$16:A59)</f>
        <v>44</v>
      </c>
      <c r="C59" s="89" t="s">
        <v>532</v>
      </c>
      <c r="D59" s="163">
        <v>1995</v>
      </c>
      <c r="E59" s="163"/>
      <c r="F59" s="168" t="s">
        <v>315</v>
      </c>
      <c r="G59" s="163" t="s">
        <v>354</v>
      </c>
      <c r="H59" s="163">
        <v>4</v>
      </c>
      <c r="I59" s="167">
        <v>8497.7000000000007</v>
      </c>
      <c r="J59" s="167">
        <v>6287.1</v>
      </c>
      <c r="K59" s="167">
        <v>5664.6</v>
      </c>
      <c r="L59" s="165">
        <v>206</v>
      </c>
      <c r="M59" s="163" t="s">
        <v>268</v>
      </c>
      <c r="N59" s="163" t="s">
        <v>272</v>
      </c>
      <c r="O59" s="166" t="s">
        <v>1104</v>
      </c>
      <c r="P59" s="167">
        <v>3491771.3</v>
      </c>
      <c r="Q59" s="167">
        <v>0</v>
      </c>
      <c r="R59" s="167">
        <v>0</v>
      </c>
      <c r="S59" s="167">
        <f t="shared" si="1"/>
        <v>3491771.3</v>
      </c>
      <c r="T59" s="167">
        <f t="shared" si="0"/>
        <v>410.90781034868252</v>
      </c>
      <c r="U59" s="167">
        <v>866.41534662320385</v>
      </c>
      <c r="V59" s="149">
        <f t="shared" si="2"/>
        <v>455.50753627452133</v>
      </c>
      <c r="W59" s="149">
        <f t="shared" si="3"/>
        <v>866.41534662320385</v>
      </c>
      <c r="X59" s="149">
        <v>0</v>
      </c>
      <c r="Y59" s="368">
        <v>0</v>
      </c>
      <c r="Z59" s="368">
        <v>0</v>
      </c>
      <c r="AA59" s="368">
        <v>0</v>
      </c>
      <c r="AB59" s="368">
        <v>0</v>
      </c>
      <c r="AC59" s="368">
        <v>0</v>
      </c>
      <c r="AD59" s="368">
        <v>0</v>
      </c>
      <c r="AE59" s="368">
        <v>1180.0999999999999</v>
      </c>
      <c r="AF59" s="396">
        <f t="shared" si="9"/>
        <v>866.41534662320385</v>
      </c>
      <c r="AG59" s="368">
        <v>0</v>
      </c>
      <c r="AH59" s="396">
        <v>0</v>
      </c>
      <c r="AI59" s="368">
        <v>0</v>
      </c>
      <c r="AJ59" s="396">
        <v>0</v>
      </c>
      <c r="AK59" s="368">
        <v>0</v>
      </c>
      <c r="AL59" s="368">
        <v>0</v>
      </c>
      <c r="AM59" s="368">
        <v>0</v>
      </c>
      <c r="AN59" s="368"/>
      <c r="AO59" s="368">
        <v>0</v>
      </c>
    </row>
    <row r="60" spans="1:41" s="152" customFormat="1" ht="36" customHeight="1" x14ac:dyDescent="0.9">
      <c r="A60" s="152">
        <v>1</v>
      </c>
      <c r="B60" s="90">
        <f>SUBTOTAL(103,$A$16:A60)</f>
        <v>45</v>
      </c>
      <c r="C60" s="89" t="s">
        <v>533</v>
      </c>
      <c r="D60" s="163">
        <v>1988</v>
      </c>
      <c r="E60" s="163"/>
      <c r="F60" s="168" t="s">
        <v>270</v>
      </c>
      <c r="G60" s="163">
        <v>2</v>
      </c>
      <c r="H60" s="163">
        <v>2</v>
      </c>
      <c r="I60" s="167">
        <v>1063.8</v>
      </c>
      <c r="J60" s="167">
        <v>570.29999999999995</v>
      </c>
      <c r="K60" s="167">
        <v>570.29999999999995</v>
      </c>
      <c r="L60" s="165">
        <v>36</v>
      </c>
      <c r="M60" s="163" t="s">
        <v>268</v>
      </c>
      <c r="N60" s="163" t="s">
        <v>272</v>
      </c>
      <c r="O60" s="166" t="s">
        <v>1414</v>
      </c>
      <c r="P60" s="167">
        <v>2347677.0299999998</v>
      </c>
      <c r="Q60" s="167">
        <v>0</v>
      </c>
      <c r="R60" s="167">
        <v>0</v>
      </c>
      <c r="S60" s="167">
        <f t="shared" si="1"/>
        <v>2347677.0299999998</v>
      </c>
      <c r="T60" s="167">
        <f t="shared" si="0"/>
        <v>2206.878200789622</v>
      </c>
      <c r="U60" s="167">
        <v>3313.5778811806731</v>
      </c>
      <c r="V60" s="149">
        <f t="shared" si="2"/>
        <v>1106.6996803910511</v>
      </c>
      <c r="W60" s="149">
        <f t="shared" si="3"/>
        <v>3313.5778811806731</v>
      </c>
      <c r="X60" s="149">
        <v>0</v>
      </c>
      <c r="Y60" s="368">
        <v>0</v>
      </c>
      <c r="Z60" s="368">
        <v>0</v>
      </c>
      <c r="AA60" s="368">
        <v>0</v>
      </c>
      <c r="AB60" s="368">
        <v>0</v>
      </c>
      <c r="AC60" s="368">
        <v>0</v>
      </c>
      <c r="AD60" s="368">
        <v>0</v>
      </c>
      <c r="AE60" s="368">
        <v>565</v>
      </c>
      <c r="AF60" s="396">
        <f t="shared" si="9"/>
        <v>3313.5778811806731</v>
      </c>
      <c r="AG60" s="368">
        <v>0</v>
      </c>
      <c r="AH60" s="396">
        <v>0</v>
      </c>
      <c r="AI60" s="368">
        <v>0</v>
      </c>
      <c r="AJ60" s="396">
        <v>0</v>
      </c>
      <c r="AK60" s="368">
        <v>0</v>
      </c>
      <c r="AL60" s="368">
        <v>0</v>
      </c>
      <c r="AM60" s="368">
        <v>0</v>
      </c>
      <c r="AN60" s="368"/>
      <c r="AO60" s="368">
        <v>0</v>
      </c>
    </row>
    <row r="61" spans="1:41" s="152" customFormat="1" ht="36" customHeight="1" x14ac:dyDescent="0.9">
      <c r="A61" s="152">
        <v>1</v>
      </c>
      <c r="B61" s="90">
        <f>SUBTOTAL(103,$A$16:A61)</f>
        <v>46</v>
      </c>
      <c r="C61" s="89" t="s">
        <v>1387</v>
      </c>
      <c r="D61" s="163">
        <v>1971</v>
      </c>
      <c r="E61" s="163"/>
      <c r="F61" s="168" t="s">
        <v>270</v>
      </c>
      <c r="G61" s="163">
        <v>9</v>
      </c>
      <c r="H61" s="163">
        <v>1</v>
      </c>
      <c r="I61" s="167">
        <v>1902</v>
      </c>
      <c r="J61" s="167">
        <v>1902</v>
      </c>
      <c r="K61" s="167">
        <v>1785.6</v>
      </c>
      <c r="L61" s="165">
        <v>135</v>
      </c>
      <c r="M61" s="163" t="s">
        <v>268</v>
      </c>
      <c r="N61" s="163" t="s">
        <v>272</v>
      </c>
      <c r="O61" s="166" t="s">
        <v>1089</v>
      </c>
      <c r="P61" s="167">
        <v>607882.55000000005</v>
      </c>
      <c r="Q61" s="167">
        <v>0</v>
      </c>
      <c r="R61" s="167">
        <v>0</v>
      </c>
      <c r="S61" s="167">
        <f t="shared" si="1"/>
        <v>607882.55000000005</v>
      </c>
      <c r="T61" s="167">
        <f t="shared" si="0"/>
        <v>319.60176130389067</v>
      </c>
      <c r="U61" s="167">
        <v>1002.9490649842271</v>
      </c>
      <c r="V61" s="149">
        <f t="shared" si="2"/>
        <v>683.34730368033638</v>
      </c>
      <c r="W61" s="149">
        <f t="shared" si="3"/>
        <v>1002.9490649842271</v>
      </c>
      <c r="X61" s="149">
        <v>0</v>
      </c>
      <c r="Y61" s="368">
        <v>0</v>
      </c>
      <c r="Z61" s="368">
        <v>0</v>
      </c>
      <c r="AA61" s="368">
        <v>0</v>
      </c>
      <c r="AB61" s="368">
        <v>0</v>
      </c>
      <c r="AC61" s="368">
        <v>0</v>
      </c>
      <c r="AD61" s="368">
        <v>0</v>
      </c>
      <c r="AE61" s="368">
        <v>305.76</v>
      </c>
      <c r="AF61" s="396">
        <f t="shared" si="9"/>
        <v>1002.9490649842271</v>
      </c>
      <c r="AG61" s="368">
        <v>0</v>
      </c>
      <c r="AH61" s="396">
        <v>0</v>
      </c>
      <c r="AI61" s="368">
        <v>0</v>
      </c>
      <c r="AJ61" s="396">
        <v>0</v>
      </c>
      <c r="AK61" s="368">
        <v>0</v>
      </c>
      <c r="AL61" s="368">
        <v>0</v>
      </c>
      <c r="AM61" s="368">
        <v>0</v>
      </c>
      <c r="AN61" s="368"/>
      <c r="AO61" s="368">
        <v>0</v>
      </c>
    </row>
    <row r="62" spans="1:41" s="152" customFormat="1" ht="36" customHeight="1" x14ac:dyDescent="0.9">
      <c r="A62" s="152">
        <v>1</v>
      </c>
      <c r="B62" s="90">
        <f>SUBTOTAL(103,$A$16:A62)</f>
        <v>47</v>
      </c>
      <c r="C62" s="89" t="s">
        <v>1389</v>
      </c>
      <c r="D62" s="163">
        <v>1963</v>
      </c>
      <c r="E62" s="163"/>
      <c r="F62" s="168" t="s">
        <v>270</v>
      </c>
      <c r="G62" s="163">
        <v>5</v>
      </c>
      <c r="H62" s="163">
        <v>3</v>
      </c>
      <c r="I62" s="167">
        <v>2525.6</v>
      </c>
      <c r="J62" s="167">
        <v>1560.2</v>
      </c>
      <c r="K62" s="167">
        <v>1560.2</v>
      </c>
      <c r="L62" s="165">
        <v>130</v>
      </c>
      <c r="M62" s="163" t="s">
        <v>268</v>
      </c>
      <c r="N62" s="163" t="s">
        <v>272</v>
      </c>
      <c r="O62" s="166" t="s">
        <v>1401</v>
      </c>
      <c r="P62" s="167">
        <v>4183123.2600000002</v>
      </c>
      <c r="Q62" s="167">
        <v>0</v>
      </c>
      <c r="R62" s="167">
        <v>0</v>
      </c>
      <c r="S62" s="167">
        <f t="shared" si="1"/>
        <v>4183123.2600000002</v>
      </c>
      <c r="T62" s="167">
        <f t="shared" si="0"/>
        <v>1656.2889056065887</v>
      </c>
      <c r="U62" s="167">
        <v>1949.0418078872349</v>
      </c>
      <c r="V62" s="149">
        <f t="shared" si="2"/>
        <v>292.75290228064614</v>
      </c>
      <c r="W62" s="149">
        <f t="shared" si="3"/>
        <v>1949.0418078872349</v>
      </c>
      <c r="X62" s="149">
        <v>0</v>
      </c>
      <c r="Y62" s="368">
        <v>0</v>
      </c>
      <c r="Z62" s="368">
        <v>0</v>
      </c>
      <c r="AA62" s="368">
        <v>0</v>
      </c>
      <c r="AB62" s="368">
        <v>0</v>
      </c>
      <c r="AC62" s="368">
        <v>0</v>
      </c>
      <c r="AD62" s="368">
        <v>0</v>
      </c>
      <c r="AE62" s="368">
        <v>789</v>
      </c>
      <c r="AF62" s="396">
        <f t="shared" si="9"/>
        <v>1949.0418078872349</v>
      </c>
      <c r="AG62" s="368">
        <v>0</v>
      </c>
      <c r="AH62" s="396">
        <v>0</v>
      </c>
      <c r="AI62" s="368">
        <v>0</v>
      </c>
      <c r="AJ62" s="396">
        <v>0</v>
      </c>
      <c r="AK62" s="368">
        <v>0</v>
      </c>
      <c r="AL62" s="368">
        <v>0</v>
      </c>
      <c r="AM62" s="368">
        <v>0</v>
      </c>
      <c r="AN62" s="368"/>
      <c r="AO62" s="368">
        <v>0</v>
      </c>
    </row>
    <row r="63" spans="1:41" s="152" customFormat="1" ht="36" customHeight="1" x14ac:dyDescent="0.9">
      <c r="A63" s="152">
        <v>1</v>
      </c>
      <c r="B63" s="90">
        <f>SUBTOTAL(103,$A$16:A63)</f>
        <v>48</v>
      </c>
      <c r="C63" s="89" t="s">
        <v>1390</v>
      </c>
      <c r="D63" s="163">
        <v>1960</v>
      </c>
      <c r="E63" s="163"/>
      <c r="F63" s="168" t="s">
        <v>270</v>
      </c>
      <c r="G63" s="163">
        <v>2</v>
      </c>
      <c r="H63" s="163">
        <v>2</v>
      </c>
      <c r="I63" s="167">
        <v>662.9</v>
      </c>
      <c r="J63" s="167">
        <v>622.9</v>
      </c>
      <c r="K63" s="167">
        <v>622.9</v>
      </c>
      <c r="L63" s="165">
        <v>40</v>
      </c>
      <c r="M63" s="163" t="s">
        <v>268</v>
      </c>
      <c r="N63" s="163" t="s">
        <v>272</v>
      </c>
      <c r="O63" s="166" t="s">
        <v>1339</v>
      </c>
      <c r="P63" s="167">
        <v>2200520</v>
      </c>
      <c r="Q63" s="167">
        <v>0</v>
      </c>
      <c r="R63" s="167">
        <v>0</v>
      </c>
      <c r="S63" s="167">
        <f t="shared" si="1"/>
        <v>2200520</v>
      </c>
      <c r="T63" s="167">
        <f t="shared" si="0"/>
        <v>3319.5353748680045</v>
      </c>
      <c r="U63" s="167">
        <v>8259.432191884147</v>
      </c>
      <c r="V63" s="149">
        <f t="shared" si="2"/>
        <v>4939.8968170161424</v>
      </c>
      <c r="W63" s="149">
        <f t="shared" si="3"/>
        <v>8259.432191884147</v>
      </c>
      <c r="X63" s="149">
        <v>0</v>
      </c>
      <c r="Y63" s="368">
        <v>0</v>
      </c>
      <c r="Z63" s="368">
        <v>0</v>
      </c>
      <c r="AA63" s="368">
        <v>0</v>
      </c>
      <c r="AB63" s="368">
        <v>0</v>
      </c>
      <c r="AC63" s="368">
        <v>0</v>
      </c>
      <c r="AD63" s="368">
        <v>0</v>
      </c>
      <c r="AE63" s="368">
        <v>0</v>
      </c>
      <c r="AF63" s="396">
        <v>0</v>
      </c>
      <c r="AG63" s="368">
        <v>0</v>
      </c>
      <c r="AH63" s="396">
        <v>0</v>
      </c>
      <c r="AI63" s="368">
        <v>736</v>
      </c>
      <c r="AJ63" s="397">
        <f>7439.1*AI63/I63</f>
        <v>8259.432191884147</v>
      </c>
      <c r="AK63" s="368">
        <v>0</v>
      </c>
      <c r="AL63" s="368">
        <v>0</v>
      </c>
      <c r="AM63" s="368">
        <v>0</v>
      </c>
      <c r="AN63" s="368"/>
      <c r="AO63" s="368">
        <v>0</v>
      </c>
    </row>
    <row r="64" spans="1:41" s="152" customFormat="1" ht="36" customHeight="1" x14ac:dyDescent="0.9">
      <c r="A64" s="152">
        <v>1</v>
      </c>
      <c r="B64" s="90">
        <f>SUBTOTAL(103,$A$16:A64)</f>
        <v>49</v>
      </c>
      <c r="C64" s="89" t="s">
        <v>1109</v>
      </c>
      <c r="D64" s="163">
        <v>1991</v>
      </c>
      <c r="E64" s="163"/>
      <c r="F64" s="168" t="s">
        <v>315</v>
      </c>
      <c r="G64" s="163">
        <v>9</v>
      </c>
      <c r="H64" s="163">
        <v>3</v>
      </c>
      <c r="I64" s="167">
        <v>6815.3</v>
      </c>
      <c r="J64" s="167">
        <v>6295.6</v>
      </c>
      <c r="K64" s="167">
        <v>5711.2</v>
      </c>
      <c r="L64" s="165">
        <v>251</v>
      </c>
      <c r="M64" s="163" t="s">
        <v>268</v>
      </c>
      <c r="N64" s="163" t="s">
        <v>272</v>
      </c>
      <c r="O64" s="166" t="s">
        <v>1400</v>
      </c>
      <c r="P64" s="167">
        <v>4195168.8</v>
      </c>
      <c r="Q64" s="167">
        <v>0</v>
      </c>
      <c r="R64" s="167">
        <v>0</v>
      </c>
      <c r="S64" s="167">
        <f t="shared" si="1"/>
        <v>4195168.8</v>
      </c>
      <c r="T64" s="167">
        <f t="shared" si="0"/>
        <v>615.55159714172521</v>
      </c>
      <c r="U64" s="167">
        <v>1081.8892785350608</v>
      </c>
      <c r="V64" s="149">
        <f t="shared" si="2"/>
        <v>466.33768139333563</v>
      </c>
      <c r="W64" s="149">
        <f t="shared" si="3"/>
        <v>1081.8892785350608</v>
      </c>
      <c r="X64" s="149">
        <v>0</v>
      </c>
      <c r="Y64" s="368">
        <v>0</v>
      </c>
      <c r="Z64" s="368">
        <v>0</v>
      </c>
      <c r="AA64" s="368">
        <v>0</v>
      </c>
      <c r="AB64" s="368">
        <v>0</v>
      </c>
      <c r="AC64" s="368">
        <v>3</v>
      </c>
      <c r="AD64" s="396">
        <f>2457800*AC64/I64</f>
        <v>1081.8892785350608</v>
      </c>
      <c r="AE64" s="368">
        <v>0</v>
      </c>
      <c r="AF64" s="396">
        <v>0</v>
      </c>
      <c r="AG64" s="368">
        <v>0</v>
      </c>
      <c r="AH64" s="396">
        <v>0</v>
      </c>
      <c r="AI64" s="368">
        <v>0</v>
      </c>
      <c r="AJ64" s="396">
        <v>0</v>
      </c>
      <c r="AK64" s="368">
        <v>0</v>
      </c>
      <c r="AL64" s="368">
        <v>0</v>
      </c>
      <c r="AM64" s="368">
        <v>0</v>
      </c>
      <c r="AN64" s="368"/>
      <c r="AO64" s="368">
        <v>0</v>
      </c>
    </row>
    <row r="65" spans="1:41" s="152" customFormat="1" ht="36" customHeight="1" x14ac:dyDescent="0.9">
      <c r="A65" s="152">
        <v>1</v>
      </c>
      <c r="B65" s="90">
        <f>SUBTOTAL(103,$A$16:A65)</f>
        <v>50</v>
      </c>
      <c r="C65" s="89" t="s">
        <v>1110</v>
      </c>
      <c r="D65" s="163">
        <v>1956</v>
      </c>
      <c r="E65" s="163"/>
      <c r="F65" s="168" t="s">
        <v>270</v>
      </c>
      <c r="G65" s="163">
        <v>5</v>
      </c>
      <c r="H65" s="163">
        <v>6</v>
      </c>
      <c r="I65" s="167">
        <v>6143.7</v>
      </c>
      <c r="J65" s="167">
        <v>5611.8</v>
      </c>
      <c r="K65" s="167">
        <v>4995.2</v>
      </c>
      <c r="L65" s="165">
        <v>163</v>
      </c>
      <c r="M65" s="163" t="s">
        <v>268</v>
      </c>
      <c r="N65" s="163" t="s">
        <v>345</v>
      </c>
      <c r="O65" s="166" t="s">
        <v>1660</v>
      </c>
      <c r="P65" s="167">
        <v>12534252.41</v>
      </c>
      <c r="Q65" s="167">
        <v>0</v>
      </c>
      <c r="R65" s="167">
        <v>0</v>
      </c>
      <c r="S65" s="167">
        <f t="shared" si="1"/>
        <v>12534252.41</v>
      </c>
      <c r="T65" s="167">
        <f t="shared" si="0"/>
        <v>2040.1797630092617</v>
      </c>
      <c r="U65" s="167">
        <v>7008.9212710581578</v>
      </c>
      <c r="V65" s="149">
        <f t="shared" si="2"/>
        <v>4968.7415080488963</v>
      </c>
      <c r="W65" s="149">
        <f t="shared" si="3"/>
        <v>7008.9212710581578</v>
      </c>
      <c r="X65" s="149">
        <v>0</v>
      </c>
      <c r="Y65" s="368">
        <v>0</v>
      </c>
      <c r="Z65" s="368">
        <v>0</v>
      </c>
      <c r="AA65" s="368">
        <v>0</v>
      </c>
      <c r="AB65" s="368">
        <v>0</v>
      </c>
      <c r="AC65" s="368">
        <v>0</v>
      </c>
      <c r="AD65" s="368">
        <v>0</v>
      </c>
      <c r="AE65" s="368">
        <v>0</v>
      </c>
      <c r="AF65" s="396">
        <v>0</v>
      </c>
      <c r="AG65" s="368">
        <v>0</v>
      </c>
      <c r="AH65" s="396">
        <v>0</v>
      </c>
      <c r="AI65" s="368">
        <v>5788.43</v>
      </c>
      <c r="AJ65" s="397">
        <f t="shared" ref="AJ65:AJ66" si="10">7439.1*AI65/I65</f>
        <v>7008.9212710581578</v>
      </c>
      <c r="AK65" s="368">
        <v>0</v>
      </c>
      <c r="AL65" s="368">
        <v>0</v>
      </c>
      <c r="AM65" s="368">
        <v>0</v>
      </c>
      <c r="AN65" s="368"/>
      <c r="AO65" s="368">
        <v>0</v>
      </c>
    </row>
    <row r="66" spans="1:41" s="152" customFormat="1" ht="36" customHeight="1" x14ac:dyDescent="0.9">
      <c r="A66" s="152">
        <v>1</v>
      </c>
      <c r="B66" s="90">
        <f>SUBTOTAL(103,$A$16:A66)</f>
        <v>51</v>
      </c>
      <c r="C66" s="89" t="s">
        <v>1111</v>
      </c>
      <c r="D66" s="163">
        <v>1959</v>
      </c>
      <c r="E66" s="163"/>
      <c r="F66" s="168" t="s">
        <v>270</v>
      </c>
      <c r="G66" s="163">
        <v>5</v>
      </c>
      <c r="H66" s="163">
        <v>4</v>
      </c>
      <c r="I66" s="167">
        <v>6876.6</v>
      </c>
      <c r="J66" s="167">
        <v>5622.29</v>
      </c>
      <c r="K66" s="167">
        <v>5003.59</v>
      </c>
      <c r="L66" s="165">
        <v>154</v>
      </c>
      <c r="M66" s="163" t="s">
        <v>268</v>
      </c>
      <c r="N66" s="163" t="s">
        <v>272</v>
      </c>
      <c r="O66" s="166" t="s">
        <v>1398</v>
      </c>
      <c r="P66" s="167">
        <v>7710494.8799999999</v>
      </c>
      <c r="Q66" s="167">
        <v>0</v>
      </c>
      <c r="R66" s="167">
        <v>0</v>
      </c>
      <c r="S66" s="167">
        <f t="shared" si="1"/>
        <v>7710494.8799999999</v>
      </c>
      <c r="T66" s="167">
        <f t="shared" si="0"/>
        <v>1121.265578919815</v>
      </c>
      <c r="U66" s="167">
        <v>4167.2633941191871</v>
      </c>
      <c r="V66" s="149">
        <f t="shared" si="2"/>
        <v>3045.9978151993719</v>
      </c>
      <c r="W66" s="149">
        <f t="shared" si="3"/>
        <v>4167.2633941191871</v>
      </c>
      <c r="X66" s="149">
        <v>0</v>
      </c>
      <c r="Y66" s="368">
        <v>0</v>
      </c>
      <c r="Z66" s="368">
        <v>0</v>
      </c>
      <c r="AA66" s="368">
        <v>0</v>
      </c>
      <c r="AB66" s="368">
        <v>0</v>
      </c>
      <c r="AC66" s="368">
        <v>0</v>
      </c>
      <c r="AD66" s="368">
        <v>0</v>
      </c>
      <c r="AE66" s="368">
        <v>0</v>
      </c>
      <c r="AF66" s="396">
        <v>0</v>
      </c>
      <c r="AG66" s="368">
        <v>0</v>
      </c>
      <c r="AH66" s="396">
        <v>0</v>
      </c>
      <c r="AI66" s="368">
        <v>3852.16</v>
      </c>
      <c r="AJ66" s="397">
        <f t="shared" si="10"/>
        <v>4167.2633941191871</v>
      </c>
      <c r="AK66" s="368">
        <v>0</v>
      </c>
      <c r="AL66" s="368">
        <v>0</v>
      </c>
      <c r="AM66" s="368">
        <v>0</v>
      </c>
      <c r="AN66" s="368"/>
      <c r="AO66" s="368">
        <v>0</v>
      </c>
    </row>
    <row r="67" spans="1:41" s="152" customFormat="1" ht="36" customHeight="1" x14ac:dyDescent="0.9">
      <c r="A67" s="152">
        <v>1</v>
      </c>
      <c r="B67" s="90">
        <f>SUBTOTAL(103,$A$16:A67)</f>
        <v>52</v>
      </c>
      <c r="C67" s="89" t="s">
        <v>1112</v>
      </c>
      <c r="D67" s="163">
        <v>1974</v>
      </c>
      <c r="E67" s="163"/>
      <c r="F67" s="168" t="s">
        <v>270</v>
      </c>
      <c r="G67" s="163">
        <v>5</v>
      </c>
      <c r="H67" s="163">
        <v>4</v>
      </c>
      <c r="I67" s="167">
        <v>4917</v>
      </c>
      <c r="J67" s="167">
        <v>4801.3</v>
      </c>
      <c r="K67" s="167">
        <v>4321.2</v>
      </c>
      <c r="L67" s="165">
        <v>125</v>
      </c>
      <c r="M67" s="163" t="s">
        <v>268</v>
      </c>
      <c r="N67" s="163" t="s">
        <v>272</v>
      </c>
      <c r="O67" s="166" t="s">
        <v>1088</v>
      </c>
      <c r="P67" s="167">
        <v>2637141.0299999998</v>
      </c>
      <c r="Q67" s="167">
        <v>0</v>
      </c>
      <c r="R67" s="167">
        <v>0</v>
      </c>
      <c r="S67" s="167">
        <f t="shared" si="1"/>
        <v>2637141.0299999998</v>
      </c>
      <c r="T67" s="167">
        <f t="shared" si="0"/>
        <v>536.33130567419153</v>
      </c>
      <c r="U67" s="167">
        <v>1553.0660646735814</v>
      </c>
      <c r="V67" s="149">
        <f t="shared" si="2"/>
        <v>1016.7347589993899</v>
      </c>
      <c r="W67" s="149">
        <f t="shared" si="3"/>
        <v>1553.0660646735814</v>
      </c>
      <c r="X67" s="149">
        <v>0</v>
      </c>
      <c r="Y67" s="368">
        <v>0</v>
      </c>
      <c r="Z67" s="368">
        <v>0</v>
      </c>
      <c r="AA67" s="368">
        <v>0</v>
      </c>
      <c r="AB67" s="368">
        <v>0</v>
      </c>
      <c r="AC67" s="368">
        <v>0</v>
      </c>
      <c r="AD67" s="368">
        <v>0</v>
      </c>
      <c r="AE67" s="368">
        <v>1224</v>
      </c>
      <c r="AF67" s="396">
        <f t="shared" ref="AF67:AF69" si="11">6238.91*AE67/I67</f>
        <v>1553.0660646735814</v>
      </c>
      <c r="AG67" s="368">
        <v>0</v>
      </c>
      <c r="AH67" s="396">
        <v>0</v>
      </c>
      <c r="AI67" s="368"/>
      <c r="AJ67" s="396">
        <v>0</v>
      </c>
      <c r="AK67" s="368">
        <v>0</v>
      </c>
      <c r="AL67" s="368">
        <v>0</v>
      </c>
      <c r="AM67" s="368">
        <v>0</v>
      </c>
      <c r="AN67" s="368"/>
      <c r="AO67" s="368">
        <v>0</v>
      </c>
    </row>
    <row r="68" spans="1:41" s="152" customFormat="1" ht="36" customHeight="1" x14ac:dyDescent="0.9">
      <c r="A68" s="152">
        <v>1</v>
      </c>
      <c r="B68" s="90">
        <f>SUBTOTAL(103,$A$16:A68)</f>
        <v>53</v>
      </c>
      <c r="C68" s="89" t="s">
        <v>1113</v>
      </c>
      <c r="D68" s="163">
        <v>1972</v>
      </c>
      <c r="E68" s="163"/>
      <c r="F68" s="168" t="s">
        <v>270</v>
      </c>
      <c r="G68" s="163">
        <v>4</v>
      </c>
      <c r="H68" s="163">
        <v>1</v>
      </c>
      <c r="I68" s="167">
        <v>772</v>
      </c>
      <c r="J68" s="167">
        <v>596</v>
      </c>
      <c r="K68" s="167">
        <v>375</v>
      </c>
      <c r="L68" s="165">
        <v>26</v>
      </c>
      <c r="M68" s="163" t="s">
        <v>268</v>
      </c>
      <c r="N68" s="163" t="s">
        <v>272</v>
      </c>
      <c r="O68" s="166" t="s">
        <v>1401</v>
      </c>
      <c r="P68" s="167">
        <v>1186477.9099999999</v>
      </c>
      <c r="Q68" s="167">
        <v>0</v>
      </c>
      <c r="R68" s="167">
        <v>0</v>
      </c>
      <c r="S68" s="167">
        <f t="shared" si="1"/>
        <v>1186477.9099999999</v>
      </c>
      <c r="T68" s="167">
        <f t="shared" si="0"/>
        <v>1536.8884844559584</v>
      </c>
      <c r="U68" s="167">
        <v>1768.2299326424873</v>
      </c>
      <c r="V68" s="149">
        <f t="shared" si="2"/>
        <v>231.34144818652885</v>
      </c>
      <c r="W68" s="149">
        <f t="shared" si="3"/>
        <v>1768.2299326424873</v>
      </c>
      <c r="X68" s="149">
        <v>0</v>
      </c>
      <c r="Y68" s="368">
        <v>0</v>
      </c>
      <c r="Z68" s="368">
        <v>0</v>
      </c>
      <c r="AA68" s="368">
        <v>0</v>
      </c>
      <c r="AB68" s="368">
        <v>0</v>
      </c>
      <c r="AC68" s="368">
        <v>0</v>
      </c>
      <c r="AD68" s="368">
        <v>0</v>
      </c>
      <c r="AE68" s="368">
        <v>218.8</v>
      </c>
      <c r="AF68" s="396">
        <f t="shared" si="11"/>
        <v>1768.2299326424873</v>
      </c>
      <c r="AG68" s="368">
        <v>0</v>
      </c>
      <c r="AH68" s="396">
        <v>0</v>
      </c>
      <c r="AI68" s="368">
        <v>0</v>
      </c>
      <c r="AJ68" s="396">
        <v>0</v>
      </c>
      <c r="AK68" s="368">
        <v>0</v>
      </c>
      <c r="AL68" s="368">
        <v>0</v>
      </c>
      <c r="AM68" s="368">
        <v>0</v>
      </c>
      <c r="AN68" s="368"/>
      <c r="AO68" s="368">
        <v>0</v>
      </c>
    </row>
    <row r="69" spans="1:41" s="152" customFormat="1" ht="36" customHeight="1" x14ac:dyDescent="0.9">
      <c r="A69" s="152">
        <v>1</v>
      </c>
      <c r="B69" s="90">
        <f>SUBTOTAL(103,$A$16:A69)</f>
        <v>54</v>
      </c>
      <c r="C69" s="89" t="s">
        <v>1114</v>
      </c>
      <c r="D69" s="163">
        <v>1975</v>
      </c>
      <c r="E69" s="163"/>
      <c r="F69" s="168" t="s">
        <v>270</v>
      </c>
      <c r="G69" s="163">
        <v>5</v>
      </c>
      <c r="H69" s="163">
        <v>3</v>
      </c>
      <c r="I69" s="167">
        <v>2962.8</v>
      </c>
      <c r="J69" s="167">
        <v>2688.5</v>
      </c>
      <c r="K69" s="167">
        <v>2688.5</v>
      </c>
      <c r="L69" s="165">
        <v>96</v>
      </c>
      <c r="M69" s="163" t="s">
        <v>268</v>
      </c>
      <c r="N69" s="163" t="s">
        <v>272</v>
      </c>
      <c r="O69" s="166" t="s">
        <v>1339</v>
      </c>
      <c r="P69" s="167">
        <v>3306287.7600000002</v>
      </c>
      <c r="Q69" s="167">
        <v>0</v>
      </c>
      <c r="R69" s="167">
        <v>0</v>
      </c>
      <c r="S69" s="167">
        <f t="shared" si="1"/>
        <v>3306287.7600000002</v>
      </c>
      <c r="T69" s="167">
        <f t="shared" si="0"/>
        <v>1115.9334953422438</v>
      </c>
      <c r="U69" s="167">
        <v>1921.0106742608341</v>
      </c>
      <c r="V69" s="149">
        <f t="shared" si="2"/>
        <v>805.07717891859033</v>
      </c>
      <c r="W69" s="149">
        <f t="shared" si="3"/>
        <v>1921.0106742608341</v>
      </c>
      <c r="X69" s="149">
        <v>0</v>
      </c>
      <c r="Y69" s="368">
        <v>0</v>
      </c>
      <c r="Z69" s="368">
        <v>0</v>
      </c>
      <c r="AA69" s="368">
        <v>0</v>
      </c>
      <c r="AB69" s="368">
        <v>0</v>
      </c>
      <c r="AC69" s="368">
        <v>0</v>
      </c>
      <c r="AD69" s="368">
        <v>0</v>
      </c>
      <c r="AE69" s="368">
        <v>912.27</v>
      </c>
      <c r="AF69" s="396">
        <f t="shared" si="11"/>
        <v>1921.0106742608341</v>
      </c>
      <c r="AG69" s="368">
        <v>0</v>
      </c>
      <c r="AH69" s="396">
        <v>0</v>
      </c>
      <c r="AI69" s="368">
        <v>0</v>
      </c>
      <c r="AJ69" s="396">
        <v>0</v>
      </c>
      <c r="AK69" s="368">
        <v>0</v>
      </c>
      <c r="AL69" s="368">
        <v>0</v>
      </c>
      <c r="AM69" s="368">
        <v>0</v>
      </c>
      <c r="AN69" s="368"/>
      <c r="AO69" s="368">
        <v>0</v>
      </c>
    </row>
    <row r="70" spans="1:41" s="152" customFormat="1" ht="36" customHeight="1" x14ac:dyDescent="0.9">
      <c r="A70" s="152">
        <v>1</v>
      </c>
      <c r="B70" s="90">
        <f>SUBTOTAL(103,$A$16:A70)</f>
        <v>55</v>
      </c>
      <c r="C70" s="89" t="s">
        <v>1115</v>
      </c>
      <c r="D70" s="163">
        <v>1974</v>
      </c>
      <c r="E70" s="163"/>
      <c r="F70" s="168" t="s">
        <v>270</v>
      </c>
      <c r="G70" s="163">
        <v>6</v>
      </c>
      <c r="H70" s="163">
        <v>1</v>
      </c>
      <c r="I70" s="167">
        <v>938.4</v>
      </c>
      <c r="J70" s="167">
        <v>865.7</v>
      </c>
      <c r="K70" s="167">
        <v>563.9</v>
      </c>
      <c r="L70" s="165">
        <v>22</v>
      </c>
      <c r="M70" s="163" t="s">
        <v>268</v>
      </c>
      <c r="N70" s="163" t="s">
        <v>272</v>
      </c>
      <c r="O70" s="166" t="s">
        <v>1400</v>
      </c>
      <c r="P70" s="167">
        <v>4301356.74</v>
      </c>
      <c r="Q70" s="167">
        <v>0</v>
      </c>
      <c r="R70" s="167">
        <v>0</v>
      </c>
      <c r="S70" s="167">
        <f t="shared" si="1"/>
        <v>4301356.74</v>
      </c>
      <c r="T70" s="167">
        <f t="shared" si="0"/>
        <v>4583.7134910485938</v>
      </c>
      <c r="U70" s="167">
        <v>8969.0939258312028</v>
      </c>
      <c r="V70" s="149">
        <f t="shared" si="2"/>
        <v>4385.380434782609</v>
      </c>
      <c r="W70" s="149">
        <f t="shared" si="3"/>
        <v>8969.0939258312028</v>
      </c>
      <c r="X70" s="149">
        <v>0</v>
      </c>
      <c r="Y70" s="368">
        <v>0</v>
      </c>
      <c r="Z70" s="368">
        <v>0</v>
      </c>
      <c r="AA70" s="368">
        <v>0</v>
      </c>
      <c r="AB70" s="368">
        <v>0</v>
      </c>
      <c r="AC70" s="368">
        <v>0</v>
      </c>
      <c r="AD70" s="368">
        <v>0</v>
      </c>
      <c r="AE70" s="368">
        <v>0</v>
      </c>
      <c r="AF70" s="396">
        <v>0</v>
      </c>
      <c r="AG70" s="368">
        <v>0</v>
      </c>
      <c r="AH70" s="396">
        <v>0</v>
      </c>
      <c r="AI70" s="368">
        <v>1131.4000000000001</v>
      </c>
      <c r="AJ70" s="397">
        <f>7439.1*AI70/I70</f>
        <v>8969.0939258312028</v>
      </c>
      <c r="AK70" s="368">
        <v>0</v>
      </c>
      <c r="AL70" s="368">
        <v>0</v>
      </c>
      <c r="AM70" s="368">
        <v>0</v>
      </c>
      <c r="AN70" s="368"/>
      <c r="AO70" s="368">
        <v>0</v>
      </c>
    </row>
    <row r="71" spans="1:41" s="152" customFormat="1" ht="36" customHeight="1" x14ac:dyDescent="0.9">
      <c r="A71" s="152">
        <v>1</v>
      </c>
      <c r="B71" s="90">
        <f>SUBTOTAL(103,$A$16:A71)</f>
        <v>56</v>
      </c>
      <c r="C71" s="89" t="s">
        <v>1116</v>
      </c>
      <c r="D71" s="163">
        <v>1971</v>
      </c>
      <c r="E71" s="163"/>
      <c r="F71" s="168" t="s">
        <v>270</v>
      </c>
      <c r="G71" s="163">
        <v>5</v>
      </c>
      <c r="H71" s="163">
        <v>4</v>
      </c>
      <c r="I71" s="167">
        <v>4188.1000000000004</v>
      </c>
      <c r="J71" s="167">
        <v>3145.2</v>
      </c>
      <c r="K71" s="167">
        <v>3047.4</v>
      </c>
      <c r="L71" s="165">
        <v>153</v>
      </c>
      <c r="M71" s="163" t="s">
        <v>268</v>
      </c>
      <c r="N71" s="163" t="s">
        <v>272</v>
      </c>
      <c r="O71" s="166" t="s">
        <v>1661</v>
      </c>
      <c r="P71" s="167">
        <v>4193947.02</v>
      </c>
      <c r="Q71" s="167">
        <v>0</v>
      </c>
      <c r="R71" s="167">
        <v>0</v>
      </c>
      <c r="S71" s="167">
        <f t="shared" si="1"/>
        <v>4193947.02</v>
      </c>
      <c r="T71" s="167">
        <f t="shared" si="0"/>
        <v>1001.3961032449081</v>
      </c>
      <c r="U71" s="167">
        <v>1617.6749361285547</v>
      </c>
      <c r="V71" s="149">
        <f t="shared" si="2"/>
        <v>616.2788328836466</v>
      </c>
      <c r="W71" s="149">
        <f t="shared" si="3"/>
        <v>1617.6749361285547</v>
      </c>
      <c r="X71" s="149">
        <v>0</v>
      </c>
      <c r="Y71" s="368">
        <v>0</v>
      </c>
      <c r="Z71" s="368">
        <v>0</v>
      </c>
      <c r="AA71" s="368">
        <v>0</v>
      </c>
      <c r="AB71" s="368">
        <v>0</v>
      </c>
      <c r="AC71" s="368">
        <v>0</v>
      </c>
      <c r="AD71" s="368">
        <v>0</v>
      </c>
      <c r="AE71" s="368">
        <v>0</v>
      </c>
      <c r="AF71" s="396">
        <v>0</v>
      </c>
      <c r="AG71" s="368">
        <v>0</v>
      </c>
      <c r="AH71" s="396">
        <v>0</v>
      </c>
      <c r="AI71" s="368">
        <v>0</v>
      </c>
      <c r="AJ71" s="396">
        <v>0</v>
      </c>
      <c r="AK71" s="368">
        <v>0</v>
      </c>
      <c r="AL71" s="368">
        <v>0</v>
      </c>
      <c r="AM71" s="368">
        <v>970</v>
      </c>
      <c r="AN71" s="368">
        <f>6984.52*AM71/I71</f>
        <v>1617.6749361285547</v>
      </c>
      <c r="AO71" s="368">
        <v>0</v>
      </c>
    </row>
    <row r="72" spans="1:41" s="152" customFormat="1" ht="36" customHeight="1" x14ac:dyDescent="0.9">
      <c r="A72" s="152">
        <v>1</v>
      </c>
      <c r="B72" s="90">
        <f>SUBTOTAL(103,$A$16:A72)</f>
        <v>57</v>
      </c>
      <c r="C72" s="89" t="s">
        <v>1117</v>
      </c>
      <c r="D72" s="163">
        <v>1969</v>
      </c>
      <c r="E72" s="163"/>
      <c r="F72" s="168" t="s">
        <v>270</v>
      </c>
      <c r="G72" s="163">
        <v>5</v>
      </c>
      <c r="H72" s="163">
        <v>4</v>
      </c>
      <c r="I72" s="167">
        <v>4279.8</v>
      </c>
      <c r="J72" s="167">
        <v>3264.2</v>
      </c>
      <c r="K72" s="167">
        <v>3174.6</v>
      </c>
      <c r="L72" s="165">
        <v>136</v>
      </c>
      <c r="M72" s="163" t="s">
        <v>268</v>
      </c>
      <c r="N72" s="163" t="s">
        <v>272</v>
      </c>
      <c r="O72" s="166" t="s">
        <v>1662</v>
      </c>
      <c r="P72" s="167">
        <v>3323174.92</v>
      </c>
      <c r="Q72" s="167">
        <v>0</v>
      </c>
      <c r="R72" s="167">
        <v>0</v>
      </c>
      <c r="S72" s="167">
        <f t="shared" si="1"/>
        <v>3323174.92</v>
      </c>
      <c r="T72" s="167">
        <f t="shared" si="0"/>
        <v>776.47902238422353</v>
      </c>
      <c r="U72" s="167">
        <v>1377.7264921258002</v>
      </c>
      <c r="V72" s="149">
        <f t="shared" si="2"/>
        <v>601.24746974157665</v>
      </c>
      <c r="W72" s="149">
        <f t="shared" si="3"/>
        <v>1377.7264921258002</v>
      </c>
      <c r="X72" s="149">
        <v>0</v>
      </c>
      <c r="Y72" s="368">
        <v>0</v>
      </c>
      <c r="Z72" s="368">
        <v>0</v>
      </c>
      <c r="AA72" s="368">
        <v>0</v>
      </c>
      <c r="AB72" s="368">
        <v>0</v>
      </c>
      <c r="AC72" s="368">
        <v>0</v>
      </c>
      <c r="AD72" s="368">
        <v>0</v>
      </c>
      <c r="AE72" s="368">
        <v>945.1</v>
      </c>
      <c r="AF72" s="396">
        <f t="shared" ref="AF72:AF74" si="12">6238.91*AE72/I72</f>
        <v>1377.7264921258002</v>
      </c>
      <c r="AG72" s="368">
        <v>0</v>
      </c>
      <c r="AH72" s="396">
        <v>0</v>
      </c>
      <c r="AI72" s="368">
        <v>0</v>
      </c>
      <c r="AJ72" s="396">
        <v>0</v>
      </c>
      <c r="AK72" s="368">
        <v>0</v>
      </c>
      <c r="AL72" s="368">
        <v>0</v>
      </c>
      <c r="AM72" s="368">
        <v>0</v>
      </c>
      <c r="AN72" s="368"/>
      <c r="AO72" s="368">
        <v>0</v>
      </c>
    </row>
    <row r="73" spans="1:41" s="152" customFormat="1" ht="36" customHeight="1" x14ac:dyDescent="0.9">
      <c r="A73" s="152">
        <v>1</v>
      </c>
      <c r="B73" s="90">
        <f>SUBTOTAL(103,$A$16:A73)</f>
        <v>58</v>
      </c>
      <c r="C73" s="89" t="s">
        <v>1118</v>
      </c>
      <c r="D73" s="163">
        <v>1968</v>
      </c>
      <c r="E73" s="163"/>
      <c r="F73" s="168" t="s">
        <v>315</v>
      </c>
      <c r="G73" s="163">
        <v>5</v>
      </c>
      <c r="H73" s="163">
        <v>4</v>
      </c>
      <c r="I73" s="167">
        <v>3880.1</v>
      </c>
      <c r="J73" s="167">
        <v>3555.2</v>
      </c>
      <c r="K73" s="167">
        <v>3380.5</v>
      </c>
      <c r="L73" s="165">
        <v>167</v>
      </c>
      <c r="M73" s="163" t="s">
        <v>268</v>
      </c>
      <c r="N73" s="163" t="s">
        <v>272</v>
      </c>
      <c r="O73" s="166" t="s">
        <v>1088</v>
      </c>
      <c r="P73" s="167">
        <v>4034658.0100000002</v>
      </c>
      <c r="Q73" s="167">
        <v>0</v>
      </c>
      <c r="R73" s="167">
        <v>0</v>
      </c>
      <c r="S73" s="167">
        <f t="shared" si="1"/>
        <v>4034658.0100000002</v>
      </c>
      <c r="T73" s="167">
        <f t="shared" si="0"/>
        <v>1039.833512022886</v>
      </c>
      <c r="U73" s="167">
        <v>1555.5710137367594</v>
      </c>
      <c r="V73" s="149">
        <f t="shared" si="2"/>
        <v>515.73750171387337</v>
      </c>
      <c r="W73" s="149">
        <f t="shared" si="3"/>
        <v>1555.5710137367594</v>
      </c>
      <c r="X73" s="149">
        <v>0</v>
      </c>
      <c r="Y73" s="368">
        <v>0</v>
      </c>
      <c r="Z73" s="368">
        <v>0</v>
      </c>
      <c r="AA73" s="368">
        <v>0</v>
      </c>
      <c r="AB73" s="368">
        <v>0</v>
      </c>
      <c r="AC73" s="368">
        <v>0</v>
      </c>
      <c r="AD73" s="368">
        <v>0</v>
      </c>
      <c r="AE73" s="368">
        <v>967.44</v>
      </c>
      <c r="AF73" s="396">
        <f t="shared" si="12"/>
        <v>1555.5710137367594</v>
      </c>
      <c r="AG73" s="368">
        <v>0</v>
      </c>
      <c r="AH73" s="396">
        <v>0</v>
      </c>
      <c r="AI73" s="368">
        <v>0</v>
      </c>
      <c r="AJ73" s="396">
        <v>0</v>
      </c>
      <c r="AK73" s="368">
        <v>0</v>
      </c>
      <c r="AL73" s="368">
        <v>0</v>
      </c>
      <c r="AM73" s="368">
        <v>0</v>
      </c>
      <c r="AN73" s="368"/>
      <c r="AO73" s="368">
        <v>0</v>
      </c>
    </row>
    <row r="74" spans="1:41" s="152" customFormat="1" ht="36" customHeight="1" x14ac:dyDescent="0.9">
      <c r="A74" s="152">
        <v>1</v>
      </c>
      <c r="B74" s="90">
        <f>SUBTOTAL(103,$A$16:A74)</f>
        <v>59</v>
      </c>
      <c r="C74" s="89" t="s">
        <v>1119</v>
      </c>
      <c r="D74" s="163">
        <v>1968</v>
      </c>
      <c r="E74" s="163"/>
      <c r="F74" s="168" t="s">
        <v>315</v>
      </c>
      <c r="G74" s="163">
        <v>5</v>
      </c>
      <c r="H74" s="163">
        <v>3</v>
      </c>
      <c r="I74" s="167">
        <v>2807.5</v>
      </c>
      <c r="J74" s="167">
        <v>2603.5</v>
      </c>
      <c r="K74" s="167">
        <v>2603.5</v>
      </c>
      <c r="L74" s="165">
        <v>114</v>
      </c>
      <c r="M74" s="163" t="s">
        <v>268</v>
      </c>
      <c r="N74" s="163" t="s">
        <v>272</v>
      </c>
      <c r="O74" s="166" t="s">
        <v>1088</v>
      </c>
      <c r="P74" s="167">
        <v>2994194.1500000004</v>
      </c>
      <c r="Q74" s="167">
        <v>0</v>
      </c>
      <c r="R74" s="167">
        <v>0</v>
      </c>
      <c r="S74" s="167">
        <f t="shared" si="1"/>
        <v>2994194.1500000004</v>
      </c>
      <c r="T74" s="167">
        <f t="shared" si="0"/>
        <v>1066.4983615316119</v>
      </c>
      <c r="U74" s="167">
        <v>1593.3387248441672</v>
      </c>
      <c r="V74" s="149">
        <f t="shared" si="2"/>
        <v>526.84036331255538</v>
      </c>
      <c r="W74" s="149">
        <f t="shared" si="3"/>
        <v>1593.3387248441672</v>
      </c>
      <c r="X74" s="149">
        <v>0</v>
      </c>
      <c r="Y74" s="368">
        <v>0</v>
      </c>
      <c r="Z74" s="368">
        <v>0</v>
      </c>
      <c r="AA74" s="368">
        <v>0</v>
      </c>
      <c r="AB74" s="368">
        <v>0</v>
      </c>
      <c r="AC74" s="368">
        <v>0</v>
      </c>
      <c r="AD74" s="368">
        <v>0</v>
      </c>
      <c r="AE74" s="368">
        <v>717</v>
      </c>
      <c r="AF74" s="396">
        <f t="shared" si="12"/>
        <v>1593.3387248441672</v>
      </c>
      <c r="AG74" s="368">
        <v>0</v>
      </c>
      <c r="AH74" s="396">
        <v>0</v>
      </c>
      <c r="AI74" s="368">
        <v>0</v>
      </c>
      <c r="AJ74" s="396">
        <v>0</v>
      </c>
      <c r="AK74" s="368">
        <v>0</v>
      </c>
      <c r="AL74" s="368">
        <v>0</v>
      </c>
      <c r="AM74" s="368">
        <v>0</v>
      </c>
      <c r="AN74" s="368"/>
      <c r="AO74" s="368">
        <v>0</v>
      </c>
    </row>
    <row r="75" spans="1:41" s="152" customFormat="1" ht="36" customHeight="1" x14ac:dyDescent="0.9">
      <c r="A75" s="152">
        <v>1</v>
      </c>
      <c r="B75" s="90">
        <f>SUBTOTAL(103,$A$16:A75)</f>
        <v>60</v>
      </c>
      <c r="C75" s="89" t="s">
        <v>1121</v>
      </c>
      <c r="D75" s="163">
        <v>1959</v>
      </c>
      <c r="E75" s="163"/>
      <c r="F75" s="168" t="s">
        <v>270</v>
      </c>
      <c r="G75" s="163">
        <v>3</v>
      </c>
      <c r="H75" s="163">
        <v>3</v>
      </c>
      <c r="I75" s="167">
        <v>1338.5</v>
      </c>
      <c r="J75" s="167">
        <v>1165.2</v>
      </c>
      <c r="K75" s="167">
        <v>1165.2</v>
      </c>
      <c r="L75" s="165">
        <v>41</v>
      </c>
      <c r="M75" s="163" t="s">
        <v>268</v>
      </c>
      <c r="N75" s="163" t="s">
        <v>272</v>
      </c>
      <c r="O75" s="166" t="s">
        <v>1339</v>
      </c>
      <c r="P75" s="167">
        <v>4839579.08</v>
      </c>
      <c r="Q75" s="167">
        <v>0</v>
      </c>
      <c r="R75" s="167">
        <v>0</v>
      </c>
      <c r="S75" s="167">
        <f t="shared" si="1"/>
        <v>4839579.08</v>
      </c>
      <c r="T75" s="167">
        <f t="shared" si="0"/>
        <v>3615.6735748972733</v>
      </c>
      <c r="U75" s="167">
        <v>6030.2005976839746</v>
      </c>
      <c r="V75" s="149">
        <f t="shared" si="2"/>
        <v>2414.5270227867013</v>
      </c>
      <c r="W75" s="149">
        <f t="shared" si="3"/>
        <v>6030.2005976839746</v>
      </c>
      <c r="X75" s="149">
        <v>0</v>
      </c>
      <c r="Y75" s="368">
        <v>0</v>
      </c>
      <c r="Z75" s="368">
        <v>0</v>
      </c>
      <c r="AA75" s="368">
        <v>0</v>
      </c>
      <c r="AB75" s="368">
        <v>0</v>
      </c>
      <c r="AC75" s="368">
        <v>0</v>
      </c>
      <c r="AD75" s="368">
        <v>0</v>
      </c>
      <c r="AE75" s="368">
        <v>0</v>
      </c>
      <c r="AF75" s="396">
        <v>0</v>
      </c>
      <c r="AG75" s="368">
        <v>0</v>
      </c>
      <c r="AH75" s="396">
        <v>0</v>
      </c>
      <c r="AI75" s="368">
        <v>1085</v>
      </c>
      <c r="AJ75" s="397">
        <f>7439.1*AI75/I75</f>
        <v>6030.2005976839746</v>
      </c>
      <c r="AK75" s="368">
        <v>0</v>
      </c>
      <c r="AL75" s="368">
        <v>0</v>
      </c>
      <c r="AM75" s="368">
        <v>0</v>
      </c>
      <c r="AN75" s="368"/>
      <c r="AO75" s="368">
        <v>0</v>
      </c>
    </row>
    <row r="76" spans="1:41" s="152" customFormat="1" ht="36" customHeight="1" x14ac:dyDescent="0.9">
      <c r="A76" s="152">
        <v>1</v>
      </c>
      <c r="B76" s="90">
        <f>SUBTOTAL(103,$A$16:A76)</f>
        <v>61</v>
      </c>
      <c r="C76" s="89" t="s">
        <v>1122</v>
      </c>
      <c r="D76" s="163">
        <v>1974</v>
      </c>
      <c r="E76" s="163"/>
      <c r="F76" s="168" t="s">
        <v>315</v>
      </c>
      <c r="G76" s="163">
        <v>5</v>
      </c>
      <c r="H76" s="163">
        <v>5</v>
      </c>
      <c r="I76" s="167">
        <v>3386</v>
      </c>
      <c r="J76" s="167">
        <v>3284.4</v>
      </c>
      <c r="K76" s="167">
        <v>3120.2</v>
      </c>
      <c r="L76" s="165">
        <v>195</v>
      </c>
      <c r="M76" s="163" t="s">
        <v>268</v>
      </c>
      <c r="N76" s="163" t="s">
        <v>272</v>
      </c>
      <c r="O76" s="166" t="s">
        <v>1663</v>
      </c>
      <c r="P76" s="167">
        <v>1916160.69</v>
      </c>
      <c r="Q76" s="167">
        <v>0</v>
      </c>
      <c r="R76" s="167">
        <v>0</v>
      </c>
      <c r="S76" s="167">
        <f t="shared" si="1"/>
        <v>1916160.69</v>
      </c>
      <c r="T76" s="167">
        <f t="shared" si="0"/>
        <v>565.90687832250444</v>
      </c>
      <c r="U76" s="167">
        <v>1610.729575841701</v>
      </c>
      <c r="V76" s="149">
        <f t="shared" si="2"/>
        <v>1044.8226975191965</v>
      </c>
      <c r="W76" s="149">
        <f t="shared" si="3"/>
        <v>1610.729575841701</v>
      </c>
      <c r="X76" s="149">
        <v>0</v>
      </c>
      <c r="Y76" s="368">
        <v>0</v>
      </c>
      <c r="Z76" s="368">
        <v>0</v>
      </c>
      <c r="AA76" s="368">
        <v>0</v>
      </c>
      <c r="AB76" s="368">
        <v>0</v>
      </c>
      <c r="AC76" s="368">
        <v>0</v>
      </c>
      <c r="AD76" s="368">
        <v>0</v>
      </c>
      <c r="AE76" s="368">
        <v>874.18</v>
      </c>
      <c r="AF76" s="396">
        <f>6238.91*AE76/I76</f>
        <v>1610.729575841701</v>
      </c>
      <c r="AG76" s="368">
        <v>0</v>
      </c>
      <c r="AH76" s="396">
        <v>0</v>
      </c>
      <c r="AI76" s="368">
        <v>0</v>
      </c>
      <c r="AJ76" s="396">
        <v>0</v>
      </c>
      <c r="AK76" s="368">
        <v>0</v>
      </c>
      <c r="AL76" s="368">
        <v>0</v>
      </c>
      <c r="AM76" s="368">
        <v>0</v>
      </c>
      <c r="AN76" s="368"/>
      <c r="AO76" s="368">
        <v>0</v>
      </c>
    </row>
    <row r="77" spans="1:41" s="152" customFormat="1" ht="36" customHeight="1" x14ac:dyDescent="0.9">
      <c r="A77" s="152">
        <v>1</v>
      </c>
      <c r="B77" s="90">
        <f>SUBTOTAL(103,$A$16:A77)</f>
        <v>62</v>
      </c>
      <c r="C77" s="89" t="s">
        <v>1123</v>
      </c>
      <c r="D77" s="163">
        <v>1959</v>
      </c>
      <c r="E77" s="163"/>
      <c r="F77" s="168" t="s">
        <v>270</v>
      </c>
      <c r="G77" s="163">
        <v>2</v>
      </c>
      <c r="H77" s="163">
        <v>1</v>
      </c>
      <c r="I77" s="167">
        <v>445.1</v>
      </c>
      <c r="J77" s="167">
        <v>400.5</v>
      </c>
      <c r="K77" s="167">
        <v>201.2</v>
      </c>
      <c r="L77" s="165">
        <v>21</v>
      </c>
      <c r="M77" s="163" t="s">
        <v>268</v>
      </c>
      <c r="N77" s="163" t="s">
        <v>272</v>
      </c>
      <c r="O77" s="166" t="s">
        <v>1339</v>
      </c>
      <c r="P77" s="167">
        <v>2373016.2799999998</v>
      </c>
      <c r="Q77" s="167">
        <v>0</v>
      </c>
      <c r="R77" s="167">
        <v>0</v>
      </c>
      <c r="S77" s="167">
        <f t="shared" si="1"/>
        <v>2373016.2799999998</v>
      </c>
      <c r="T77" s="167">
        <f t="shared" si="0"/>
        <v>5331.4227813974385</v>
      </c>
      <c r="U77" s="167">
        <v>9333.5551449112572</v>
      </c>
      <c r="V77" s="149">
        <f t="shared" si="2"/>
        <v>4002.1323635138187</v>
      </c>
      <c r="W77" s="149">
        <f t="shared" si="3"/>
        <v>9333.5551449112572</v>
      </c>
      <c r="X77" s="149">
        <v>0</v>
      </c>
      <c r="Y77" s="368">
        <v>0</v>
      </c>
      <c r="Z77" s="368">
        <v>0</v>
      </c>
      <c r="AA77" s="368">
        <v>0</v>
      </c>
      <c r="AB77" s="368">
        <v>0</v>
      </c>
      <c r="AC77" s="368">
        <v>0</v>
      </c>
      <c r="AD77" s="368">
        <v>0</v>
      </c>
      <c r="AE77" s="368">
        <v>0</v>
      </c>
      <c r="AF77" s="396">
        <v>0</v>
      </c>
      <c r="AG77" s="368">
        <v>0</v>
      </c>
      <c r="AH77" s="396">
        <v>0</v>
      </c>
      <c r="AI77" s="368">
        <v>558.45000000000005</v>
      </c>
      <c r="AJ77" s="397">
        <f>7439.1*AI77/I77</f>
        <v>9333.5551449112572</v>
      </c>
      <c r="AK77" s="368">
        <v>0</v>
      </c>
      <c r="AL77" s="368">
        <v>0</v>
      </c>
      <c r="AM77" s="368">
        <v>0</v>
      </c>
      <c r="AN77" s="368"/>
      <c r="AO77" s="368">
        <v>0</v>
      </c>
    </row>
    <row r="78" spans="1:41" s="152" customFormat="1" ht="36" customHeight="1" x14ac:dyDescent="0.9">
      <c r="A78" s="152">
        <v>1</v>
      </c>
      <c r="B78" s="90">
        <f>SUBTOTAL(103,$A$16:A78)</f>
        <v>63</v>
      </c>
      <c r="C78" s="89" t="s">
        <v>1124</v>
      </c>
      <c r="D78" s="163">
        <v>1972</v>
      </c>
      <c r="E78" s="163"/>
      <c r="F78" s="168" t="s">
        <v>270</v>
      </c>
      <c r="G78" s="163">
        <v>5</v>
      </c>
      <c r="H78" s="163">
        <v>4</v>
      </c>
      <c r="I78" s="167">
        <v>4186</v>
      </c>
      <c r="J78" s="167">
        <v>3864.2</v>
      </c>
      <c r="K78" s="167">
        <v>2705.8</v>
      </c>
      <c r="L78" s="165">
        <v>111</v>
      </c>
      <c r="M78" s="163" t="s">
        <v>268</v>
      </c>
      <c r="N78" s="163" t="s">
        <v>272</v>
      </c>
      <c r="O78" s="166" t="s">
        <v>1088</v>
      </c>
      <c r="P78" s="167">
        <v>3249268.89</v>
      </c>
      <c r="Q78" s="167">
        <v>0</v>
      </c>
      <c r="R78" s="167">
        <v>0</v>
      </c>
      <c r="S78" s="167">
        <f t="shared" si="1"/>
        <v>3249268.89</v>
      </c>
      <c r="T78" s="167">
        <f t="shared" ref="T78:T142" si="13">P78/I78</f>
        <v>776.22285953177266</v>
      </c>
      <c r="U78" s="167">
        <v>1744.6889741997131</v>
      </c>
      <c r="V78" s="149">
        <f t="shared" si="2"/>
        <v>968.46611466794047</v>
      </c>
      <c r="W78" s="149">
        <f t="shared" si="3"/>
        <v>1744.6889741997131</v>
      </c>
      <c r="X78" s="149">
        <v>0</v>
      </c>
      <c r="Y78" s="368">
        <v>0</v>
      </c>
      <c r="Z78" s="368">
        <v>0</v>
      </c>
      <c r="AA78" s="368">
        <v>0</v>
      </c>
      <c r="AB78" s="368">
        <v>0</v>
      </c>
      <c r="AC78" s="368">
        <v>0</v>
      </c>
      <c r="AD78" s="368">
        <v>0</v>
      </c>
      <c r="AE78" s="368">
        <v>1170.5999999999999</v>
      </c>
      <c r="AF78" s="396">
        <f t="shared" ref="AF78:AF81" si="14">6238.91*AE78/I78</f>
        <v>1744.6889741997131</v>
      </c>
      <c r="AG78" s="368">
        <v>0</v>
      </c>
      <c r="AH78" s="396">
        <v>0</v>
      </c>
      <c r="AI78" s="368">
        <v>0</v>
      </c>
      <c r="AJ78" s="396">
        <v>0</v>
      </c>
      <c r="AK78" s="368">
        <v>0</v>
      </c>
      <c r="AL78" s="368">
        <v>0</v>
      </c>
      <c r="AM78" s="368">
        <v>0</v>
      </c>
      <c r="AN78" s="368"/>
      <c r="AO78" s="368">
        <v>0</v>
      </c>
    </row>
    <row r="79" spans="1:41" s="152" customFormat="1" ht="36" customHeight="1" x14ac:dyDescent="0.9">
      <c r="A79" s="152">
        <v>1</v>
      </c>
      <c r="B79" s="90">
        <f>SUBTOTAL(103,$A$16:A79)</f>
        <v>64</v>
      </c>
      <c r="C79" s="89" t="s">
        <v>1125</v>
      </c>
      <c r="D79" s="163">
        <v>1969</v>
      </c>
      <c r="E79" s="163"/>
      <c r="F79" s="168" t="s">
        <v>270</v>
      </c>
      <c r="G79" s="163">
        <v>9</v>
      </c>
      <c r="H79" s="163">
        <v>1</v>
      </c>
      <c r="I79" s="167">
        <v>3340.9</v>
      </c>
      <c r="J79" s="167">
        <v>3067.1</v>
      </c>
      <c r="K79" s="167">
        <v>1971.8</v>
      </c>
      <c r="L79" s="165">
        <v>77</v>
      </c>
      <c r="M79" s="163" t="s">
        <v>268</v>
      </c>
      <c r="N79" s="163" t="s">
        <v>272</v>
      </c>
      <c r="O79" s="166" t="s">
        <v>1088</v>
      </c>
      <c r="P79" s="167">
        <v>2982453.63</v>
      </c>
      <c r="Q79" s="167">
        <v>0</v>
      </c>
      <c r="R79" s="167">
        <v>0</v>
      </c>
      <c r="S79" s="167">
        <f t="shared" si="1"/>
        <v>2982453.63</v>
      </c>
      <c r="T79" s="167">
        <f t="shared" si="13"/>
        <v>892.7096381214642</v>
      </c>
      <c r="U79" s="167">
        <v>1766.5924930407971</v>
      </c>
      <c r="V79" s="149">
        <f t="shared" si="2"/>
        <v>873.88285491933289</v>
      </c>
      <c r="W79" s="149">
        <f t="shared" si="3"/>
        <v>1766.5924930407971</v>
      </c>
      <c r="X79" s="149">
        <v>0</v>
      </c>
      <c r="Y79" s="368">
        <v>0</v>
      </c>
      <c r="Z79" s="368">
        <v>0</v>
      </c>
      <c r="AA79" s="368">
        <v>0</v>
      </c>
      <c r="AB79" s="368">
        <v>0</v>
      </c>
      <c r="AC79" s="368">
        <v>0</v>
      </c>
      <c r="AD79" s="368">
        <v>0</v>
      </c>
      <c r="AE79" s="368">
        <v>946</v>
      </c>
      <c r="AF79" s="396">
        <f t="shared" si="14"/>
        <v>1766.5924930407971</v>
      </c>
      <c r="AG79" s="368">
        <v>0</v>
      </c>
      <c r="AH79" s="396">
        <v>0</v>
      </c>
      <c r="AI79" s="368">
        <v>0</v>
      </c>
      <c r="AJ79" s="396">
        <v>0</v>
      </c>
      <c r="AK79" s="368">
        <v>0</v>
      </c>
      <c r="AL79" s="368">
        <v>0</v>
      </c>
      <c r="AM79" s="368">
        <v>0</v>
      </c>
      <c r="AN79" s="368"/>
      <c r="AO79" s="368">
        <v>0</v>
      </c>
    </row>
    <row r="80" spans="1:41" s="152" customFormat="1" ht="36" customHeight="1" x14ac:dyDescent="0.9">
      <c r="A80" s="152">
        <v>1</v>
      </c>
      <c r="B80" s="90">
        <f>SUBTOTAL(103,$A$16:A80)</f>
        <v>65</v>
      </c>
      <c r="C80" s="89" t="s">
        <v>1126</v>
      </c>
      <c r="D80" s="163">
        <v>1968</v>
      </c>
      <c r="E80" s="163"/>
      <c r="F80" s="168" t="s">
        <v>270</v>
      </c>
      <c r="G80" s="163">
        <v>9</v>
      </c>
      <c r="H80" s="163">
        <v>1</v>
      </c>
      <c r="I80" s="167">
        <v>3060.1</v>
      </c>
      <c r="J80" s="167">
        <v>2799.7</v>
      </c>
      <c r="K80" s="167">
        <v>2031.6</v>
      </c>
      <c r="L80" s="165">
        <v>100</v>
      </c>
      <c r="M80" s="163" t="s">
        <v>268</v>
      </c>
      <c r="N80" s="163" t="s">
        <v>272</v>
      </c>
      <c r="O80" s="166" t="s">
        <v>1088</v>
      </c>
      <c r="P80" s="167">
        <v>1571848.57</v>
      </c>
      <c r="Q80" s="167">
        <v>0</v>
      </c>
      <c r="R80" s="167">
        <v>0</v>
      </c>
      <c r="S80" s="167">
        <f t="shared" ref="S80:S120" si="15">P80-Q80-R80</f>
        <v>1571848.57</v>
      </c>
      <c r="T80" s="167">
        <f t="shared" si="13"/>
        <v>513.65921701905165</v>
      </c>
      <c r="U80" s="167">
        <v>745.17878664095952</v>
      </c>
      <c r="V80" s="149">
        <f t="shared" si="2"/>
        <v>231.51956962190786</v>
      </c>
      <c r="W80" s="149">
        <f t="shared" si="3"/>
        <v>745.17878664095952</v>
      </c>
      <c r="X80" s="149">
        <v>0</v>
      </c>
      <c r="Y80" s="368">
        <v>0</v>
      </c>
      <c r="Z80" s="368">
        <v>0</v>
      </c>
      <c r="AA80" s="368">
        <v>0</v>
      </c>
      <c r="AB80" s="368">
        <v>0</v>
      </c>
      <c r="AC80" s="368">
        <v>0</v>
      </c>
      <c r="AD80" s="368">
        <v>0</v>
      </c>
      <c r="AE80" s="368">
        <v>365.5</v>
      </c>
      <c r="AF80" s="396">
        <f t="shared" si="14"/>
        <v>745.17878664095952</v>
      </c>
      <c r="AG80" s="368">
        <v>0</v>
      </c>
      <c r="AH80" s="396">
        <v>0</v>
      </c>
      <c r="AI80" s="368">
        <v>0</v>
      </c>
      <c r="AJ80" s="396">
        <v>0</v>
      </c>
      <c r="AK80" s="368">
        <v>0</v>
      </c>
      <c r="AL80" s="368">
        <v>0</v>
      </c>
      <c r="AM80" s="368">
        <v>0</v>
      </c>
      <c r="AN80" s="368"/>
      <c r="AO80" s="368">
        <v>0</v>
      </c>
    </row>
    <row r="81" spans="1:41" s="152" customFormat="1" ht="36" customHeight="1" x14ac:dyDescent="0.9">
      <c r="A81" s="152">
        <v>1</v>
      </c>
      <c r="B81" s="90">
        <f>SUBTOTAL(103,$A$16:A81)</f>
        <v>66</v>
      </c>
      <c r="C81" s="89" t="s">
        <v>1127</v>
      </c>
      <c r="D81" s="163">
        <v>1968</v>
      </c>
      <c r="E81" s="163"/>
      <c r="F81" s="168" t="s">
        <v>270</v>
      </c>
      <c r="G81" s="163">
        <v>9</v>
      </c>
      <c r="H81" s="163">
        <v>1</v>
      </c>
      <c r="I81" s="167">
        <v>3130.4</v>
      </c>
      <c r="J81" s="167">
        <v>2830</v>
      </c>
      <c r="K81" s="167">
        <v>1981.8</v>
      </c>
      <c r="L81" s="165">
        <v>82</v>
      </c>
      <c r="M81" s="163" t="s">
        <v>268</v>
      </c>
      <c r="N81" s="163" t="s">
        <v>272</v>
      </c>
      <c r="O81" s="166" t="s">
        <v>1088</v>
      </c>
      <c r="P81" s="167">
        <v>966096.24</v>
      </c>
      <c r="Q81" s="167">
        <v>0</v>
      </c>
      <c r="R81" s="167">
        <v>0</v>
      </c>
      <c r="S81" s="167">
        <f t="shared" si="15"/>
        <v>966096.24</v>
      </c>
      <c r="T81" s="167">
        <f t="shared" si="13"/>
        <v>308.61750575006386</v>
      </c>
      <c r="U81" s="167">
        <v>713.49660746230506</v>
      </c>
      <c r="V81" s="149">
        <f t="shared" ref="V81:V120" si="16">U81-T81</f>
        <v>404.87910171224121</v>
      </c>
      <c r="W81" s="149">
        <f t="shared" ref="W81:W120" si="17">X81+Y81+Z81+AA81+AB81+AD81+AF81+AH81+AJ81+AL81+AN81+AO81</f>
        <v>713.49660746230506</v>
      </c>
      <c r="X81" s="149">
        <v>0</v>
      </c>
      <c r="Y81" s="368">
        <v>0</v>
      </c>
      <c r="Z81" s="368">
        <v>0</v>
      </c>
      <c r="AA81" s="368">
        <v>0</v>
      </c>
      <c r="AB81" s="368">
        <v>0</v>
      </c>
      <c r="AC81" s="368">
        <v>0</v>
      </c>
      <c r="AD81" s="368">
        <v>0</v>
      </c>
      <c r="AE81" s="368">
        <v>358</v>
      </c>
      <c r="AF81" s="396">
        <f t="shared" si="14"/>
        <v>713.49660746230506</v>
      </c>
      <c r="AG81" s="368">
        <v>0</v>
      </c>
      <c r="AH81" s="396">
        <v>0</v>
      </c>
      <c r="AI81" s="368">
        <v>0</v>
      </c>
      <c r="AJ81" s="396">
        <v>0</v>
      </c>
      <c r="AK81" s="368">
        <v>0</v>
      </c>
      <c r="AL81" s="368">
        <v>0</v>
      </c>
      <c r="AM81" s="368">
        <v>0</v>
      </c>
      <c r="AN81" s="368"/>
      <c r="AO81" s="368">
        <v>0</v>
      </c>
    </row>
    <row r="82" spans="1:41" s="152" customFormat="1" ht="36" customHeight="1" x14ac:dyDescent="0.9">
      <c r="A82" s="152">
        <v>1</v>
      </c>
      <c r="B82" s="90">
        <f>SUBTOTAL(103,$A$16:A82)</f>
        <v>67</v>
      </c>
      <c r="C82" s="89" t="s">
        <v>1128</v>
      </c>
      <c r="D82" s="163">
        <v>1991</v>
      </c>
      <c r="E82" s="163"/>
      <c r="F82" s="168" t="s">
        <v>270</v>
      </c>
      <c r="G82" s="163">
        <v>10</v>
      </c>
      <c r="H82" s="163">
        <v>2</v>
      </c>
      <c r="I82" s="167">
        <v>5646.2</v>
      </c>
      <c r="J82" s="167">
        <v>4982.1000000000004</v>
      </c>
      <c r="K82" s="167">
        <v>4319</v>
      </c>
      <c r="L82" s="165">
        <v>264</v>
      </c>
      <c r="M82" s="163" t="s">
        <v>268</v>
      </c>
      <c r="N82" s="163" t="s">
        <v>272</v>
      </c>
      <c r="O82" s="166" t="s">
        <v>1400</v>
      </c>
      <c r="P82" s="167">
        <v>2880785.14</v>
      </c>
      <c r="Q82" s="167">
        <v>0</v>
      </c>
      <c r="R82" s="167">
        <v>0</v>
      </c>
      <c r="S82" s="167">
        <f t="shared" si="15"/>
        <v>2880785.14</v>
      </c>
      <c r="T82" s="167">
        <f t="shared" si="13"/>
        <v>510.21663065424536</v>
      </c>
      <c r="U82" s="167">
        <v>942.88512627962177</v>
      </c>
      <c r="V82" s="149">
        <f t="shared" si="16"/>
        <v>432.66849562537641</v>
      </c>
      <c r="W82" s="149">
        <f t="shared" si="17"/>
        <v>942.88512627962177</v>
      </c>
      <c r="X82" s="149">
        <v>0</v>
      </c>
      <c r="Y82" s="368">
        <v>0</v>
      </c>
      <c r="Z82" s="368">
        <v>0</v>
      </c>
      <c r="AA82" s="368">
        <v>0</v>
      </c>
      <c r="AB82" s="368">
        <v>0</v>
      </c>
      <c r="AC82" s="368">
        <v>2</v>
      </c>
      <c r="AD82" s="396">
        <f>2661859*AC82/I82</f>
        <v>942.88512627962177</v>
      </c>
      <c r="AE82" s="368">
        <v>0</v>
      </c>
      <c r="AF82" s="396">
        <v>0</v>
      </c>
      <c r="AG82" s="368">
        <v>0</v>
      </c>
      <c r="AH82" s="396">
        <v>0</v>
      </c>
      <c r="AI82" s="368">
        <v>0</v>
      </c>
      <c r="AJ82" s="396">
        <v>0</v>
      </c>
      <c r="AK82" s="368">
        <v>0</v>
      </c>
      <c r="AL82" s="368">
        <v>0</v>
      </c>
      <c r="AM82" s="368">
        <v>0</v>
      </c>
      <c r="AN82" s="368"/>
      <c r="AO82" s="368">
        <v>0</v>
      </c>
    </row>
    <row r="83" spans="1:41" s="152" customFormat="1" ht="36" customHeight="1" x14ac:dyDescent="0.9">
      <c r="A83" s="152">
        <v>1</v>
      </c>
      <c r="B83" s="90">
        <f>SUBTOTAL(103,$A$16:A83)</f>
        <v>68</v>
      </c>
      <c r="C83" s="89" t="s">
        <v>1129</v>
      </c>
      <c r="D83" s="163">
        <v>1984</v>
      </c>
      <c r="E83" s="163"/>
      <c r="F83" s="168" t="s">
        <v>315</v>
      </c>
      <c r="G83" s="163">
        <v>16</v>
      </c>
      <c r="H83" s="163">
        <v>1</v>
      </c>
      <c r="I83" s="167">
        <v>5474.9</v>
      </c>
      <c r="J83" s="167">
        <v>4635.7</v>
      </c>
      <c r="K83" s="167">
        <v>4362.7</v>
      </c>
      <c r="L83" s="165">
        <v>218</v>
      </c>
      <c r="M83" s="163" t="s">
        <v>268</v>
      </c>
      <c r="N83" s="163" t="s">
        <v>272</v>
      </c>
      <c r="O83" s="166" t="s">
        <v>1400</v>
      </c>
      <c r="P83" s="167">
        <v>3859190.52</v>
      </c>
      <c r="Q83" s="167">
        <v>0</v>
      </c>
      <c r="R83" s="167">
        <v>0</v>
      </c>
      <c r="S83" s="167">
        <f t="shared" si="15"/>
        <v>3859190.52</v>
      </c>
      <c r="T83" s="167">
        <f t="shared" si="13"/>
        <v>704.88785548594501</v>
      </c>
      <c r="U83" s="167">
        <v>1182.5991342307623</v>
      </c>
      <c r="V83" s="149">
        <f t="shared" si="16"/>
        <v>477.71127874481726</v>
      </c>
      <c r="W83" s="149">
        <f t="shared" si="17"/>
        <v>1182.5991342307623</v>
      </c>
      <c r="X83" s="149">
        <v>0</v>
      </c>
      <c r="Y83" s="368">
        <v>0</v>
      </c>
      <c r="Z83" s="368">
        <v>0</v>
      </c>
      <c r="AA83" s="368">
        <v>0</v>
      </c>
      <c r="AB83" s="368">
        <v>0</v>
      </c>
      <c r="AC83" s="368">
        <v>2</v>
      </c>
      <c r="AD83" s="396">
        <f>3237306*AC83/I83</f>
        <v>1182.5991342307623</v>
      </c>
      <c r="AE83" s="368">
        <v>0</v>
      </c>
      <c r="AF83" s="396">
        <v>0</v>
      </c>
      <c r="AG83" s="368">
        <v>0</v>
      </c>
      <c r="AH83" s="396">
        <v>0</v>
      </c>
      <c r="AI83" s="368">
        <v>0</v>
      </c>
      <c r="AJ83" s="396">
        <v>0</v>
      </c>
      <c r="AK83" s="368">
        <v>0</v>
      </c>
      <c r="AL83" s="368">
        <v>0</v>
      </c>
      <c r="AM83" s="368">
        <v>0</v>
      </c>
      <c r="AN83" s="368"/>
      <c r="AO83" s="368">
        <v>0</v>
      </c>
    </row>
    <row r="84" spans="1:41" s="152" customFormat="1" ht="36" customHeight="1" x14ac:dyDescent="0.9">
      <c r="A84" s="152">
        <v>1</v>
      </c>
      <c r="B84" s="90">
        <f>SUBTOTAL(103,$A$16:A84)</f>
        <v>69</v>
      </c>
      <c r="C84" s="89" t="s">
        <v>1132</v>
      </c>
      <c r="D84" s="163">
        <v>1932</v>
      </c>
      <c r="E84" s="163"/>
      <c r="F84" s="168" t="s">
        <v>270</v>
      </c>
      <c r="G84" s="163">
        <v>4</v>
      </c>
      <c r="H84" s="163">
        <v>3</v>
      </c>
      <c r="I84" s="167">
        <v>2131.17</v>
      </c>
      <c r="J84" s="167">
        <v>1905.67</v>
      </c>
      <c r="K84" s="167">
        <v>1212.8</v>
      </c>
      <c r="L84" s="165">
        <v>77</v>
      </c>
      <c r="M84" s="163" t="s">
        <v>268</v>
      </c>
      <c r="N84" s="163" t="s">
        <v>272</v>
      </c>
      <c r="O84" s="166" t="s">
        <v>1339</v>
      </c>
      <c r="P84" s="167">
        <v>227402.5</v>
      </c>
      <c r="Q84" s="167">
        <v>0</v>
      </c>
      <c r="R84" s="167">
        <v>0</v>
      </c>
      <c r="S84" s="167">
        <f t="shared" si="15"/>
        <v>227402.5</v>
      </c>
      <c r="T84" s="167">
        <f t="shared" si="13"/>
        <v>106.70312551321574</v>
      </c>
      <c r="U84" s="167">
        <v>286.52999999999997</v>
      </c>
      <c r="V84" s="149">
        <f t="shared" si="16"/>
        <v>179.82687448678422</v>
      </c>
      <c r="W84" s="149">
        <f t="shared" si="17"/>
        <v>286.52999999999997</v>
      </c>
      <c r="X84" s="149">
        <v>101.55</v>
      </c>
      <c r="Y84" s="368">
        <v>0</v>
      </c>
      <c r="Z84" s="368">
        <v>0</v>
      </c>
      <c r="AA84" s="368">
        <v>184.98</v>
      </c>
      <c r="AB84" s="368">
        <v>0</v>
      </c>
      <c r="AC84" s="368">
        <v>0</v>
      </c>
      <c r="AD84" s="368">
        <v>0</v>
      </c>
      <c r="AE84" s="368">
        <v>0</v>
      </c>
      <c r="AF84" s="396">
        <v>0</v>
      </c>
      <c r="AG84" s="368">
        <v>0</v>
      </c>
      <c r="AH84" s="396">
        <v>0</v>
      </c>
      <c r="AI84" s="368">
        <v>0</v>
      </c>
      <c r="AJ84" s="396">
        <v>0</v>
      </c>
      <c r="AK84" s="368">
        <v>0</v>
      </c>
      <c r="AL84" s="368">
        <v>0</v>
      </c>
      <c r="AM84" s="368">
        <v>0</v>
      </c>
      <c r="AN84" s="368"/>
      <c r="AO84" s="368">
        <v>0</v>
      </c>
    </row>
    <row r="85" spans="1:41" s="152" customFormat="1" ht="36" customHeight="1" x14ac:dyDescent="0.9">
      <c r="A85" s="152">
        <v>1</v>
      </c>
      <c r="B85" s="90">
        <f>SUBTOTAL(103,$A$16:A85)</f>
        <v>70</v>
      </c>
      <c r="C85" s="89" t="s">
        <v>1138</v>
      </c>
      <c r="D85" s="163">
        <v>1946</v>
      </c>
      <c r="E85" s="163"/>
      <c r="F85" s="168" t="s">
        <v>270</v>
      </c>
      <c r="G85" s="163">
        <v>3</v>
      </c>
      <c r="H85" s="163">
        <v>3</v>
      </c>
      <c r="I85" s="167">
        <v>2194.1999999999998</v>
      </c>
      <c r="J85" s="167">
        <v>1984.8</v>
      </c>
      <c r="K85" s="167">
        <v>1584.8</v>
      </c>
      <c r="L85" s="165">
        <v>31</v>
      </c>
      <c r="M85" s="163" t="s">
        <v>268</v>
      </c>
      <c r="N85" s="163" t="s">
        <v>272</v>
      </c>
      <c r="O85" s="166" t="s">
        <v>1664</v>
      </c>
      <c r="P85" s="167">
        <v>4254119.95</v>
      </c>
      <c r="Q85" s="167">
        <v>0</v>
      </c>
      <c r="R85" s="167">
        <v>0</v>
      </c>
      <c r="S85" s="167">
        <f t="shared" si="15"/>
        <v>4254119.95</v>
      </c>
      <c r="T85" s="167">
        <f t="shared" si="13"/>
        <v>1938.8022741773771</v>
      </c>
      <c r="U85" s="167">
        <v>3198.0740235621188</v>
      </c>
      <c r="V85" s="149">
        <f t="shared" si="16"/>
        <v>1259.2717493847417</v>
      </c>
      <c r="W85" s="149">
        <f t="shared" si="17"/>
        <v>3198.0740235621188</v>
      </c>
      <c r="X85" s="149">
        <v>0</v>
      </c>
      <c r="Y85" s="368">
        <v>0</v>
      </c>
      <c r="Z85" s="368">
        <v>0</v>
      </c>
      <c r="AA85" s="368">
        <v>0</v>
      </c>
      <c r="AB85" s="368">
        <v>0</v>
      </c>
      <c r="AC85" s="368">
        <v>0</v>
      </c>
      <c r="AD85" s="368">
        <v>0</v>
      </c>
      <c r="AE85" s="368">
        <v>1124.75</v>
      </c>
      <c r="AF85" s="396">
        <f>6238.91*AE85/I85</f>
        <v>3198.0740235621188</v>
      </c>
      <c r="AG85" s="368">
        <v>0</v>
      </c>
      <c r="AH85" s="396">
        <v>0</v>
      </c>
      <c r="AI85" s="368">
        <v>0</v>
      </c>
      <c r="AJ85" s="396">
        <v>0</v>
      </c>
      <c r="AK85" s="368">
        <v>0</v>
      </c>
      <c r="AL85" s="368">
        <v>0</v>
      </c>
      <c r="AM85" s="368">
        <v>0</v>
      </c>
      <c r="AN85" s="368"/>
      <c r="AO85" s="368">
        <v>0</v>
      </c>
    </row>
    <row r="86" spans="1:41" s="152" customFormat="1" ht="36" customHeight="1" x14ac:dyDescent="0.9">
      <c r="A86" s="152">
        <v>1</v>
      </c>
      <c r="B86" s="90">
        <f>SUBTOTAL(103,$A$16:A86)</f>
        <v>71</v>
      </c>
      <c r="C86" s="89" t="s">
        <v>1139</v>
      </c>
      <c r="D86" s="163">
        <v>1949</v>
      </c>
      <c r="E86" s="163"/>
      <c r="F86" s="168" t="s">
        <v>270</v>
      </c>
      <c r="G86" s="163" t="s">
        <v>307</v>
      </c>
      <c r="H86" s="163" t="s">
        <v>307</v>
      </c>
      <c r="I86" s="167">
        <v>938.97</v>
      </c>
      <c r="J86" s="167">
        <v>864.07</v>
      </c>
      <c r="K86" s="167">
        <v>649.77</v>
      </c>
      <c r="L86" s="165">
        <v>19</v>
      </c>
      <c r="M86" s="163" t="s">
        <v>268</v>
      </c>
      <c r="N86" s="163" t="s">
        <v>272</v>
      </c>
      <c r="O86" s="166" t="s">
        <v>1399</v>
      </c>
      <c r="P86" s="167">
        <v>3712372.02</v>
      </c>
      <c r="Q86" s="167">
        <v>0</v>
      </c>
      <c r="R86" s="167">
        <v>0</v>
      </c>
      <c r="S86" s="167">
        <f t="shared" si="15"/>
        <v>3712372.02</v>
      </c>
      <c r="T86" s="167">
        <f t="shared" si="13"/>
        <v>3953.664142624365</v>
      </c>
      <c r="U86" s="167">
        <v>6496.5462155340429</v>
      </c>
      <c r="V86" s="149">
        <f t="shared" si="16"/>
        <v>2542.8820729096778</v>
      </c>
      <c r="W86" s="149">
        <f t="shared" si="17"/>
        <v>6496.5462155340429</v>
      </c>
      <c r="X86" s="149">
        <v>0</v>
      </c>
      <c r="Y86" s="368">
        <v>0</v>
      </c>
      <c r="Z86" s="368">
        <v>0</v>
      </c>
      <c r="AA86" s="368">
        <v>0</v>
      </c>
      <c r="AB86" s="368">
        <v>0</v>
      </c>
      <c r="AC86" s="368">
        <v>0</v>
      </c>
      <c r="AD86" s="368">
        <v>0</v>
      </c>
      <c r="AE86" s="368">
        <v>0</v>
      </c>
      <c r="AF86" s="396">
        <v>0</v>
      </c>
      <c r="AG86" s="368">
        <v>0</v>
      </c>
      <c r="AH86" s="396">
        <v>0</v>
      </c>
      <c r="AI86" s="368">
        <v>820</v>
      </c>
      <c r="AJ86" s="397">
        <f t="shared" ref="AJ86:AJ89" si="18">7439.1*AI86/I86</f>
        <v>6496.5462155340429</v>
      </c>
      <c r="AK86" s="368">
        <v>0</v>
      </c>
      <c r="AL86" s="368">
        <v>0</v>
      </c>
      <c r="AM86" s="368">
        <v>0</v>
      </c>
      <c r="AN86" s="368"/>
      <c r="AO86" s="368">
        <v>0</v>
      </c>
    </row>
    <row r="87" spans="1:41" s="152" customFormat="1" ht="36" customHeight="1" x14ac:dyDescent="0.9">
      <c r="A87" s="152">
        <v>1</v>
      </c>
      <c r="B87" s="90">
        <f>SUBTOTAL(103,$A$16:A87)</f>
        <v>72</v>
      </c>
      <c r="C87" s="89" t="s">
        <v>1140</v>
      </c>
      <c r="D87" s="163">
        <v>1958</v>
      </c>
      <c r="E87" s="163"/>
      <c r="F87" s="168" t="s">
        <v>270</v>
      </c>
      <c r="G87" s="163">
        <v>2</v>
      </c>
      <c r="H87" s="163">
        <v>1</v>
      </c>
      <c r="I87" s="167">
        <v>429.6</v>
      </c>
      <c r="J87" s="167">
        <v>389</v>
      </c>
      <c r="K87" s="167">
        <v>344.8</v>
      </c>
      <c r="L87" s="165">
        <v>28</v>
      </c>
      <c r="M87" s="163" t="s">
        <v>268</v>
      </c>
      <c r="N87" s="163" t="s">
        <v>272</v>
      </c>
      <c r="O87" s="166" t="s">
        <v>1339</v>
      </c>
      <c r="P87" s="167">
        <v>1900391.55</v>
      </c>
      <c r="Q87" s="167">
        <v>0</v>
      </c>
      <c r="R87" s="167">
        <v>0</v>
      </c>
      <c r="S87" s="167">
        <f t="shared" si="15"/>
        <v>1900391.55</v>
      </c>
      <c r="T87" s="167">
        <f t="shared" si="13"/>
        <v>4423.6302374301677</v>
      </c>
      <c r="U87" s="167">
        <v>8935.2318435754187</v>
      </c>
      <c r="V87" s="149">
        <f t="shared" si="16"/>
        <v>4511.601606145251</v>
      </c>
      <c r="W87" s="149">
        <f t="shared" si="17"/>
        <v>8935.2318435754187</v>
      </c>
      <c r="X87" s="149">
        <v>0</v>
      </c>
      <c r="Y87" s="368">
        <v>0</v>
      </c>
      <c r="Z87" s="368">
        <v>0</v>
      </c>
      <c r="AA87" s="368">
        <v>0</v>
      </c>
      <c r="AB87" s="368">
        <v>0</v>
      </c>
      <c r="AC87" s="368">
        <v>0</v>
      </c>
      <c r="AD87" s="368">
        <v>0</v>
      </c>
      <c r="AE87" s="368">
        <v>0</v>
      </c>
      <c r="AF87" s="396">
        <v>0</v>
      </c>
      <c r="AG87" s="368">
        <v>0</v>
      </c>
      <c r="AH87" s="396">
        <v>0</v>
      </c>
      <c r="AI87" s="368">
        <v>516</v>
      </c>
      <c r="AJ87" s="397">
        <f t="shared" si="18"/>
        <v>8935.2318435754187</v>
      </c>
      <c r="AK87" s="368">
        <v>0</v>
      </c>
      <c r="AL87" s="368">
        <v>0</v>
      </c>
      <c r="AM87" s="368">
        <v>0</v>
      </c>
      <c r="AN87" s="368"/>
      <c r="AO87" s="368">
        <v>0</v>
      </c>
    </row>
    <row r="88" spans="1:41" s="152" customFormat="1" ht="36" customHeight="1" x14ac:dyDescent="0.9">
      <c r="A88" s="152">
        <v>1</v>
      </c>
      <c r="B88" s="90">
        <f>SUBTOTAL(103,$A$16:A88)</f>
        <v>73</v>
      </c>
      <c r="C88" s="89" t="s">
        <v>1141</v>
      </c>
      <c r="D88" s="163">
        <v>1958</v>
      </c>
      <c r="E88" s="163"/>
      <c r="F88" s="168" t="s">
        <v>270</v>
      </c>
      <c r="G88" s="163">
        <v>2</v>
      </c>
      <c r="H88" s="163">
        <v>1</v>
      </c>
      <c r="I88" s="167">
        <v>447.4</v>
      </c>
      <c r="J88" s="167">
        <v>385</v>
      </c>
      <c r="K88" s="167">
        <v>341.3</v>
      </c>
      <c r="L88" s="165">
        <v>24</v>
      </c>
      <c r="M88" s="163" t="s">
        <v>268</v>
      </c>
      <c r="N88" s="163" t="s">
        <v>272</v>
      </c>
      <c r="O88" s="166" t="s">
        <v>1339</v>
      </c>
      <c r="P88" s="167">
        <v>2106147.9500000002</v>
      </c>
      <c r="Q88" s="167">
        <v>0</v>
      </c>
      <c r="R88" s="167">
        <v>0</v>
      </c>
      <c r="S88" s="167">
        <f t="shared" si="15"/>
        <v>2106147.9500000002</v>
      </c>
      <c r="T88" s="167">
        <f t="shared" si="13"/>
        <v>4707.5278274474749</v>
      </c>
      <c r="U88" s="167">
        <v>9294.7181493071093</v>
      </c>
      <c r="V88" s="149">
        <f t="shared" si="16"/>
        <v>4587.1903218596344</v>
      </c>
      <c r="W88" s="149">
        <f t="shared" si="17"/>
        <v>9294.7181493071093</v>
      </c>
      <c r="X88" s="149">
        <v>0</v>
      </c>
      <c r="Y88" s="368">
        <v>0</v>
      </c>
      <c r="Z88" s="368">
        <v>0</v>
      </c>
      <c r="AA88" s="368">
        <v>0</v>
      </c>
      <c r="AB88" s="368">
        <v>0</v>
      </c>
      <c r="AC88" s="368">
        <v>0</v>
      </c>
      <c r="AD88" s="368">
        <v>0</v>
      </c>
      <c r="AE88" s="368">
        <v>0</v>
      </c>
      <c r="AF88" s="396">
        <v>0</v>
      </c>
      <c r="AG88" s="368">
        <v>0</v>
      </c>
      <c r="AH88" s="396">
        <v>0</v>
      </c>
      <c r="AI88" s="368">
        <v>559</v>
      </c>
      <c r="AJ88" s="397">
        <f t="shared" si="18"/>
        <v>9294.7181493071093</v>
      </c>
      <c r="AK88" s="368">
        <v>0</v>
      </c>
      <c r="AL88" s="368">
        <v>0</v>
      </c>
      <c r="AM88" s="368">
        <v>0</v>
      </c>
      <c r="AN88" s="368"/>
      <c r="AO88" s="368">
        <v>0</v>
      </c>
    </row>
    <row r="89" spans="1:41" s="152" customFormat="1" ht="36" customHeight="1" x14ac:dyDescent="0.9">
      <c r="A89" s="152">
        <v>1</v>
      </c>
      <c r="B89" s="90">
        <f>SUBTOTAL(103,$A$16:A89)</f>
        <v>74</v>
      </c>
      <c r="C89" s="89" t="s">
        <v>1142</v>
      </c>
      <c r="D89" s="163">
        <v>1963</v>
      </c>
      <c r="E89" s="163"/>
      <c r="F89" s="168" t="s">
        <v>270</v>
      </c>
      <c r="G89" s="163">
        <v>5</v>
      </c>
      <c r="H89" s="163">
        <v>2</v>
      </c>
      <c r="I89" s="167">
        <v>2093.4</v>
      </c>
      <c r="J89" s="167">
        <v>1625</v>
      </c>
      <c r="K89" s="167">
        <v>1469.4</v>
      </c>
      <c r="L89" s="165">
        <v>81</v>
      </c>
      <c r="M89" s="163" t="s">
        <v>268</v>
      </c>
      <c r="N89" s="163" t="s">
        <v>272</v>
      </c>
      <c r="O89" s="166" t="s">
        <v>1665</v>
      </c>
      <c r="P89" s="167">
        <v>3257277.38</v>
      </c>
      <c r="Q89" s="167">
        <v>0</v>
      </c>
      <c r="R89" s="167">
        <v>0</v>
      </c>
      <c r="S89" s="167">
        <f t="shared" si="15"/>
        <v>3257277.38</v>
      </c>
      <c r="T89" s="167">
        <f t="shared" si="13"/>
        <v>1555.9746727811214</v>
      </c>
      <c r="U89" s="167">
        <v>5411.4175408426481</v>
      </c>
      <c r="V89" s="149">
        <f t="shared" si="16"/>
        <v>3855.4428680615265</v>
      </c>
      <c r="W89" s="149">
        <f t="shared" si="17"/>
        <v>5411.4175408426481</v>
      </c>
      <c r="X89" s="149">
        <v>0</v>
      </c>
      <c r="Y89" s="368">
        <v>0</v>
      </c>
      <c r="Z89" s="368">
        <v>0</v>
      </c>
      <c r="AA89" s="368">
        <v>0</v>
      </c>
      <c r="AB89" s="368">
        <v>0</v>
      </c>
      <c r="AC89" s="368">
        <v>0</v>
      </c>
      <c r="AD89" s="368">
        <v>0</v>
      </c>
      <c r="AE89" s="368">
        <v>0</v>
      </c>
      <c r="AF89" s="396">
        <v>0</v>
      </c>
      <c r="AG89" s="368">
        <v>0</v>
      </c>
      <c r="AH89" s="396">
        <v>0</v>
      </c>
      <c r="AI89" s="368">
        <v>1522.8</v>
      </c>
      <c r="AJ89" s="397">
        <f t="shared" si="18"/>
        <v>5411.4175408426481</v>
      </c>
      <c r="AK89" s="368">
        <v>0</v>
      </c>
      <c r="AL89" s="368">
        <v>0</v>
      </c>
      <c r="AM89" s="368">
        <v>0</v>
      </c>
      <c r="AN89" s="368"/>
      <c r="AO89" s="368">
        <v>0</v>
      </c>
    </row>
    <row r="90" spans="1:41" s="152" customFormat="1" ht="36" customHeight="1" x14ac:dyDescent="0.9">
      <c r="A90" s="152">
        <v>1</v>
      </c>
      <c r="B90" s="90">
        <f>SUBTOTAL(103,$A$16:A90)</f>
        <v>75</v>
      </c>
      <c r="C90" s="89" t="s">
        <v>1143</v>
      </c>
      <c r="D90" s="163">
        <v>1958</v>
      </c>
      <c r="E90" s="163"/>
      <c r="F90" s="168" t="s">
        <v>270</v>
      </c>
      <c r="G90" s="163">
        <v>3</v>
      </c>
      <c r="H90" s="163">
        <v>2</v>
      </c>
      <c r="I90" s="167">
        <v>1085.8</v>
      </c>
      <c r="J90" s="167">
        <v>994.9</v>
      </c>
      <c r="K90" s="167">
        <v>922</v>
      </c>
      <c r="L90" s="165">
        <v>18</v>
      </c>
      <c r="M90" s="163" t="s">
        <v>268</v>
      </c>
      <c r="N90" s="163" t="s">
        <v>272</v>
      </c>
      <c r="O90" s="166" t="s">
        <v>1399</v>
      </c>
      <c r="P90" s="167">
        <v>2278510.5799999996</v>
      </c>
      <c r="Q90" s="167">
        <v>0</v>
      </c>
      <c r="R90" s="167">
        <v>0</v>
      </c>
      <c r="S90" s="167">
        <f t="shared" si="15"/>
        <v>2278510.5799999996</v>
      </c>
      <c r="T90" s="167">
        <f t="shared" si="13"/>
        <v>2098.4624976975501</v>
      </c>
      <c r="U90" s="167">
        <v>3198.173978633266</v>
      </c>
      <c r="V90" s="149">
        <f t="shared" si="16"/>
        <v>1099.7114809357158</v>
      </c>
      <c r="W90" s="149">
        <f t="shared" si="17"/>
        <v>3198.173978633266</v>
      </c>
      <c r="X90" s="149">
        <v>0</v>
      </c>
      <c r="Y90" s="368">
        <v>0</v>
      </c>
      <c r="Z90" s="368">
        <v>0</v>
      </c>
      <c r="AA90" s="368">
        <v>0</v>
      </c>
      <c r="AB90" s="368">
        <v>0</v>
      </c>
      <c r="AC90" s="368">
        <v>0</v>
      </c>
      <c r="AD90" s="368">
        <v>0</v>
      </c>
      <c r="AE90" s="368">
        <v>556.6</v>
      </c>
      <c r="AF90" s="396">
        <f>6238.91*AE90/I90</f>
        <v>3198.173978633266</v>
      </c>
      <c r="AG90" s="368">
        <v>0</v>
      </c>
      <c r="AH90" s="396">
        <v>0</v>
      </c>
      <c r="AI90" s="368">
        <v>0</v>
      </c>
      <c r="AJ90" s="396">
        <v>0</v>
      </c>
      <c r="AK90" s="368">
        <v>0</v>
      </c>
      <c r="AL90" s="368">
        <v>0</v>
      </c>
      <c r="AM90" s="368">
        <v>0</v>
      </c>
      <c r="AN90" s="368"/>
      <c r="AO90" s="368">
        <v>0</v>
      </c>
    </row>
    <row r="91" spans="1:41" s="152" customFormat="1" ht="36" customHeight="1" x14ac:dyDescent="0.9">
      <c r="A91" s="152">
        <v>1</v>
      </c>
      <c r="B91" s="90">
        <f>SUBTOTAL(103,$A$16:A91)</f>
        <v>76</v>
      </c>
      <c r="C91" s="89" t="s">
        <v>1144</v>
      </c>
      <c r="D91" s="163">
        <v>1959</v>
      </c>
      <c r="E91" s="163"/>
      <c r="F91" s="168" t="s">
        <v>270</v>
      </c>
      <c r="G91" s="163">
        <v>2</v>
      </c>
      <c r="H91" s="163">
        <v>1</v>
      </c>
      <c r="I91" s="167">
        <v>495</v>
      </c>
      <c r="J91" s="167">
        <v>308.10000000000002</v>
      </c>
      <c r="K91" s="167">
        <v>308.10000000000002</v>
      </c>
      <c r="L91" s="165">
        <v>19</v>
      </c>
      <c r="M91" s="163" t="s">
        <v>268</v>
      </c>
      <c r="N91" s="163" t="s">
        <v>272</v>
      </c>
      <c r="O91" s="166" t="s">
        <v>1659</v>
      </c>
      <c r="P91" s="167">
        <v>2391493.25</v>
      </c>
      <c r="Q91" s="167">
        <v>0</v>
      </c>
      <c r="R91" s="167">
        <v>0</v>
      </c>
      <c r="S91" s="167">
        <f t="shared" si="15"/>
        <v>2391493.25</v>
      </c>
      <c r="T91" s="167">
        <f t="shared" si="13"/>
        <v>4831.2994949494951</v>
      </c>
      <c r="U91" s="167">
        <v>9762.5037575757578</v>
      </c>
      <c r="V91" s="149">
        <f t="shared" si="16"/>
        <v>4931.2042626262628</v>
      </c>
      <c r="W91" s="149">
        <f t="shared" si="17"/>
        <v>9762.5037575757578</v>
      </c>
      <c r="X91" s="149">
        <v>0</v>
      </c>
      <c r="Y91" s="368">
        <v>0</v>
      </c>
      <c r="Z91" s="368">
        <v>0</v>
      </c>
      <c r="AA91" s="368">
        <v>0</v>
      </c>
      <c r="AB91" s="368">
        <v>0</v>
      </c>
      <c r="AC91" s="368">
        <v>0</v>
      </c>
      <c r="AD91" s="368">
        <v>0</v>
      </c>
      <c r="AE91" s="368">
        <v>0</v>
      </c>
      <c r="AF91" s="396">
        <v>0</v>
      </c>
      <c r="AG91" s="368">
        <v>0</v>
      </c>
      <c r="AH91" s="396">
        <v>0</v>
      </c>
      <c r="AI91" s="368">
        <v>649.6</v>
      </c>
      <c r="AJ91" s="397">
        <f>7439.1*AI91/I91</f>
        <v>9762.5037575757578</v>
      </c>
      <c r="AK91" s="368">
        <v>0</v>
      </c>
      <c r="AL91" s="368">
        <v>0</v>
      </c>
      <c r="AM91" s="368">
        <v>0</v>
      </c>
      <c r="AN91" s="368"/>
      <c r="AO91" s="368">
        <v>0</v>
      </c>
    </row>
    <row r="92" spans="1:41" s="152" customFormat="1" ht="36" customHeight="1" x14ac:dyDescent="0.9">
      <c r="A92" s="152">
        <v>1</v>
      </c>
      <c r="B92" s="90">
        <f>SUBTOTAL(103,$A$16:A92)</f>
        <v>77</v>
      </c>
      <c r="C92" s="89" t="s">
        <v>1145</v>
      </c>
      <c r="D92" s="163">
        <v>1968</v>
      </c>
      <c r="E92" s="163"/>
      <c r="F92" s="168" t="s">
        <v>270</v>
      </c>
      <c r="G92" s="163">
        <v>5</v>
      </c>
      <c r="H92" s="163">
        <v>4</v>
      </c>
      <c r="I92" s="167">
        <v>3196.3</v>
      </c>
      <c r="J92" s="167">
        <v>3132.7</v>
      </c>
      <c r="K92" s="167">
        <v>3132.7</v>
      </c>
      <c r="L92" s="165">
        <v>173</v>
      </c>
      <c r="M92" s="163" t="s">
        <v>268</v>
      </c>
      <c r="N92" s="163" t="s">
        <v>272</v>
      </c>
      <c r="O92" s="166" t="s">
        <v>1401</v>
      </c>
      <c r="P92" s="167">
        <v>1057247.3700000001</v>
      </c>
      <c r="Q92" s="167">
        <v>0</v>
      </c>
      <c r="R92" s="167">
        <v>0</v>
      </c>
      <c r="S92" s="167">
        <f t="shared" si="15"/>
        <v>1057247.3700000001</v>
      </c>
      <c r="T92" s="167">
        <f t="shared" si="13"/>
        <v>330.77225854894726</v>
      </c>
      <c r="U92" s="167">
        <v>2164.6531301817727</v>
      </c>
      <c r="V92" s="149">
        <f t="shared" si="16"/>
        <v>1833.8808716328253</v>
      </c>
      <c r="W92" s="149">
        <f t="shared" si="17"/>
        <v>2164.6531301817727</v>
      </c>
      <c r="X92" s="149">
        <v>0</v>
      </c>
      <c r="Y92" s="368">
        <v>0</v>
      </c>
      <c r="Z92" s="368">
        <v>0</v>
      </c>
      <c r="AA92" s="368">
        <v>0</v>
      </c>
      <c r="AB92" s="368">
        <v>0</v>
      </c>
      <c r="AC92" s="368">
        <v>0</v>
      </c>
      <c r="AD92" s="368">
        <v>0</v>
      </c>
      <c r="AE92" s="368">
        <v>0</v>
      </c>
      <c r="AF92" s="396">
        <v>0</v>
      </c>
      <c r="AG92" s="368">
        <v>780</v>
      </c>
      <c r="AH92" s="396">
        <f>8870.36*AG92/I92</f>
        <v>2164.6531301817727</v>
      </c>
      <c r="AI92" s="368">
        <v>0</v>
      </c>
      <c r="AJ92" s="396">
        <v>0</v>
      </c>
      <c r="AK92" s="368">
        <v>0</v>
      </c>
      <c r="AL92" s="368">
        <v>0</v>
      </c>
      <c r="AM92" s="368">
        <v>0</v>
      </c>
      <c r="AN92" s="368"/>
      <c r="AO92" s="368">
        <v>0</v>
      </c>
    </row>
    <row r="93" spans="1:41" s="152" customFormat="1" ht="36" customHeight="1" x14ac:dyDescent="0.9">
      <c r="A93" s="152">
        <v>1</v>
      </c>
      <c r="B93" s="90">
        <f>SUBTOTAL(103,$A$16:A93)</f>
        <v>78</v>
      </c>
      <c r="C93" s="89" t="s">
        <v>1146</v>
      </c>
      <c r="D93" s="163">
        <v>1974</v>
      </c>
      <c r="E93" s="163"/>
      <c r="F93" s="168" t="s">
        <v>315</v>
      </c>
      <c r="G93" s="163">
        <v>5</v>
      </c>
      <c r="H93" s="163">
        <v>6</v>
      </c>
      <c r="I93" s="167">
        <v>6075</v>
      </c>
      <c r="J93" s="167">
        <v>4574.1000000000004</v>
      </c>
      <c r="K93" s="167">
        <v>4324.3999999999996</v>
      </c>
      <c r="L93" s="165">
        <v>225</v>
      </c>
      <c r="M93" s="163" t="s">
        <v>268</v>
      </c>
      <c r="N93" s="163" t="s">
        <v>272</v>
      </c>
      <c r="O93" s="166" t="s">
        <v>1337</v>
      </c>
      <c r="P93" s="167">
        <v>5161607.8099999996</v>
      </c>
      <c r="Q93" s="167">
        <v>0</v>
      </c>
      <c r="R93" s="167">
        <v>0</v>
      </c>
      <c r="S93" s="167">
        <f t="shared" si="15"/>
        <v>5161607.8099999996</v>
      </c>
      <c r="T93" s="167">
        <f t="shared" si="13"/>
        <v>849.64737613168722</v>
      </c>
      <c r="U93" s="167">
        <v>1232.3772839506173</v>
      </c>
      <c r="V93" s="149">
        <f t="shared" si="16"/>
        <v>382.72990781893009</v>
      </c>
      <c r="W93" s="149">
        <f t="shared" si="17"/>
        <v>1232.3772839506173</v>
      </c>
      <c r="X93" s="149">
        <v>0</v>
      </c>
      <c r="Y93" s="368">
        <v>0</v>
      </c>
      <c r="Z93" s="368">
        <v>0</v>
      </c>
      <c r="AA93" s="368">
        <v>0</v>
      </c>
      <c r="AB93" s="368">
        <v>0</v>
      </c>
      <c r="AC93" s="368">
        <v>0</v>
      </c>
      <c r="AD93" s="368">
        <v>0</v>
      </c>
      <c r="AE93" s="368">
        <v>1200</v>
      </c>
      <c r="AF93" s="396">
        <f>6238.91*AE93/I93</f>
        <v>1232.3772839506173</v>
      </c>
      <c r="AG93" s="368">
        <v>0</v>
      </c>
      <c r="AH93" s="396">
        <v>0</v>
      </c>
      <c r="AI93" s="368">
        <v>0</v>
      </c>
      <c r="AJ93" s="396">
        <v>0</v>
      </c>
      <c r="AK93" s="368">
        <v>0</v>
      </c>
      <c r="AL93" s="368">
        <v>0</v>
      </c>
      <c r="AM93" s="368">
        <v>0</v>
      </c>
      <c r="AN93" s="368"/>
      <c r="AO93" s="368">
        <v>0</v>
      </c>
    </row>
    <row r="94" spans="1:41" s="152" customFormat="1" ht="36" customHeight="1" x14ac:dyDescent="0.9">
      <c r="A94" s="152">
        <v>1</v>
      </c>
      <c r="B94" s="90">
        <f>SUBTOTAL(103,$A$16:A94)</f>
        <v>79</v>
      </c>
      <c r="C94" s="89" t="s">
        <v>1149</v>
      </c>
      <c r="D94" s="163">
        <v>1959</v>
      </c>
      <c r="E94" s="163"/>
      <c r="F94" s="168" t="s">
        <v>270</v>
      </c>
      <c r="G94" s="163">
        <v>2</v>
      </c>
      <c r="H94" s="163">
        <v>2</v>
      </c>
      <c r="I94" s="167">
        <v>572.79999999999995</v>
      </c>
      <c r="J94" s="167">
        <v>339.4</v>
      </c>
      <c r="K94" s="167">
        <v>339.4</v>
      </c>
      <c r="L94" s="165">
        <v>20</v>
      </c>
      <c r="M94" s="163" t="s">
        <v>268</v>
      </c>
      <c r="N94" s="163" t="s">
        <v>272</v>
      </c>
      <c r="O94" s="166" t="s">
        <v>1339</v>
      </c>
      <c r="P94" s="167">
        <v>1938049.3</v>
      </c>
      <c r="Q94" s="167">
        <v>0</v>
      </c>
      <c r="R94" s="167">
        <v>0</v>
      </c>
      <c r="S94" s="167">
        <f t="shared" si="15"/>
        <v>1938049.3</v>
      </c>
      <c r="T94" s="167">
        <f t="shared" si="13"/>
        <v>3383.4659567039112</v>
      </c>
      <c r="U94" s="167">
        <v>8831.4636714385488</v>
      </c>
      <c r="V94" s="149">
        <f t="shared" si="16"/>
        <v>5447.9977147346381</v>
      </c>
      <c r="W94" s="149">
        <f t="shared" si="17"/>
        <v>8831.4636714385488</v>
      </c>
      <c r="X94" s="149">
        <v>0</v>
      </c>
      <c r="Y94" s="368">
        <v>0</v>
      </c>
      <c r="Z94" s="368">
        <v>0</v>
      </c>
      <c r="AA94" s="368">
        <v>0</v>
      </c>
      <c r="AB94" s="368">
        <v>0</v>
      </c>
      <c r="AC94" s="368">
        <v>0</v>
      </c>
      <c r="AD94" s="368">
        <v>0</v>
      </c>
      <c r="AE94" s="368">
        <v>0</v>
      </c>
      <c r="AF94" s="396">
        <v>0</v>
      </c>
      <c r="AG94" s="368">
        <v>0</v>
      </c>
      <c r="AH94" s="396">
        <v>0</v>
      </c>
      <c r="AI94" s="368">
        <v>680.01</v>
      </c>
      <c r="AJ94" s="397">
        <f t="shared" ref="AJ94:AJ95" si="19">7439.1*AI94/I94</f>
        <v>8831.4636714385488</v>
      </c>
      <c r="AK94" s="368">
        <v>0</v>
      </c>
      <c r="AL94" s="368">
        <v>0</v>
      </c>
      <c r="AM94" s="368">
        <v>0</v>
      </c>
      <c r="AN94" s="368"/>
      <c r="AO94" s="368">
        <v>0</v>
      </c>
    </row>
    <row r="95" spans="1:41" s="152" customFormat="1" ht="36" customHeight="1" x14ac:dyDescent="0.9">
      <c r="A95" s="152">
        <v>1</v>
      </c>
      <c r="B95" s="90">
        <f>SUBTOTAL(103,$A$16:A95)</f>
        <v>80</v>
      </c>
      <c r="C95" s="89" t="s">
        <v>1150</v>
      </c>
      <c r="D95" s="163">
        <v>1955</v>
      </c>
      <c r="E95" s="163"/>
      <c r="F95" s="168" t="s">
        <v>270</v>
      </c>
      <c r="G95" s="163">
        <v>2</v>
      </c>
      <c r="H95" s="163">
        <v>1</v>
      </c>
      <c r="I95" s="167">
        <v>527.66</v>
      </c>
      <c r="J95" s="167">
        <v>427.66</v>
      </c>
      <c r="K95" s="167">
        <v>357.76</v>
      </c>
      <c r="L95" s="165">
        <v>20</v>
      </c>
      <c r="M95" s="163" t="s">
        <v>268</v>
      </c>
      <c r="N95" s="163" t="s">
        <v>272</v>
      </c>
      <c r="O95" s="166" t="s">
        <v>1337</v>
      </c>
      <c r="P95" s="167">
        <v>1663097.88</v>
      </c>
      <c r="Q95" s="167">
        <v>0</v>
      </c>
      <c r="R95" s="167">
        <v>0</v>
      </c>
      <c r="S95" s="167">
        <f t="shared" si="15"/>
        <v>1663097.88</v>
      </c>
      <c r="T95" s="167">
        <f t="shared" si="13"/>
        <v>3151.8361823901755</v>
      </c>
      <c r="U95" s="167">
        <v>5834.8563791077595</v>
      </c>
      <c r="V95" s="149">
        <f t="shared" si="16"/>
        <v>2683.020196717584</v>
      </c>
      <c r="W95" s="149">
        <f t="shared" si="17"/>
        <v>5834.8563791077595</v>
      </c>
      <c r="X95" s="149">
        <v>0</v>
      </c>
      <c r="Y95" s="368">
        <v>0</v>
      </c>
      <c r="Z95" s="368">
        <v>0</v>
      </c>
      <c r="AA95" s="368">
        <v>0</v>
      </c>
      <c r="AB95" s="368">
        <v>0</v>
      </c>
      <c r="AC95" s="368">
        <v>0</v>
      </c>
      <c r="AD95" s="368">
        <v>0</v>
      </c>
      <c r="AE95" s="368">
        <v>0</v>
      </c>
      <c r="AF95" s="396">
        <v>0</v>
      </c>
      <c r="AG95" s="368">
        <v>0</v>
      </c>
      <c r="AH95" s="396">
        <v>0</v>
      </c>
      <c r="AI95" s="368">
        <v>413.87</v>
      </c>
      <c r="AJ95" s="397">
        <f t="shared" si="19"/>
        <v>5834.8563791077595</v>
      </c>
      <c r="AK95" s="368">
        <v>0</v>
      </c>
      <c r="AL95" s="368">
        <v>0</v>
      </c>
      <c r="AM95" s="368">
        <v>0</v>
      </c>
      <c r="AN95" s="368"/>
      <c r="AO95" s="368">
        <v>0</v>
      </c>
    </row>
    <row r="96" spans="1:41" s="152" customFormat="1" ht="36" customHeight="1" x14ac:dyDescent="0.9">
      <c r="A96" s="152">
        <v>1</v>
      </c>
      <c r="B96" s="90">
        <f>SUBTOTAL(103,$A$16:A96)</f>
        <v>81</v>
      </c>
      <c r="C96" s="89" t="s">
        <v>1566</v>
      </c>
      <c r="D96" s="163">
        <v>1949</v>
      </c>
      <c r="E96" s="163"/>
      <c r="F96" s="168" t="s">
        <v>270</v>
      </c>
      <c r="G96" s="163">
        <v>2</v>
      </c>
      <c r="H96" s="163">
        <v>1</v>
      </c>
      <c r="I96" s="167">
        <v>559.9</v>
      </c>
      <c r="J96" s="167">
        <v>519.9</v>
      </c>
      <c r="K96" s="167">
        <v>519.9</v>
      </c>
      <c r="L96" s="165">
        <v>22</v>
      </c>
      <c r="M96" s="163" t="s">
        <v>268</v>
      </c>
      <c r="N96" s="163" t="s">
        <v>272</v>
      </c>
      <c r="O96" s="166" t="s">
        <v>1398</v>
      </c>
      <c r="P96" s="167">
        <v>1677475.96</v>
      </c>
      <c r="Q96" s="167">
        <v>0</v>
      </c>
      <c r="R96" s="167">
        <v>0</v>
      </c>
      <c r="S96" s="167">
        <f t="shared" si="15"/>
        <v>1677475.96</v>
      </c>
      <c r="T96" s="167">
        <f t="shared" si="13"/>
        <v>2996.0277906769065</v>
      </c>
      <c r="U96" s="167">
        <v>5193.9287894266836</v>
      </c>
      <c r="V96" s="149">
        <f t="shared" si="16"/>
        <v>2197.900998749777</v>
      </c>
      <c r="W96" s="149">
        <f t="shared" si="17"/>
        <v>5193.9287894266836</v>
      </c>
      <c r="X96" s="149">
        <v>0</v>
      </c>
      <c r="Y96" s="368">
        <v>0</v>
      </c>
      <c r="Z96" s="368">
        <v>0</v>
      </c>
      <c r="AA96" s="368">
        <v>0</v>
      </c>
      <c r="AB96" s="368">
        <v>0</v>
      </c>
      <c r="AC96" s="368">
        <v>0</v>
      </c>
      <c r="AD96" s="368">
        <v>0</v>
      </c>
      <c r="AE96" s="368">
        <v>466.12</v>
      </c>
      <c r="AF96" s="396">
        <f t="shared" ref="AF96:AF105" si="20">6238.91*AE96/I96</f>
        <v>5193.9287894266836</v>
      </c>
      <c r="AG96" s="368">
        <v>0</v>
      </c>
      <c r="AH96" s="396">
        <v>0</v>
      </c>
      <c r="AI96" s="368">
        <v>0</v>
      </c>
      <c r="AJ96" s="396">
        <v>0</v>
      </c>
      <c r="AK96" s="368">
        <v>0</v>
      </c>
      <c r="AL96" s="368">
        <v>0</v>
      </c>
      <c r="AM96" s="368">
        <v>0</v>
      </c>
      <c r="AN96" s="368"/>
      <c r="AO96" s="368">
        <v>0</v>
      </c>
    </row>
    <row r="97" spans="1:41" s="152" customFormat="1" ht="36" customHeight="1" x14ac:dyDescent="0.9">
      <c r="A97" s="152">
        <v>1</v>
      </c>
      <c r="B97" s="90">
        <f>SUBTOTAL(103,$A$16:A97)</f>
        <v>82</v>
      </c>
      <c r="C97" s="89" t="s">
        <v>1562</v>
      </c>
      <c r="D97" s="163">
        <v>1969</v>
      </c>
      <c r="E97" s="163"/>
      <c r="F97" s="168" t="s">
        <v>270</v>
      </c>
      <c r="G97" s="163">
        <v>5</v>
      </c>
      <c r="H97" s="163">
        <v>3</v>
      </c>
      <c r="I97" s="167">
        <v>2989.1</v>
      </c>
      <c r="J97" s="167">
        <v>2908.3</v>
      </c>
      <c r="K97" s="167">
        <v>2016</v>
      </c>
      <c r="L97" s="165">
        <v>96</v>
      </c>
      <c r="M97" s="163" t="s">
        <v>268</v>
      </c>
      <c r="N97" s="163" t="s">
        <v>272</v>
      </c>
      <c r="O97" s="166" t="s">
        <v>1664</v>
      </c>
      <c r="P97" s="167">
        <v>3647517.81</v>
      </c>
      <c r="Q97" s="167">
        <v>0</v>
      </c>
      <c r="R97" s="167">
        <v>0</v>
      </c>
      <c r="S97" s="167">
        <f t="shared" si="15"/>
        <v>3647517.81</v>
      </c>
      <c r="T97" s="167">
        <f t="shared" si="13"/>
        <v>1220.2729283061792</v>
      </c>
      <c r="U97" s="167">
        <v>1792.9221805894749</v>
      </c>
      <c r="V97" s="149">
        <f t="shared" si="16"/>
        <v>572.64925228329571</v>
      </c>
      <c r="W97" s="149">
        <f t="shared" si="17"/>
        <v>1792.9221805894749</v>
      </c>
      <c r="X97" s="149">
        <v>0</v>
      </c>
      <c r="Y97" s="368">
        <v>0</v>
      </c>
      <c r="Z97" s="368">
        <v>0</v>
      </c>
      <c r="AA97" s="368">
        <v>0</v>
      </c>
      <c r="AB97" s="368">
        <v>0</v>
      </c>
      <c r="AC97" s="368">
        <v>0</v>
      </c>
      <c r="AD97" s="368">
        <v>0</v>
      </c>
      <c r="AE97" s="368">
        <v>859</v>
      </c>
      <c r="AF97" s="396">
        <f t="shared" si="20"/>
        <v>1792.9221805894749</v>
      </c>
      <c r="AG97" s="368">
        <v>0</v>
      </c>
      <c r="AH97" s="396">
        <v>0</v>
      </c>
      <c r="AI97" s="368">
        <v>0</v>
      </c>
      <c r="AJ97" s="396">
        <v>0</v>
      </c>
      <c r="AK97" s="368">
        <v>0</v>
      </c>
      <c r="AL97" s="368">
        <v>0</v>
      </c>
      <c r="AM97" s="368">
        <v>0</v>
      </c>
      <c r="AN97" s="368"/>
      <c r="AO97" s="368">
        <v>0</v>
      </c>
    </row>
    <row r="98" spans="1:41" s="152" customFormat="1" ht="36" customHeight="1" x14ac:dyDescent="0.9">
      <c r="A98" s="152">
        <v>1</v>
      </c>
      <c r="B98" s="90">
        <f>SUBTOTAL(103,$A$16:A98)</f>
        <v>83</v>
      </c>
      <c r="C98" s="89" t="s">
        <v>1565</v>
      </c>
      <c r="D98" s="163">
        <v>1938</v>
      </c>
      <c r="E98" s="163"/>
      <c r="F98" s="168" t="s">
        <v>270</v>
      </c>
      <c r="G98" s="163">
        <v>5</v>
      </c>
      <c r="H98" s="163">
        <v>4</v>
      </c>
      <c r="I98" s="167">
        <v>2281.4699999999998</v>
      </c>
      <c r="J98" s="167">
        <v>2181.4699999999998</v>
      </c>
      <c r="K98" s="167">
        <v>1868.6</v>
      </c>
      <c r="L98" s="165">
        <v>88</v>
      </c>
      <c r="M98" s="163" t="s">
        <v>268</v>
      </c>
      <c r="N98" s="163" t="s">
        <v>272</v>
      </c>
      <c r="O98" s="166" t="s">
        <v>1401</v>
      </c>
      <c r="P98" s="167">
        <v>5096776.0799999991</v>
      </c>
      <c r="Q98" s="167">
        <v>0</v>
      </c>
      <c r="R98" s="167">
        <v>0</v>
      </c>
      <c r="S98" s="167">
        <f t="shared" si="15"/>
        <v>5096776.0799999991</v>
      </c>
      <c r="T98" s="167">
        <f t="shared" si="13"/>
        <v>2233.9877710423539</v>
      </c>
      <c r="U98" s="167">
        <v>2746.3597211447004</v>
      </c>
      <c r="V98" s="149">
        <f t="shared" si="16"/>
        <v>512.37195010234655</v>
      </c>
      <c r="W98" s="149">
        <f t="shared" si="17"/>
        <v>2746.3597211447004</v>
      </c>
      <c r="X98" s="149">
        <v>0</v>
      </c>
      <c r="Y98" s="368">
        <v>0</v>
      </c>
      <c r="Z98" s="368">
        <v>0</v>
      </c>
      <c r="AA98" s="368">
        <v>0</v>
      </c>
      <c r="AB98" s="368">
        <v>0</v>
      </c>
      <c r="AC98" s="368">
        <v>0</v>
      </c>
      <c r="AD98" s="368">
        <v>0</v>
      </c>
      <c r="AE98" s="368">
        <v>1004.3</v>
      </c>
      <c r="AF98" s="396">
        <f t="shared" si="20"/>
        <v>2746.3597211447004</v>
      </c>
      <c r="AG98" s="368">
        <v>0</v>
      </c>
      <c r="AH98" s="396">
        <v>0</v>
      </c>
      <c r="AI98" s="368">
        <v>0</v>
      </c>
      <c r="AJ98" s="396">
        <v>0</v>
      </c>
      <c r="AK98" s="368">
        <v>0</v>
      </c>
      <c r="AL98" s="368">
        <v>0</v>
      </c>
      <c r="AM98" s="368">
        <v>0</v>
      </c>
      <c r="AN98" s="368"/>
      <c r="AO98" s="368">
        <v>0</v>
      </c>
    </row>
    <row r="99" spans="1:41" s="152" customFormat="1" ht="36" customHeight="1" x14ac:dyDescent="0.9">
      <c r="A99" s="152">
        <v>1</v>
      </c>
      <c r="B99" s="90">
        <f>SUBTOTAL(103,$A$16:A99)</f>
        <v>84</v>
      </c>
      <c r="C99" s="89" t="s">
        <v>1561</v>
      </c>
      <c r="D99" s="163">
        <v>1962</v>
      </c>
      <c r="E99" s="163"/>
      <c r="F99" s="168" t="s">
        <v>270</v>
      </c>
      <c r="G99" s="163">
        <v>5</v>
      </c>
      <c r="H99" s="163">
        <v>4</v>
      </c>
      <c r="I99" s="167">
        <v>3481.5</v>
      </c>
      <c r="J99" s="167">
        <v>3396.3</v>
      </c>
      <c r="K99" s="167">
        <v>3181.1</v>
      </c>
      <c r="L99" s="165">
        <v>89</v>
      </c>
      <c r="M99" s="163" t="s">
        <v>268</v>
      </c>
      <c r="N99" s="163" t="s">
        <v>272</v>
      </c>
      <c r="O99" s="166" t="s">
        <v>1664</v>
      </c>
      <c r="P99" s="167">
        <v>3789473.9</v>
      </c>
      <c r="Q99" s="167">
        <v>0</v>
      </c>
      <c r="R99" s="167">
        <v>0</v>
      </c>
      <c r="S99" s="167">
        <f t="shared" si="15"/>
        <v>3789473.9</v>
      </c>
      <c r="T99" s="167">
        <f t="shared" si="13"/>
        <v>1088.460117765331</v>
      </c>
      <c r="U99" s="167">
        <v>1843.0903159557661</v>
      </c>
      <c r="V99" s="149">
        <f t="shared" si="16"/>
        <v>754.63019819043507</v>
      </c>
      <c r="W99" s="149">
        <f t="shared" si="17"/>
        <v>1843.0903159557661</v>
      </c>
      <c r="X99" s="149">
        <v>0</v>
      </c>
      <c r="Y99" s="368">
        <v>0</v>
      </c>
      <c r="Z99" s="368">
        <v>0</v>
      </c>
      <c r="AA99" s="368">
        <v>0</v>
      </c>
      <c r="AB99" s="368">
        <v>0</v>
      </c>
      <c r="AC99" s="368">
        <v>0</v>
      </c>
      <c r="AD99" s="368">
        <v>0</v>
      </c>
      <c r="AE99" s="368">
        <v>1028.5</v>
      </c>
      <c r="AF99" s="396">
        <f t="shared" si="20"/>
        <v>1843.0903159557661</v>
      </c>
      <c r="AG99" s="368">
        <v>0</v>
      </c>
      <c r="AH99" s="396">
        <v>0</v>
      </c>
      <c r="AI99" s="368">
        <v>0</v>
      </c>
      <c r="AJ99" s="396">
        <v>0</v>
      </c>
      <c r="AK99" s="368">
        <v>0</v>
      </c>
      <c r="AL99" s="368">
        <v>0</v>
      </c>
      <c r="AM99" s="368">
        <v>0</v>
      </c>
      <c r="AN99" s="368"/>
      <c r="AO99" s="368">
        <v>0</v>
      </c>
    </row>
    <row r="100" spans="1:41" s="152" customFormat="1" ht="36" customHeight="1" x14ac:dyDescent="0.9">
      <c r="A100" s="152">
        <v>1</v>
      </c>
      <c r="B100" s="90">
        <f>SUBTOTAL(103,$A$16:A100)</f>
        <v>85</v>
      </c>
      <c r="C100" s="89" t="s">
        <v>1551</v>
      </c>
      <c r="D100" s="163">
        <v>1970</v>
      </c>
      <c r="E100" s="163"/>
      <c r="F100" s="168" t="s">
        <v>270</v>
      </c>
      <c r="G100" s="163">
        <v>9</v>
      </c>
      <c r="H100" s="163">
        <v>1</v>
      </c>
      <c r="I100" s="167">
        <v>1920.2</v>
      </c>
      <c r="J100" s="167">
        <v>1849.3</v>
      </c>
      <c r="K100" s="167">
        <v>1849.3</v>
      </c>
      <c r="L100" s="165">
        <v>94</v>
      </c>
      <c r="M100" s="163" t="s">
        <v>268</v>
      </c>
      <c r="N100" s="163" t="s">
        <v>272</v>
      </c>
      <c r="O100" s="166" t="s">
        <v>1401</v>
      </c>
      <c r="P100" s="167">
        <v>597387.81000000006</v>
      </c>
      <c r="Q100" s="167">
        <v>0</v>
      </c>
      <c r="R100" s="167">
        <v>0</v>
      </c>
      <c r="S100" s="167">
        <f t="shared" si="15"/>
        <v>597387.81000000006</v>
      </c>
      <c r="T100" s="167">
        <f t="shared" si="13"/>
        <v>311.10707738777211</v>
      </c>
      <c r="U100" s="167">
        <v>1087.7966191021769</v>
      </c>
      <c r="V100" s="149">
        <f t="shared" si="16"/>
        <v>776.68954171440487</v>
      </c>
      <c r="W100" s="149">
        <f t="shared" si="17"/>
        <v>1087.7966191021769</v>
      </c>
      <c r="X100" s="149">
        <v>0</v>
      </c>
      <c r="Y100" s="368">
        <v>0</v>
      </c>
      <c r="Z100" s="368">
        <v>0</v>
      </c>
      <c r="AA100" s="368">
        <v>0</v>
      </c>
      <c r="AB100" s="368">
        <v>0</v>
      </c>
      <c r="AC100" s="368">
        <v>0</v>
      </c>
      <c r="AD100" s="368">
        <v>0</v>
      </c>
      <c r="AE100" s="368">
        <v>334.8</v>
      </c>
      <c r="AF100" s="396">
        <f t="shared" si="20"/>
        <v>1087.7966191021769</v>
      </c>
      <c r="AG100" s="368">
        <v>0</v>
      </c>
      <c r="AH100" s="396">
        <v>0</v>
      </c>
      <c r="AI100" s="368">
        <v>0</v>
      </c>
      <c r="AJ100" s="396">
        <v>0</v>
      </c>
      <c r="AK100" s="368">
        <v>0</v>
      </c>
      <c r="AL100" s="368">
        <v>0</v>
      </c>
      <c r="AM100" s="368">
        <v>0</v>
      </c>
      <c r="AN100" s="368"/>
      <c r="AO100" s="368">
        <v>0</v>
      </c>
    </row>
    <row r="101" spans="1:41" s="152" customFormat="1" ht="36" customHeight="1" x14ac:dyDescent="0.9">
      <c r="A101" s="152">
        <v>1</v>
      </c>
      <c r="B101" s="90">
        <f>SUBTOTAL(103,$A$16:A101)</f>
        <v>86</v>
      </c>
      <c r="C101" s="89" t="s">
        <v>1563</v>
      </c>
      <c r="D101" s="163">
        <v>1976</v>
      </c>
      <c r="E101" s="163"/>
      <c r="F101" s="168" t="s">
        <v>270</v>
      </c>
      <c r="G101" s="163">
        <v>5</v>
      </c>
      <c r="H101" s="163">
        <v>7</v>
      </c>
      <c r="I101" s="167">
        <v>5832</v>
      </c>
      <c r="J101" s="167">
        <v>5789.7</v>
      </c>
      <c r="K101" s="167">
        <v>5389.7</v>
      </c>
      <c r="L101" s="165">
        <v>248</v>
      </c>
      <c r="M101" s="163" t="s">
        <v>268</v>
      </c>
      <c r="N101" s="163" t="s">
        <v>272</v>
      </c>
      <c r="O101" s="166" t="s">
        <v>1399</v>
      </c>
      <c r="P101" s="167">
        <v>5103753.3499999996</v>
      </c>
      <c r="Q101" s="167">
        <v>0</v>
      </c>
      <c r="R101" s="167">
        <v>0</v>
      </c>
      <c r="S101" s="167">
        <f t="shared" si="15"/>
        <v>5103753.3499999996</v>
      </c>
      <c r="T101" s="167">
        <f t="shared" si="13"/>
        <v>875.12917524005479</v>
      </c>
      <c r="U101" s="167">
        <v>1695.5885373799724</v>
      </c>
      <c r="V101" s="149">
        <f t="shared" si="16"/>
        <v>820.45936213991763</v>
      </c>
      <c r="W101" s="149">
        <f t="shared" si="17"/>
        <v>1695.5885373799724</v>
      </c>
      <c r="X101" s="149">
        <v>0</v>
      </c>
      <c r="Y101" s="368">
        <v>0</v>
      </c>
      <c r="Z101" s="368">
        <v>0</v>
      </c>
      <c r="AA101" s="368">
        <v>0</v>
      </c>
      <c r="AB101" s="368">
        <v>0</v>
      </c>
      <c r="AC101" s="368">
        <v>0</v>
      </c>
      <c r="AD101" s="368">
        <v>0</v>
      </c>
      <c r="AE101" s="368">
        <v>1585</v>
      </c>
      <c r="AF101" s="396">
        <f t="shared" si="20"/>
        <v>1695.5885373799724</v>
      </c>
      <c r="AG101" s="368">
        <v>0</v>
      </c>
      <c r="AH101" s="396">
        <v>0</v>
      </c>
      <c r="AI101" s="368">
        <v>0</v>
      </c>
      <c r="AJ101" s="396">
        <v>0</v>
      </c>
      <c r="AK101" s="368">
        <v>0</v>
      </c>
      <c r="AL101" s="368">
        <v>0</v>
      </c>
      <c r="AM101" s="368">
        <v>0</v>
      </c>
      <c r="AN101" s="368"/>
      <c r="AO101" s="368">
        <v>0</v>
      </c>
    </row>
    <row r="102" spans="1:41" s="152" customFormat="1" ht="36" customHeight="1" x14ac:dyDescent="0.9">
      <c r="A102" s="152">
        <v>1</v>
      </c>
      <c r="B102" s="90">
        <f>SUBTOTAL(103,$A$16:A102)</f>
        <v>87</v>
      </c>
      <c r="C102" s="89" t="s">
        <v>1564</v>
      </c>
      <c r="D102" s="163">
        <v>1972</v>
      </c>
      <c r="E102" s="163"/>
      <c r="F102" s="168" t="s">
        <v>270</v>
      </c>
      <c r="G102" s="163">
        <v>5</v>
      </c>
      <c r="H102" s="163">
        <v>8</v>
      </c>
      <c r="I102" s="167">
        <v>7103.6</v>
      </c>
      <c r="J102" s="167">
        <v>6466</v>
      </c>
      <c r="K102" s="167">
        <v>5482.9</v>
      </c>
      <c r="L102" s="165">
        <v>277</v>
      </c>
      <c r="M102" s="163" t="s">
        <v>268</v>
      </c>
      <c r="N102" s="163" t="s">
        <v>272</v>
      </c>
      <c r="O102" s="166" t="s">
        <v>1400</v>
      </c>
      <c r="P102" s="167">
        <v>6439254.3500000006</v>
      </c>
      <c r="Q102" s="167">
        <v>0</v>
      </c>
      <c r="R102" s="167">
        <v>0</v>
      </c>
      <c r="S102" s="167">
        <f t="shared" si="15"/>
        <v>6439254.3500000006</v>
      </c>
      <c r="T102" s="167">
        <f t="shared" si="13"/>
        <v>906.47760994425369</v>
      </c>
      <c r="U102" s="167">
        <v>1460.9216304409033</v>
      </c>
      <c r="V102" s="149">
        <f t="shared" si="16"/>
        <v>554.44402049664961</v>
      </c>
      <c r="W102" s="149">
        <f t="shared" si="17"/>
        <v>1460.9216304409033</v>
      </c>
      <c r="X102" s="149">
        <v>0</v>
      </c>
      <c r="Y102" s="368">
        <v>0</v>
      </c>
      <c r="Z102" s="368">
        <v>0</v>
      </c>
      <c r="AA102" s="368">
        <v>0</v>
      </c>
      <c r="AB102" s="368">
        <v>0</v>
      </c>
      <c r="AC102" s="368">
        <v>0</v>
      </c>
      <c r="AD102" s="368">
        <v>0</v>
      </c>
      <c r="AE102" s="368">
        <v>1663.4</v>
      </c>
      <c r="AF102" s="396">
        <f t="shared" si="20"/>
        <v>1460.9216304409033</v>
      </c>
      <c r="AG102" s="368">
        <v>0</v>
      </c>
      <c r="AH102" s="396">
        <v>0</v>
      </c>
      <c r="AI102" s="368">
        <v>0</v>
      </c>
      <c r="AJ102" s="396">
        <v>0</v>
      </c>
      <c r="AK102" s="368">
        <v>0</v>
      </c>
      <c r="AL102" s="368">
        <v>0</v>
      </c>
      <c r="AM102" s="368">
        <v>0</v>
      </c>
      <c r="AN102" s="368"/>
      <c r="AO102" s="368">
        <v>0</v>
      </c>
    </row>
    <row r="103" spans="1:41" s="152" customFormat="1" ht="36" customHeight="1" x14ac:dyDescent="0.9">
      <c r="A103" s="152">
        <v>1</v>
      </c>
      <c r="B103" s="90">
        <f>SUBTOTAL(103,$A$16:A103)</f>
        <v>88</v>
      </c>
      <c r="C103" s="89" t="s">
        <v>1552</v>
      </c>
      <c r="D103" s="163">
        <v>1976</v>
      </c>
      <c r="E103" s="163"/>
      <c r="F103" s="168" t="s">
        <v>270</v>
      </c>
      <c r="G103" s="163">
        <v>3</v>
      </c>
      <c r="H103" s="163">
        <v>2</v>
      </c>
      <c r="I103" s="167">
        <v>1182.5999999999999</v>
      </c>
      <c r="J103" s="167">
        <v>1084.5999999999999</v>
      </c>
      <c r="K103" s="167">
        <v>993.3</v>
      </c>
      <c r="L103" s="165">
        <v>59</v>
      </c>
      <c r="M103" s="163" t="s">
        <v>268</v>
      </c>
      <c r="N103" s="163" t="s">
        <v>272</v>
      </c>
      <c r="O103" s="166" t="s">
        <v>1398</v>
      </c>
      <c r="P103" s="167">
        <v>1913423.73</v>
      </c>
      <c r="Q103" s="167">
        <v>0</v>
      </c>
      <c r="R103" s="167">
        <v>0</v>
      </c>
      <c r="S103" s="167">
        <f t="shared" si="15"/>
        <v>1913423.73</v>
      </c>
      <c r="T103" s="167">
        <f t="shared" si="13"/>
        <v>1617.9804921359716</v>
      </c>
      <c r="U103" s="167">
        <v>2679.9985455775409</v>
      </c>
      <c r="V103" s="149">
        <f t="shared" si="16"/>
        <v>1062.0180534415692</v>
      </c>
      <c r="W103" s="149">
        <f t="shared" si="17"/>
        <v>2679.9985455775409</v>
      </c>
      <c r="X103" s="149">
        <v>0</v>
      </c>
      <c r="Y103" s="368">
        <v>0</v>
      </c>
      <c r="Z103" s="368">
        <v>0</v>
      </c>
      <c r="AA103" s="368">
        <v>0</v>
      </c>
      <c r="AB103" s="368">
        <v>0</v>
      </c>
      <c r="AC103" s="368">
        <v>0</v>
      </c>
      <c r="AD103" s="368">
        <v>0</v>
      </c>
      <c r="AE103" s="368">
        <v>508</v>
      </c>
      <c r="AF103" s="396">
        <f t="shared" si="20"/>
        <v>2679.9985455775409</v>
      </c>
      <c r="AG103" s="368">
        <v>0</v>
      </c>
      <c r="AH103" s="396">
        <v>0</v>
      </c>
      <c r="AI103" s="368">
        <v>0</v>
      </c>
      <c r="AJ103" s="396">
        <v>0</v>
      </c>
      <c r="AK103" s="368">
        <v>0</v>
      </c>
      <c r="AL103" s="368">
        <v>0</v>
      </c>
      <c r="AM103" s="368">
        <v>0</v>
      </c>
      <c r="AN103" s="368"/>
      <c r="AO103" s="368">
        <v>0</v>
      </c>
    </row>
    <row r="104" spans="1:41" s="152" customFormat="1" ht="36" customHeight="1" x14ac:dyDescent="0.9">
      <c r="A104" s="152">
        <v>1</v>
      </c>
      <c r="B104" s="90">
        <f>SUBTOTAL(103,$A$16:A104)</f>
        <v>89</v>
      </c>
      <c r="C104" s="89" t="s">
        <v>1606</v>
      </c>
      <c r="D104" s="163">
        <v>1959</v>
      </c>
      <c r="E104" s="163"/>
      <c r="F104" s="168" t="s">
        <v>270</v>
      </c>
      <c r="G104" s="163">
        <v>2</v>
      </c>
      <c r="H104" s="163">
        <v>2</v>
      </c>
      <c r="I104" s="167">
        <v>548.9</v>
      </c>
      <c r="J104" s="167">
        <v>548.9</v>
      </c>
      <c r="K104" s="167">
        <v>548.9</v>
      </c>
      <c r="L104" s="165">
        <v>40</v>
      </c>
      <c r="M104" s="163" t="s">
        <v>268</v>
      </c>
      <c r="N104" s="163" t="s">
        <v>272</v>
      </c>
      <c r="O104" s="166" t="s">
        <v>1398</v>
      </c>
      <c r="P104" s="167">
        <v>2139777.0500000003</v>
      </c>
      <c r="Q104" s="167">
        <v>0</v>
      </c>
      <c r="R104" s="167">
        <v>0</v>
      </c>
      <c r="S104" s="167">
        <f t="shared" si="15"/>
        <v>2139777.0500000003</v>
      </c>
      <c r="T104" s="167">
        <f t="shared" si="13"/>
        <v>3898.3003279285849</v>
      </c>
      <c r="U104" s="167">
        <v>4046.3690289670249</v>
      </c>
      <c r="V104" s="149">
        <f t="shared" si="16"/>
        <v>148.06870103843994</v>
      </c>
      <c r="W104" s="149">
        <f t="shared" si="17"/>
        <v>4046.3690289670249</v>
      </c>
      <c r="X104" s="149">
        <v>0</v>
      </c>
      <c r="Y104" s="368">
        <v>0</v>
      </c>
      <c r="Z104" s="368">
        <v>0</v>
      </c>
      <c r="AA104" s="368">
        <v>0</v>
      </c>
      <c r="AB104" s="368">
        <v>0</v>
      </c>
      <c r="AC104" s="368">
        <v>0</v>
      </c>
      <c r="AD104" s="368">
        <v>0</v>
      </c>
      <c r="AE104" s="368">
        <v>356</v>
      </c>
      <c r="AF104" s="396">
        <f t="shared" si="20"/>
        <v>4046.3690289670249</v>
      </c>
      <c r="AG104" s="368">
        <v>0</v>
      </c>
      <c r="AH104" s="396">
        <v>0</v>
      </c>
      <c r="AI104" s="368">
        <v>0</v>
      </c>
      <c r="AJ104" s="396">
        <v>0</v>
      </c>
      <c r="AK104" s="368">
        <v>0</v>
      </c>
      <c r="AL104" s="368">
        <v>0</v>
      </c>
      <c r="AM104" s="368">
        <v>0</v>
      </c>
      <c r="AN104" s="368"/>
      <c r="AO104" s="368">
        <v>0</v>
      </c>
    </row>
    <row r="105" spans="1:41" s="152" customFormat="1" ht="36" customHeight="1" x14ac:dyDescent="0.9">
      <c r="A105" s="152">
        <v>1</v>
      </c>
      <c r="B105" s="90">
        <f>SUBTOTAL(103,$A$16:A105)</f>
        <v>90</v>
      </c>
      <c r="C105" s="89" t="s">
        <v>1608</v>
      </c>
      <c r="D105" s="163">
        <v>1970</v>
      </c>
      <c r="E105" s="163"/>
      <c r="F105" s="168" t="s">
        <v>270</v>
      </c>
      <c r="G105" s="163">
        <v>5</v>
      </c>
      <c r="H105" s="163">
        <v>4</v>
      </c>
      <c r="I105" s="167">
        <v>3506.9</v>
      </c>
      <c r="J105" s="167">
        <v>3386.1</v>
      </c>
      <c r="K105" s="167">
        <v>3356</v>
      </c>
      <c r="L105" s="165">
        <v>175</v>
      </c>
      <c r="M105" s="163" t="s">
        <v>268</v>
      </c>
      <c r="N105" s="163" t="s">
        <v>272</v>
      </c>
      <c r="O105" s="166" t="s">
        <v>1612</v>
      </c>
      <c r="P105" s="167">
        <v>4640895.0699999994</v>
      </c>
      <c r="Q105" s="167">
        <v>0</v>
      </c>
      <c r="R105" s="167">
        <v>0</v>
      </c>
      <c r="S105" s="167">
        <f t="shared" si="15"/>
        <v>4640895.0699999994</v>
      </c>
      <c r="T105" s="167">
        <f t="shared" si="13"/>
        <v>1323.3611081011718</v>
      </c>
      <c r="U105" s="167">
        <v>1990.7440445977929</v>
      </c>
      <c r="V105" s="149">
        <f t="shared" si="16"/>
        <v>667.38293649662114</v>
      </c>
      <c r="W105" s="149">
        <f t="shared" si="17"/>
        <v>1990.7440445977929</v>
      </c>
      <c r="X105" s="149">
        <v>0</v>
      </c>
      <c r="Y105" s="368">
        <v>0</v>
      </c>
      <c r="Z105" s="368">
        <v>0</v>
      </c>
      <c r="AA105" s="368">
        <v>0</v>
      </c>
      <c r="AB105" s="368">
        <v>0</v>
      </c>
      <c r="AC105" s="368">
        <v>0</v>
      </c>
      <c r="AD105" s="368">
        <v>0</v>
      </c>
      <c r="AE105" s="368">
        <v>1119</v>
      </c>
      <c r="AF105" s="396">
        <f t="shared" si="20"/>
        <v>1990.7440445977929</v>
      </c>
      <c r="AG105" s="368">
        <v>0</v>
      </c>
      <c r="AH105" s="396">
        <v>0</v>
      </c>
      <c r="AI105" s="368">
        <v>0</v>
      </c>
      <c r="AJ105" s="396">
        <v>0</v>
      </c>
      <c r="AK105" s="368">
        <v>0</v>
      </c>
      <c r="AL105" s="368">
        <v>0</v>
      </c>
      <c r="AM105" s="368">
        <v>0</v>
      </c>
      <c r="AN105" s="368"/>
      <c r="AO105" s="368">
        <v>0</v>
      </c>
    </row>
    <row r="106" spans="1:41" s="152" customFormat="1" ht="36" customHeight="1" x14ac:dyDescent="0.9">
      <c r="A106" s="152">
        <v>1</v>
      </c>
      <c r="B106" s="90">
        <f>SUBTOTAL(103,$A$16:A106)</f>
        <v>91</v>
      </c>
      <c r="C106" s="89" t="s">
        <v>1609</v>
      </c>
      <c r="D106" s="163">
        <v>1960</v>
      </c>
      <c r="E106" s="163"/>
      <c r="F106" s="168" t="s">
        <v>270</v>
      </c>
      <c r="G106" s="163">
        <v>4</v>
      </c>
      <c r="H106" s="163">
        <v>2</v>
      </c>
      <c r="I106" s="167">
        <v>1387.7</v>
      </c>
      <c r="J106" s="167">
        <v>1266.5999999999999</v>
      </c>
      <c r="K106" s="167">
        <v>1266.5999999999999</v>
      </c>
      <c r="L106" s="165">
        <v>80</v>
      </c>
      <c r="M106" s="163" t="s">
        <v>268</v>
      </c>
      <c r="N106" s="163" t="s">
        <v>272</v>
      </c>
      <c r="O106" s="166" t="s">
        <v>1398</v>
      </c>
      <c r="P106" s="167">
        <v>2739411.65</v>
      </c>
      <c r="Q106" s="167">
        <v>0</v>
      </c>
      <c r="R106" s="167">
        <v>0</v>
      </c>
      <c r="S106" s="167">
        <f t="shared" si="15"/>
        <v>2739411.65</v>
      </c>
      <c r="T106" s="167">
        <f t="shared" si="13"/>
        <v>1974.0661886574908</v>
      </c>
      <c r="U106" s="167">
        <v>7044.0134034733728</v>
      </c>
      <c r="V106" s="149">
        <f t="shared" si="16"/>
        <v>5069.947214815882</v>
      </c>
      <c r="W106" s="149">
        <f t="shared" si="17"/>
        <v>7044.0134034733728</v>
      </c>
      <c r="X106" s="149">
        <v>0</v>
      </c>
      <c r="Y106" s="368">
        <v>0</v>
      </c>
      <c r="Z106" s="368">
        <v>0</v>
      </c>
      <c r="AA106" s="368">
        <v>0</v>
      </c>
      <c r="AB106" s="368">
        <v>0</v>
      </c>
      <c r="AC106" s="368">
        <v>0</v>
      </c>
      <c r="AD106" s="368">
        <v>0</v>
      </c>
      <c r="AE106" s="368">
        <v>0</v>
      </c>
      <c r="AF106" s="396">
        <v>0</v>
      </c>
      <c r="AG106" s="368">
        <v>0</v>
      </c>
      <c r="AH106" s="396">
        <v>0</v>
      </c>
      <c r="AI106" s="368">
        <v>1314</v>
      </c>
      <c r="AJ106" s="397">
        <f>7439.1*AI106/I106</f>
        <v>7044.0134034733728</v>
      </c>
      <c r="AK106" s="368">
        <v>0</v>
      </c>
      <c r="AL106" s="368">
        <v>0</v>
      </c>
      <c r="AM106" s="368">
        <v>0</v>
      </c>
      <c r="AN106" s="368"/>
      <c r="AO106" s="368">
        <v>0</v>
      </c>
    </row>
    <row r="107" spans="1:41" s="152" customFormat="1" ht="36" customHeight="1" x14ac:dyDescent="0.9">
      <c r="A107" s="152">
        <v>1</v>
      </c>
      <c r="B107" s="90">
        <f>SUBTOTAL(103,$A$16:A107)</f>
        <v>92</v>
      </c>
      <c r="C107" s="89" t="s">
        <v>1610</v>
      </c>
      <c r="D107" s="163">
        <v>1961</v>
      </c>
      <c r="E107" s="163"/>
      <c r="F107" s="168" t="s">
        <v>270</v>
      </c>
      <c r="G107" s="163">
        <v>4</v>
      </c>
      <c r="H107" s="163">
        <v>2</v>
      </c>
      <c r="I107" s="167">
        <v>1276.7</v>
      </c>
      <c r="J107" s="167">
        <v>1276.7</v>
      </c>
      <c r="K107" s="167">
        <v>1232.9000000000001</v>
      </c>
      <c r="L107" s="165">
        <v>80</v>
      </c>
      <c r="M107" s="163" t="s">
        <v>268</v>
      </c>
      <c r="N107" s="163" t="s">
        <v>272</v>
      </c>
      <c r="O107" s="166" t="s">
        <v>1613</v>
      </c>
      <c r="P107" s="167">
        <v>3080924.7199999997</v>
      </c>
      <c r="Q107" s="167">
        <v>0</v>
      </c>
      <c r="R107" s="167">
        <v>0</v>
      </c>
      <c r="S107" s="167">
        <f t="shared" si="15"/>
        <v>3080924.7199999997</v>
      </c>
      <c r="T107" s="167">
        <f t="shared" si="13"/>
        <v>2413.1939531604917</v>
      </c>
      <c r="U107" s="167">
        <v>3454.9301872013784</v>
      </c>
      <c r="V107" s="149">
        <f t="shared" si="16"/>
        <v>1041.7362340408868</v>
      </c>
      <c r="W107" s="149">
        <f t="shared" si="17"/>
        <v>3454.9301872013784</v>
      </c>
      <c r="X107" s="149">
        <v>0</v>
      </c>
      <c r="Y107" s="368">
        <v>0</v>
      </c>
      <c r="Z107" s="368">
        <v>0</v>
      </c>
      <c r="AA107" s="368">
        <v>0</v>
      </c>
      <c r="AB107" s="368">
        <v>0</v>
      </c>
      <c r="AC107" s="368">
        <v>0</v>
      </c>
      <c r="AD107" s="368">
        <v>0</v>
      </c>
      <c r="AE107" s="368">
        <v>707</v>
      </c>
      <c r="AF107" s="396">
        <f>6238.91*AE107/I107</f>
        <v>3454.9301872013784</v>
      </c>
      <c r="AG107" s="368">
        <v>0</v>
      </c>
      <c r="AH107" s="396">
        <v>0</v>
      </c>
      <c r="AI107" s="368">
        <v>0</v>
      </c>
      <c r="AJ107" s="396">
        <v>0</v>
      </c>
      <c r="AK107" s="368">
        <v>0</v>
      </c>
      <c r="AL107" s="368">
        <v>0</v>
      </c>
      <c r="AM107" s="368">
        <v>0</v>
      </c>
      <c r="AN107" s="368"/>
      <c r="AO107" s="368">
        <v>0</v>
      </c>
    </row>
    <row r="108" spans="1:41" s="152" customFormat="1" ht="36" customHeight="1" x14ac:dyDescent="0.9">
      <c r="A108" s="152">
        <v>1</v>
      </c>
      <c r="B108" s="90">
        <f>SUBTOTAL(103,$A$16:A108)</f>
        <v>93</v>
      </c>
      <c r="C108" s="89" t="s">
        <v>1611</v>
      </c>
      <c r="D108" s="163">
        <v>1953</v>
      </c>
      <c r="E108" s="163"/>
      <c r="F108" s="168" t="s">
        <v>270</v>
      </c>
      <c r="G108" s="163">
        <v>2</v>
      </c>
      <c r="H108" s="163">
        <v>2</v>
      </c>
      <c r="I108" s="167">
        <v>620.29999999999995</v>
      </c>
      <c r="J108" s="167">
        <v>581.20000000000005</v>
      </c>
      <c r="K108" s="167">
        <v>581.20000000000005</v>
      </c>
      <c r="L108" s="165">
        <v>30</v>
      </c>
      <c r="M108" s="163" t="s">
        <v>268</v>
      </c>
      <c r="N108" s="163" t="s">
        <v>272</v>
      </c>
      <c r="O108" s="166" t="s">
        <v>353</v>
      </c>
      <c r="P108" s="167">
        <v>3171091.7600000002</v>
      </c>
      <c r="Q108" s="167">
        <v>0</v>
      </c>
      <c r="R108" s="167">
        <v>0</v>
      </c>
      <c r="S108" s="167">
        <f t="shared" si="15"/>
        <v>3171091.7600000002</v>
      </c>
      <c r="T108" s="167">
        <f t="shared" si="13"/>
        <v>5112.1904884733203</v>
      </c>
      <c r="U108" s="167">
        <v>7687.3498307270693</v>
      </c>
      <c r="V108" s="149">
        <f t="shared" si="16"/>
        <v>2575.1593422537489</v>
      </c>
      <c r="W108" s="149">
        <f t="shared" si="17"/>
        <v>7687.3498307270693</v>
      </c>
      <c r="X108" s="149">
        <v>0</v>
      </c>
      <c r="Y108" s="368">
        <v>0</v>
      </c>
      <c r="Z108" s="368">
        <v>0</v>
      </c>
      <c r="AA108" s="368">
        <v>0</v>
      </c>
      <c r="AB108" s="368">
        <v>0</v>
      </c>
      <c r="AC108" s="368">
        <v>0</v>
      </c>
      <c r="AD108" s="368">
        <v>0</v>
      </c>
      <c r="AE108" s="368">
        <v>0</v>
      </c>
      <c r="AF108" s="396">
        <v>0</v>
      </c>
      <c r="AG108" s="368">
        <v>0</v>
      </c>
      <c r="AH108" s="396">
        <v>0</v>
      </c>
      <c r="AI108" s="368">
        <v>641</v>
      </c>
      <c r="AJ108" s="397">
        <f>7439.1*AI108/I108</f>
        <v>7687.3498307270693</v>
      </c>
      <c r="AK108" s="368"/>
      <c r="AL108" s="368">
        <v>0</v>
      </c>
      <c r="AM108" s="368">
        <v>0</v>
      </c>
      <c r="AN108" s="368"/>
      <c r="AO108" s="368">
        <v>0</v>
      </c>
    </row>
    <row r="109" spans="1:41" s="152" customFormat="1" ht="36" customHeight="1" x14ac:dyDescent="0.9">
      <c r="A109" s="152">
        <v>1</v>
      </c>
      <c r="B109" s="90">
        <f>SUBTOTAL(103,$A$16:A109)</f>
        <v>94</v>
      </c>
      <c r="C109" s="89" t="s">
        <v>1633</v>
      </c>
      <c r="D109" s="163">
        <v>1959</v>
      </c>
      <c r="E109" s="163"/>
      <c r="F109" s="168" t="s">
        <v>270</v>
      </c>
      <c r="G109" s="163">
        <v>2</v>
      </c>
      <c r="H109" s="163">
        <v>1</v>
      </c>
      <c r="I109" s="167">
        <v>412.6</v>
      </c>
      <c r="J109" s="167">
        <v>256.39999999999998</v>
      </c>
      <c r="K109" s="167">
        <v>256.39999999999998</v>
      </c>
      <c r="L109" s="165">
        <v>20</v>
      </c>
      <c r="M109" s="163" t="s">
        <v>268</v>
      </c>
      <c r="N109" s="163" t="s">
        <v>272</v>
      </c>
      <c r="O109" s="166" t="s">
        <v>1401</v>
      </c>
      <c r="P109" s="167">
        <v>1538390.57</v>
      </c>
      <c r="Q109" s="167">
        <v>0</v>
      </c>
      <c r="R109" s="167">
        <v>0</v>
      </c>
      <c r="S109" s="167">
        <f t="shared" si="15"/>
        <v>1538390.57</v>
      </c>
      <c r="T109" s="167">
        <f t="shared" si="13"/>
        <v>3728.5277993213767</v>
      </c>
      <c r="U109" s="167">
        <v>5715.7246243334948</v>
      </c>
      <c r="V109" s="149">
        <f t="shared" si="16"/>
        <v>1987.1968250121181</v>
      </c>
      <c r="W109" s="149">
        <f t="shared" si="17"/>
        <v>5715.7246243334948</v>
      </c>
      <c r="X109" s="149">
        <v>0</v>
      </c>
      <c r="Y109" s="368">
        <v>0</v>
      </c>
      <c r="Z109" s="368">
        <v>0</v>
      </c>
      <c r="AA109" s="368">
        <v>0</v>
      </c>
      <c r="AB109" s="368">
        <v>0</v>
      </c>
      <c r="AC109" s="368">
        <v>0</v>
      </c>
      <c r="AD109" s="368">
        <v>0</v>
      </c>
      <c r="AE109" s="368">
        <v>378</v>
      </c>
      <c r="AF109" s="396">
        <f>6238.91*AE109/I109</f>
        <v>5715.7246243334948</v>
      </c>
      <c r="AG109" s="368">
        <v>0</v>
      </c>
      <c r="AH109" s="396">
        <v>0</v>
      </c>
      <c r="AI109" s="368">
        <v>0</v>
      </c>
      <c r="AJ109" s="396">
        <v>0</v>
      </c>
      <c r="AK109" s="368">
        <v>0</v>
      </c>
      <c r="AL109" s="368">
        <v>0</v>
      </c>
      <c r="AM109" s="368">
        <v>0</v>
      </c>
      <c r="AN109" s="368"/>
      <c r="AO109" s="368">
        <v>0</v>
      </c>
    </row>
    <row r="110" spans="1:41" s="152" customFormat="1" ht="36" customHeight="1" x14ac:dyDescent="0.9">
      <c r="A110" s="152">
        <v>1</v>
      </c>
      <c r="B110" s="90">
        <f>SUBTOTAL(103,$A$16:A110)</f>
        <v>95</v>
      </c>
      <c r="C110" s="89" t="s">
        <v>1634</v>
      </c>
      <c r="D110" s="163">
        <v>1984</v>
      </c>
      <c r="E110" s="163"/>
      <c r="F110" s="168" t="s">
        <v>315</v>
      </c>
      <c r="G110" s="163">
        <v>14</v>
      </c>
      <c r="H110" s="163">
        <v>1</v>
      </c>
      <c r="I110" s="167">
        <v>4285.8999999999996</v>
      </c>
      <c r="J110" s="167">
        <v>4230</v>
      </c>
      <c r="K110" s="167">
        <v>3928.3</v>
      </c>
      <c r="L110" s="165">
        <v>191</v>
      </c>
      <c r="M110" s="163" t="s">
        <v>268</v>
      </c>
      <c r="N110" s="163" t="s">
        <v>272</v>
      </c>
      <c r="O110" s="166" t="s">
        <v>1400</v>
      </c>
      <c r="P110" s="167">
        <v>2359648.1800000002</v>
      </c>
      <c r="Q110" s="167">
        <v>0</v>
      </c>
      <c r="R110" s="167">
        <v>0</v>
      </c>
      <c r="S110" s="167">
        <f t="shared" si="15"/>
        <v>2359648.1800000002</v>
      </c>
      <c r="T110" s="167">
        <f t="shared" si="13"/>
        <v>550.56071770223298</v>
      </c>
      <c r="U110" s="167">
        <v>712.14704029492066</v>
      </c>
      <c r="V110" s="149">
        <f t="shared" si="16"/>
        <v>161.58632259268768</v>
      </c>
      <c r="W110" s="149">
        <f t="shared" si="17"/>
        <v>712.14704029492066</v>
      </c>
      <c r="X110" s="149">
        <v>0</v>
      </c>
      <c r="Y110" s="368">
        <v>0</v>
      </c>
      <c r="Z110" s="368">
        <v>0</v>
      </c>
      <c r="AA110" s="368">
        <v>0</v>
      </c>
      <c r="AB110" s="368">
        <v>0</v>
      </c>
      <c r="AC110" s="368">
        <v>1</v>
      </c>
      <c r="AD110" s="396">
        <f>3052191*AC110/I110</f>
        <v>712.14704029492066</v>
      </c>
      <c r="AE110" s="368">
        <v>0</v>
      </c>
      <c r="AF110" s="396">
        <v>0</v>
      </c>
      <c r="AG110" s="368">
        <v>0</v>
      </c>
      <c r="AH110" s="396">
        <v>0</v>
      </c>
      <c r="AI110" s="368">
        <v>0</v>
      </c>
      <c r="AJ110" s="396">
        <v>0</v>
      </c>
      <c r="AK110" s="368">
        <v>0</v>
      </c>
      <c r="AL110" s="368">
        <v>0</v>
      </c>
      <c r="AM110" s="368">
        <v>0</v>
      </c>
      <c r="AN110" s="368"/>
      <c r="AO110" s="368">
        <v>0</v>
      </c>
    </row>
    <row r="111" spans="1:41" s="152" customFormat="1" ht="36" customHeight="1" x14ac:dyDescent="0.9">
      <c r="A111" s="152">
        <v>1</v>
      </c>
      <c r="B111" s="90">
        <f>SUBTOTAL(103,$A$16:A111)</f>
        <v>96</v>
      </c>
      <c r="C111" s="89" t="s">
        <v>1137</v>
      </c>
      <c r="D111" s="163">
        <v>1962</v>
      </c>
      <c r="E111" s="163"/>
      <c r="F111" s="168" t="s">
        <v>270</v>
      </c>
      <c r="G111" s="163">
        <v>4</v>
      </c>
      <c r="H111" s="163">
        <v>3</v>
      </c>
      <c r="I111" s="164">
        <v>2680.2</v>
      </c>
      <c r="J111" s="164">
        <v>1990.4</v>
      </c>
      <c r="K111" s="164">
        <v>1918.2</v>
      </c>
      <c r="L111" s="165">
        <v>88</v>
      </c>
      <c r="M111" s="163" t="s">
        <v>268</v>
      </c>
      <c r="N111" s="163" t="s">
        <v>272</v>
      </c>
      <c r="O111" s="166" t="s">
        <v>1665</v>
      </c>
      <c r="P111" s="167">
        <v>3669425.82</v>
      </c>
      <c r="Q111" s="167">
        <v>0</v>
      </c>
      <c r="R111" s="167">
        <v>0</v>
      </c>
      <c r="S111" s="167">
        <f t="shared" si="15"/>
        <v>3669425.82</v>
      </c>
      <c r="T111" s="167">
        <f t="shared" si="13"/>
        <v>1369.0865681665548</v>
      </c>
      <c r="U111" s="167">
        <v>4936.3627154689957</v>
      </c>
      <c r="V111" s="149">
        <f t="shared" si="16"/>
        <v>3567.2761473024411</v>
      </c>
      <c r="W111" s="149">
        <f t="shared" si="17"/>
        <v>4936.3627154689957</v>
      </c>
      <c r="X111" s="149">
        <v>0</v>
      </c>
      <c r="Y111" s="368">
        <v>0</v>
      </c>
      <c r="Z111" s="368">
        <v>0</v>
      </c>
      <c r="AA111" s="368">
        <v>0</v>
      </c>
      <c r="AB111" s="368">
        <v>0</v>
      </c>
      <c r="AC111" s="368">
        <v>0</v>
      </c>
      <c r="AD111" s="368">
        <v>0</v>
      </c>
      <c r="AE111" s="368">
        <v>0</v>
      </c>
      <c r="AF111" s="396">
        <v>0</v>
      </c>
      <c r="AG111" s="368">
        <v>0</v>
      </c>
      <c r="AH111" s="396">
        <v>0</v>
      </c>
      <c r="AI111" s="368">
        <v>1778.5</v>
      </c>
      <c r="AJ111" s="397">
        <f>7439.1*AI111/I111</f>
        <v>4936.3627154689957</v>
      </c>
      <c r="AK111" s="368">
        <v>0</v>
      </c>
      <c r="AL111" s="368">
        <v>0</v>
      </c>
      <c r="AM111" s="368">
        <v>0</v>
      </c>
      <c r="AN111" s="368"/>
      <c r="AO111" s="368">
        <v>0</v>
      </c>
    </row>
    <row r="112" spans="1:41" s="152" customFormat="1" ht="36" customHeight="1" x14ac:dyDescent="0.9">
      <c r="A112" s="152">
        <v>1</v>
      </c>
      <c r="B112" s="90">
        <f>SUBTOTAL(103,$A$16:A112)</f>
        <v>97</v>
      </c>
      <c r="C112" s="89" t="s">
        <v>587</v>
      </c>
      <c r="D112" s="163" t="s">
        <v>377</v>
      </c>
      <c r="E112" s="163"/>
      <c r="F112" s="168" t="s">
        <v>315</v>
      </c>
      <c r="G112" s="163" t="s">
        <v>356</v>
      </c>
      <c r="H112" s="163">
        <v>4</v>
      </c>
      <c r="I112" s="164">
        <v>3579.9</v>
      </c>
      <c r="J112" s="164">
        <v>3134.6</v>
      </c>
      <c r="K112" s="164">
        <v>3134.6</v>
      </c>
      <c r="L112" s="165">
        <v>151</v>
      </c>
      <c r="M112" s="163" t="s">
        <v>268</v>
      </c>
      <c r="N112" s="163" t="s">
        <v>272</v>
      </c>
      <c r="O112" s="166" t="s">
        <v>1399</v>
      </c>
      <c r="P112" s="167">
        <v>2298975</v>
      </c>
      <c r="Q112" s="167">
        <v>0</v>
      </c>
      <c r="R112" s="167">
        <v>0</v>
      </c>
      <c r="S112" s="167">
        <f t="shared" si="15"/>
        <v>2298975</v>
      </c>
      <c r="T112" s="167">
        <f t="shared" si="13"/>
        <v>642.18972596999913</v>
      </c>
      <c r="U112" s="167">
        <v>1599.3317430654488</v>
      </c>
      <c r="V112" s="149">
        <f t="shared" si="16"/>
        <v>957.14201709544966</v>
      </c>
      <c r="W112" s="149">
        <f t="shared" si="17"/>
        <v>1599.3317430654488</v>
      </c>
      <c r="X112" s="149">
        <v>0</v>
      </c>
      <c r="Y112" s="368">
        <v>0</v>
      </c>
      <c r="Z112" s="368">
        <v>0</v>
      </c>
      <c r="AA112" s="368">
        <v>0</v>
      </c>
      <c r="AB112" s="368">
        <v>0</v>
      </c>
      <c r="AC112" s="368">
        <v>0</v>
      </c>
      <c r="AD112" s="368">
        <v>0</v>
      </c>
      <c r="AE112" s="368">
        <v>917.7</v>
      </c>
      <c r="AF112" s="396">
        <f>6238.91*AE112/I112</f>
        <v>1599.3317430654488</v>
      </c>
      <c r="AG112" s="368">
        <v>0</v>
      </c>
      <c r="AH112" s="396">
        <v>0</v>
      </c>
      <c r="AI112" s="368">
        <v>0</v>
      </c>
      <c r="AJ112" s="396">
        <v>0</v>
      </c>
      <c r="AK112" s="368">
        <v>0</v>
      </c>
      <c r="AL112" s="368">
        <v>0</v>
      </c>
      <c r="AM112" s="368">
        <v>0</v>
      </c>
      <c r="AN112" s="368"/>
      <c r="AO112" s="368">
        <v>0</v>
      </c>
    </row>
    <row r="113" spans="1:41" s="152" customFormat="1" ht="36" customHeight="1" x14ac:dyDescent="0.9">
      <c r="A113" s="152">
        <v>1</v>
      </c>
      <c r="B113" s="90">
        <f>SUBTOTAL(103,$A$16:A113)</f>
        <v>98</v>
      </c>
      <c r="C113" s="89" t="s">
        <v>538</v>
      </c>
      <c r="D113" s="163">
        <v>1993</v>
      </c>
      <c r="E113" s="163"/>
      <c r="F113" s="168" t="s">
        <v>315</v>
      </c>
      <c r="G113" s="163">
        <v>9</v>
      </c>
      <c r="H113" s="163">
        <v>1</v>
      </c>
      <c r="I113" s="164">
        <v>2320.3000000000002</v>
      </c>
      <c r="J113" s="164">
        <v>2320.3000000000002</v>
      </c>
      <c r="K113" s="164">
        <v>2280.8000000000002</v>
      </c>
      <c r="L113" s="165">
        <v>90</v>
      </c>
      <c r="M113" s="163" t="s">
        <v>268</v>
      </c>
      <c r="N113" s="163" t="s">
        <v>272</v>
      </c>
      <c r="O113" s="166" t="s">
        <v>1400</v>
      </c>
      <c r="P113" s="167">
        <v>1843496.65</v>
      </c>
      <c r="Q113" s="167">
        <v>0</v>
      </c>
      <c r="R113" s="167">
        <v>0</v>
      </c>
      <c r="S113" s="167">
        <f t="shared" si="15"/>
        <v>1843496.65</v>
      </c>
      <c r="T113" s="167">
        <f t="shared" si="13"/>
        <v>794.50788691117521</v>
      </c>
      <c r="U113" s="167">
        <v>1059.2595785027797</v>
      </c>
      <c r="V113" s="149">
        <f t="shared" si="16"/>
        <v>264.75169159160453</v>
      </c>
      <c r="W113" s="149">
        <f t="shared" si="17"/>
        <v>1059.2595785027797</v>
      </c>
      <c r="X113" s="149">
        <v>0</v>
      </c>
      <c r="Y113" s="368">
        <v>0</v>
      </c>
      <c r="Z113" s="368">
        <v>0</v>
      </c>
      <c r="AA113" s="368">
        <v>0</v>
      </c>
      <c r="AB113" s="368">
        <v>0</v>
      </c>
      <c r="AC113" s="368">
        <v>1</v>
      </c>
      <c r="AD113" s="396">
        <f t="shared" ref="AD113:AD118" si="21">2457800*AC113/I113</f>
        <v>1059.2595785027797</v>
      </c>
      <c r="AE113" s="368">
        <v>0</v>
      </c>
      <c r="AF113" s="396">
        <v>0</v>
      </c>
      <c r="AG113" s="368">
        <v>0</v>
      </c>
      <c r="AH113" s="396">
        <v>0</v>
      </c>
      <c r="AI113" s="368">
        <v>0</v>
      </c>
      <c r="AJ113" s="396">
        <v>0</v>
      </c>
      <c r="AK113" s="368">
        <v>0</v>
      </c>
      <c r="AL113" s="368">
        <v>0</v>
      </c>
      <c r="AM113" s="368">
        <v>0</v>
      </c>
      <c r="AN113" s="368"/>
      <c r="AO113" s="368">
        <v>0</v>
      </c>
    </row>
    <row r="114" spans="1:41" s="152" customFormat="1" ht="36" customHeight="1" x14ac:dyDescent="0.9">
      <c r="A114" s="152">
        <v>1</v>
      </c>
      <c r="B114" s="90">
        <f>SUBTOTAL(103,$A$16:A114)</f>
        <v>99</v>
      </c>
      <c r="C114" s="89" t="s">
        <v>539</v>
      </c>
      <c r="D114" s="163">
        <v>1995</v>
      </c>
      <c r="E114" s="163"/>
      <c r="F114" s="168" t="s">
        <v>315</v>
      </c>
      <c r="G114" s="163">
        <v>9</v>
      </c>
      <c r="H114" s="163">
        <v>1</v>
      </c>
      <c r="I114" s="164">
        <v>2297.9</v>
      </c>
      <c r="J114" s="164">
        <v>2297.9</v>
      </c>
      <c r="K114" s="164">
        <v>2290.8000000000002</v>
      </c>
      <c r="L114" s="165">
        <v>95</v>
      </c>
      <c r="M114" s="163" t="s">
        <v>268</v>
      </c>
      <c r="N114" s="163" t="s">
        <v>272</v>
      </c>
      <c r="O114" s="166" t="s">
        <v>1400</v>
      </c>
      <c r="P114" s="167">
        <v>1838816.0899999999</v>
      </c>
      <c r="Q114" s="167">
        <v>0</v>
      </c>
      <c r="R114" s="167">
        <v>0</v>
      </c>
      <c r="S114" s="167">
        <f t="shared" si="15"/>
        <v>1838816.0899999999</v>
      </c>
      <c r="T114" s="167">
        <f t="shared" si="13"/>
        <v>800.21588841986147</v>
      </c>
      <c r="U114" s="167">
        <v>1069.5852735105966</v>
      </c>
      <c r="V114" s="149">
        <f t="shared" si="16"/>
        <v>269.36938509073514</v>
      </c>
      <c r="W114" s="149">
        <f t="shared" si="17"/>
        <v>1069.5852735105966</v>
      </c>
      <c r="X114" s="149">
        <v>0</v>
      </c>
      <c r="Y114" s="368">
        <v>0</v>
      </c>
      <c r="Z114" s="368">
        <v>0</v>
      </c>
      <c r="AA114" s="368">
        <v>0</v>
      </c>
      <c r="AB114" s="368">
        <v>0</v>
      </c>
      <c r="AC114" s="368">
        <v>1</v>
      </c>
      <c r="AD114" s="396">
        <f t="shared" si="21"/>
        <v>1069.5852735105966</v>
      </c>
      <c r="AE114" s="368">
        <v>0</v>
      </c>
      <c r="AF114" s="396">
        <v>0</v>
      </c>
      <c r="AG114" s="368">
        <v>0</v>
      </c>
      <c r="AH114" s="396">
        <v>0</v>
      </c>
      <c r="AI114" s="368">
        <v>0</v>
      </c>
      <c r="AJ114" s="396">
        <v>0</v>
      </c>
      <c r="AK114" s="368">
        <v>0</v>
      </c>
      <c r="AL114" s="368">
        <v>0</v>
      </c>
      <c r="AM114" s="368">
        <v>0</v>
      </c>
      <c r="AN114" s="368"/>
      <c r="AO114" s="368">
        <v>0</v>
      </c>
    </row>
    <row r="115" spans="1:41" s="152" customFormat="1" ht="36" customHeight="1" x14ac:dyDescent="0.9">
      <c r="A115" s="152">
        <v>1</v>
      </c>
      <c r="B115" s="90">
        <f>SUBTOTAL(103,$A$16:A115)</f>
        <v>100</v>
      </c>
      <c r="C115" s="89" t="s">
        <v>1391</v>
      </c>
      <c r="D115" s="163">
        <v>1986</v>
      </c>
      <c r="E115" s="163"/>
      <c r="F115" s="168" t="s">
        <v>315</v>
      </c>
      <c r="G115" s="163">
        <v>9</v>
      </c>
      <c r="H115" s="163">
        <v>6</v>
      </c>
      <c r="I115" s="164">
        <v>12835.6</v>
      </c>
      <c r="J115" s="164">
        <v>11520.6</v>
      </c>
      <c r="K115" s="164">
        <v>11110.5</v>
      </c>
      <c r="L115" s="165">
        <v>540</v>
      </c>
      <c r="M115" s="163" t="s">
        <v>268</v>
      </c>
      <c r="N115" s="163" t="s">
        <v>272</v>
      </c>
      <c r="O115" s="166" t="s">
        <v>1104</v>
      </c>
      <c r="P115" s="167">
        <v>10746088.879999999</v>
      </c>
      <c r="Q115" s="167">
        <v>0</v>
      </c>
      <c r="R115" s="167">
        <v>0</v>
      </c>
      <c r="S115" s="167">
        <f t="shared" si="15"/>
        <v>10746088.879999999</v>
      </c>
      <c r="T115" s="167">
        <f t="shared" si="13"/>
        <v>837.20970426002668</v>
      </c>
      <c r="U115" s="167">
        <v>1148.8983763906635</v>
      </c>
      <c r="V115" s="149">
        <f t="shared" si="16"/>
        <v>311.68867213063686</v>
      </c>
      <c r="W115" s="149">
        <f t="shared" si="17"/>
        <v>1148.8983763906635</v>
      </c>
      <c r="X115" s="149">
        <v>0</v>
      </c>
      <c r="Y115" s="368">
        <v>0</v>
      </c>
      <c r="Z115" s="368">
        <v>0</v>
      </c>
      <c r="AA115" s="368">
        <v>0</v>
      </c>
      <c r="AB115" s="368">
        <v>0</v>
      </c>
      <c r="AC115" s="368">
        <v>6</v>
      </c>
      <c r="AD115" s="396">
        <f t="shared" si="21"/>
        <v>1148.8983763906635</v>
      </c>
      <c r="AE115" s="368">
        <v>0</v>
      </c>
      <c r="AF115" s="396">
        <v>0</v>
      </c>
      <c r="AG115" s="368">
        <v>0</v>
      </c>
      <c r="AH115" s="396">
        <v>0</v>
      </c>
      <c r="AI115" s="368">
        <v>0</v>
      </c>
      <c r="AJ115" s="396">
        <v>0</v>
      </c>
      <c r="AK115" s="368">
        <v>0</v>
      </c>
      <c r="AL115" s="368">
        <v>0</v>
      </c>
      <c r="AM115" s="368">
        <v>0</v>
      </c>
      <c r="AN115" s="368"/>
      <c r="AO115" s="368">
        <v>0</v>
      </c>
    </row>
    <row r="116" spans="1:41" s="152" customFormat="1" ht="36" customHeight="1" x14ac:dyDescent="0.9">
      <c r="A116" s="152">
        <v>1</v>
      </c>
      <c r="B116" s="90">
        <f>SUBTOTAL(103,$A$16:A116)</f>
        <v>101</v>
      </c>
      <c r="C116" s="89" t="s">
        <v>553</v>
      </c>
      <c r="D116" s="163">
        <v>1993</v>
      </c>
      <c r="E116" s="163"/>
      <c r="F116" s="168" t="s">
        <v>270</v>
      </c>
      <c r="G116" s="163">
        <v>9</v>
      </c>
      <c r="H116" s="163">
        <v>9</v>
      </c>
      <c r="I116" s="164">
        <v>14938</v>
      </c>
      <c r="J116" s="164">
        <v>12406</v>
      </c>
      <c r="K116" s="164">
        <v>5273.2</v>
      </c>
      <c r="L116" s="165">
        <v>330</v>
      </c>
      <c r="M116" s="163" t="s">
        <v>268</v>
      </c>
      <c r="N116" s="163" t="s">
        <v>272</v>
      </c>
      <c r="O116" s="166" t="s">
        <v>1104</v>
      </c>
      <c r="P116" s="167">
        <v>2078209.55</v>
      </c>
      <c r="Q116" s="167">
        <v>0</v>
      </c>
      <c r="R116" s="167">
        <v>0</v>
      </c>
      <c r="S116" s="167">
        <f t="shared" si="15"/>
        <v>2078209.55</v>
      </c>
      <c r="T116" s="167">
        <f t="shared" si="13"/>
        <v>139.12234234837328</v>
      </c>
      <c r="U116" s="167">
        <v>164.53340473959031</v>
      </c>
      <c r="V116" s="149">
        <f t="shared" si="16"/>
        <v>25.41106239121703</v>
      </c>
      <c r="W116" s="149">
        <f t="shared" si="17"/>
        <v>164.53340473959031</v>
      </c>
      <c r="X116" s="149">
        <v>0</v>
      </c>
      <c r="Y116" s="368">
        <v>0</v>
      </c>
      <c r="Z116" s="368">
        <v>0</v>
      </c>
      <c r="AA116" s="368">
        <v>0</v>
      </c>
      <c r="AB116" s="368">
        <v>0</v>
      </c>
      <c r="AC116" s="368">
        <v>1</v>
      </c>
      <c r="AD116" s="396">
        <f t="shared" si="21"/>
        <v>164.53340473959031</v>
      </c>
      <c r="AE116" s="368">
        <v>0</v>
      </c>
      <c r="AF116" s="396">
        <v>0</v>
      </c>
      <c r="AG116" s="368">
        <v>0</v>
      </c>
      <c r="AH116" s="396">
        <v>0</v>
      </c>
      <c r="AI116" s="368">
        <v>0</v>
      </c>
      <c r="AJ116" s="396">
        <v>0</v>
      </c>
      <c r="AK116" s="368">
        <v>0</v>
      </c>
      <c r="AL116" s="368">
        <v>0</v>
      </c>
      <c r="AM116" s="368">
        <v>0</v>
      </c>
      <c r="AN116" s="368"/>
      <c r="AO116" s="368">
        <v>0</v>
      </c>
    </row>
    <row r="117" spans="1:41" s="152" customFormat="1" ht="36" customHeight="1" x14ac:dyDescent="0.9">
      <c r="A117" s="152">
        <v>1</v>
      </c>
      <c r="B117" s="90">
        <f>SUBTOTAL(103,$A$16:A117)</f>
        <v>102</v>
      </c>
      <c r="C117" s="89" t="s">
        <v>1103</v>
      </c>
      <c r="D117" s="163">
        <v>1989</v>
      </c>
      <c r="E117" s="163"/>
      <c r="F117" s="168" t="s">
        <v>315</v>
      </c>
      <c r="G117" s="163">
        <v>9</v>
      </c>
      <c r="H117" s="163">
        <v>4</v>
      </c>
      <c r="I117" s="164">
        <v>8889.1</v>
      </c>
      <c r="J117" s="164">
        <v>7439.2</v>
      </c>
      <c r="K117" s="164">
        <v>7373</v>
      </c>
      <c r="L117" s="165">
        <v>357</v>
      </c>
      <c r="M117" s="163" t="s">
        <v>268</v>
      </c>
      <c r="N117" s="163" t="s">
        <v>272</v>
      </c>
      <c r="O117" s="166" t="s">
        <v>1104</v>
      </c>
      <c r="P117" s="167">
        <v>8533423.2400000002</v>
      </c>
      <c r="Q117" s="167">
        <v>0</v>
      </c>
      <c r="R117" s="167">
        <v>0</v>
      </c>
      <c r="S117" s="167">
        <f t="shared" si="15"/>
        <v>8533423.2400000002</v>
      </c>
      <c r="T117" s="167">
        <f t="shared" si="13"/>
        <v>959.98731480127344</v>
      </c>
      <c r="U117" s="167">
        <v>1105.9837328863439</v>
      </c>
      <c r="V117" s="149">
        <f t="shared" si="16"/>
        <v>145.99641808507045</v>
      </c>
      <c r="W117" s="149">
        <f t="shared" si="17"/>
        <v>1105.9837328863439</v>
      </c>
      <c r="X117" s="149">
        <v>0</v>
      </c>
      <c r="Y117" s="368">
        <v>0</v>
      </c>
      <c r="Z117" s="368">
        <v>0</v>
      </c>
      <c r="AA117" s="368">
        <v>0</v>
      </c>
      <c r="AB117" s="368">
        <v>0</v>
      </c>
      <c r="AC117" s="368">
        <v>4</v>
      </c>
      <c r="AD117" s="396">
        <f t="shared" si="21"/>
        <v>1105.9837328863439</v>
      </c>
      <c r="AE117" s="368">
        <v>0</v>
      </c>
      <c r="AF117" s="396">
        <v>0</v>
      </c>
      <c r="AG117" s="368">
        <v>0</v>
      </c>
      <c r="AH117" s="396">
        <v>0</v>
      </c>
      <c r="AI117" s="368">
        <v>0</v>
      </c>
      <c r="AJ117" s="396">
        <v>0</v>
      </c>
      <c r="AK117" s="368">
        <v>0</v>
      </c>
      <c r="AL117" s="368">
        <v>0</v>
      </c>
      <c r="AM117" s="368">
        <v>0</v>
      </c>
      <c r="AN117" s="368"/>
      <c r="AO117" s="368">
        <v>0</v>
      </c>
    </row>
    <row r="118" spans="1:41" s="152" customFormat="1" ht="36" customHeight="1" x14ac:dyDescent="0.9">
      <c r="A118" s="152">
        <v>1</v>
      </c>
      <c r="B118" s="90">
        <f>SUBTOTAL(103,$A$16:A118)</f>
        <v>103</v>
      </c>
      <c r="C118" s="89" t="s">
        <v>561</v>
      </c>
      <c r="D118" s="163">
        <v>1973</v>
      </c>
      <c r="E118" s="163"/>
      <c r="F118" s="168" t="s">
        <v>315</v>
      </c>
      <c r="G118" s="163">
        <v>9</v>
      </c>
      <c r="H118" s="163">
        <v>1</v>
      </c>
      <c r="I118" s="164">
        <v>1914.68</v>
      </c>
      <c r="J118" s="164">
        <v>1914.68</v>
      </c>
      <c r="K118" s="164">
        <v>1914.68</v>
      </c>
      <c r="L118" s="165">
        <v>130</v>
      </c>
      <c r="M118" s="163" t="s">
        <v>268</v>
      </c>
      <c r="N118" s="163" t="s">
        <v>272</v>
      </c>
      <c r="O118" s="166" t="s">
        <v>1400</v>
      </c>
      <c r="P118" s="167">
        <v>2063785.08</v>
      </c>
      <c r="Q118" s="167">
        <v>0</v>
      </c>
      <c r="R118" s="167">
        <v>0</v>
      </c>
      <c r="S118" s="167">
        <f t="shared" si="15"/>
        <v>2063785.08</v>
      </c>
      <c r="T118" s="167">
        <f t="shared" si="13"/>
        <v>1077.8746735746965</v>
      </c>
      <c r="U118" s="167">
        <v>1283.6609772912445</v>
      </c>
      <c r="V118" s="149">
        <f t="shared" si="16"/>
        <v>205.78630371654799</v>
      </c>
      <c r="W118" s="149">
        <f t="shared" si="17"/>
        <v>1283.6609772912445</v>
      </c>
      <c r="X118" s="149">
        <v>0</v>
      </c>
      <c r="Y118" s="368">
        <v>0</v>
      </c>
      <c r="Z118" s="368">
        <v>0</v>
      </c>
      <c r="AA118" s="368">
        <v>0</v>
      </c>
      <c r="AB118" s="368">
        <v>0</v>
      </c>
      <c r="AC118" s="368">
        <v>1</v>
      </c>
      <c r="AD118" s="396">
        <f t="shared" si="21"/>
        <v>1283.6609772912445</v>
      </c>
      <c r="AE118" s="368">
        <v>0</v>
      </c>
      <c r="AF118" s="396">
        <v>0</v>
      </c>
      <c r="AG118" s="368">
        <v>0</v>
      </c>
      <c r="AH118" s="396">
        <v>0</v>
      </c>
      <c r="AI118" s="368">
        <v>0</v>
      </c>
      <c r="AJ118" s="396">
        <v>0</v>
      </c>
      <c r="AK118" s="368">
        <v>0</v>
      </c>
      <c r="AL118" s="368">
        <v>0</v>
      </c>
      <c r="AM118" s="368">
        <v>0</v>
      </c>
      <c r="AN118" s="368"/>
      <c r="AO118" s="368">
        <v>0</v>
      </c>
    </row>
    <row r="119" spans="1:41" s="152" customFormat="1" ht="36" customHeight="1" x14ac:dyDescent="0.9">
      <c r="A119" s="152">
        <v>1</v>
      </c>
      <c r="B119" s="90">
        <f>SUBTOTAL(103,$A$16:A119)</f>
        <v>104</v>
      </c>
      <c r="C119" s="89" t="s">
        <v>1638</v>
      </c>
      <c r="D119" s="163">
        <v>1961</v>
      </c>
      <c r="E119" s="163"/>
      <c r="F119" s="168" t="s">
        <v>270</v>
      </c>
      <c r="G119" s="163">
        <v>3</v>
      </c>
      <c r="H119" s="163">
        <v>3</v>
      </c>
      <c r="I119" s="164">
        <v>2155.9</v>
      </c>
      <c r="J119" s="164">
        <v>1519.5</v>
      </c>
      <c r="K119" s="164">
        <v>1386.6</v>
      </c>
      <c r="L119" s="165">
        <v>85</v>
      </c>
      <c r="M119" s="163" t="s">
        <v>268</v>
      </c>
      <c r="N119" s="163" t="s">
        <v>272</v>
      </c>
      <c r="O119" s="166" t="s">
        <v>1670</v>
      </c>
      <c r="P119" s="167">
        <v>3897600</v>
      </c>
      <c r="Q119" s="167">
        <v>0</v>
      </c>
      <c r="R119" s="167">
        <v>0</v>
      </c>
      <c r="S119" s="167">
        <f t="shared" si="15"/>
        <v>3897600</v>
      </c>
      <c r="T119" s="167">
        <f t="shared" si="13"/>
        <v>1807.8760610417921</v>
      </c>
      <c r="U119" s="167">
        <v>2540.8242404564216</v>
      </c>
      <c r="V119" s="149">
        <f t="shared" si="16"/>
        <v>732.94817941462952</v>
      </c>
      <c r="W119" s="149">
        <f t="shared" si="17"/>
        <v>2540.8242404564216</v>
      </c>
      <c r="X119" s="149">
        <v>0</v>
      </c>
      <c r="Y119" s="368">
        <v>0</v>
      </c>
      <c r="Z119" s="368">
        <v>0</v>
      </c>
      <c r="AA119" s="368">
        <v>0</v>
      </c>
      <c r="AB119" s="368">
        <v>0</v>
      </c>
      <c r="AC119" s="368">
        <v>0</v>
      </c>
      <c r="AD119" s="368">
        <v>0</v>
      </c>
      <c r="AE119" s="368">
        <v>878</v>
      </c>
      <c r="AF119" s="396">
        <f t="shared" ref="AF119:AF120" si="22">6238.91*AE119/I119</f>
        <v>2540.8242404564216</v>
      </c>
      <c r="AG119" s="368">
        <v>0</v>
      </c>
      <c r="AH119" s="396">
        <v>0</v>
      </c>
      <c r="AI119" s="368">
        <v>0</v>
      </c>
      <c r="AJ119" s="396">
        <v>0</v>
      </c>
      <c r="AK119" s="368">
        <v>0</v>
      </c>
      <c r="AL119" s="368">
        <v>0</v>
      </c>
      <c r="AM119" s="368">
        <v>0</v>
      </c>
      <c r="AN119" s="368"/>
      <c r="AO119" s="368">
        <v>0</v>
      </c>
    </row>
    <row r="120" spans="1:41" s="152" customFormat="1" ht="36" customHeight="1" x14ac:dyDescent="0.9">
      <c r="A120" s="152">
        <v>1</v>
      </c>
      <c r="B120" s="90">
        <f>SUBTOTAL(103,$A$16:A120)</f>
        <v>105</v>
      </c>
      <c r="C120" s="89" t="s">
        <v>1134</v>
      </c>
      <c r="D120" s="163">
        <v>1960</v>
      </c>
      <c r="E120" s="163"/>
      <c r="F120" s="168" t="s">
        <v>270</v>
      </c>
      <c r="G120" s="163">
        <v>3</v>
      </c>
      <c r="H120" s="163">
        <v>2</v>
      </c>
      <c r="I120" s="164">
        <v>979.2</v>
      </c>
      <c r="J120" s="164">
        <v>969.7</v>
      </c>
      <c r="K120" s="164">
        <v>929.8</v>
      </c>
      <c r="L120" s="165">
        <v>31</v>
      </c>
      <c r="M120" s="163" t="s">
        <v>268</v>
      </c>
      <c r="N120" s="163" t="s">
        <v>272</v>
      </c>
      <c r="O120" s="166" t="s">
        <v>1401</v>
      </c>
      <c r="P120" s="167">
        <v>1772415.75</v>
      </c>
      <c r="Q120" s="167">
        <v>0</v>
      </c>
      <c r="R120" s="167">
        <v>0</v>
      </c>
      <c r="S120" s="167">
        <f t="shared" si="15"/>
        <v>1772415.75</v>
      </c>
      <c r="T120" s="167">
        <f t="shared" si="13"/>
        <v>1810.0651041666665</v>
      </c>
      <c r="U120" s="167">
        <v>3338.5049650735295</v>
      </c>
      <c r="V120" s="149">
        <f t="shared" si="16"/>
        <v>1528.439860906863</v>
      </c>
      <c r="W120" s="149">
        <f t="shared" si="17"/>
        <v>3338.5049650735295</v>
      </c>
      <c r="X120" s="149">
        <v>0</v>
      </c>
      <c r="Y120" s="368">
        <v>0</v>
      </c>
      <c r="Z120" s="368">
        <v>0</v>
      </c>
      <c r="AA120" s="368">
        <v>0</v>
      </c>
      <c r="AB120" s="368">
        <v>0</v>
      </c>
      <c r="AC120" s="368">
        <v>0</v>
      </c>
      <c r="AD120" s="368">
        <v>0</v>
      </c>
      <c r="AE120" s="368">
        <v>523.98</v>
      </c>
      <c r="AF120" s="396">
        <f t="shared" si="22"/>
        <v>3338.5049650735295</v>
      </c>
      <c r="AG120" s="368">
        <v>0</v>
      </c>
      <c r="AH120" s="396">
        <v>0</v>
      </c>
      <c r="AI120" s="368">
        <v>0</v>
      </c>
      <c r="AJ120" s="396">
        <v>0</v>
      </c>
      <c r="AK120" s="368">
        <v>0</v>
      </c>
      <c r="AL120" s="368">
        <v>0</v>
      </c>
      <c r="AM120" s="368">
        <v>0</v>
      </c>
      <c r="AN120" s="368"/>
      <c r="AO120" s="368">
        <v>0</v>
      </c>
    </row>
    <row r="121" spans="1:41" s="152" customFormat="1" ht="36" customHeight="1" x14ac:dyDescent="0.9">
      <c r="A121" s="152">
        <v>1</v>
      </c>
      <c r="B121" s="90">
        <f>SUBTOTAL(103,$A$16:A121)</f>
        <v>106</v>
      </c>
      <c r="C121" s="89" t="s">
        <v>812</v>
      </c>
      <c r="D121" s="163">
        <v>1963</v>
      </c>
      <c r="E121" s="163"/>
      <c r="F121" s="168" t="s">
        <v>270</v>
      </c>
      <c r="G121" s="163">
        <v>2</v>
      </c>
      <c r="H121" s="163">
        <v>1</v>
      </c>
      <c r="I121" s="164">
        <v>316.5</v>
      </c>
      <c r="J121" s="164">
        <v>207.1</v>
      </c>
      <c r="K121" s="164">
        <v>131.4</v>
      </c>
      <c r="L121" s="165">
        <v>24</v>
      </c>
      <c r="M121" s="163" t="s">
        <v>268</v>
      </c>
      <c r="N121" s="163" t="s">
        <v>272</v>
      </c>
      <c r="O121" s="166" t="s">
        <v>1670</v>
      </c>
      <c r="P121" s="167">
        <v>1584967.92</v>
      </c>
      <c r="Q121" s="167">
        <v>0</v>
      </c>
      <c r="R121" s="167">
        <v>0</v>
      </c>
      <c r="S121" s="167">
        <f t="shared" ref="S121:S122" si="23">P121-Q121-R121</f>
        <v>1584967.92</v>
      </c>
      <c r="T121" s="167">
        <f t="shared" ref="T121:T122" si="24">P121/I121</f>
        <v>5007.7975355450235</v>
      </c>
      <c r="U121" s="167">
        <v>6051.6441390205364</v>
      </c>
      <c r="V121" s="149">
        <f t="shared" ref="V121:V122" si="25">U121-T121</f>
        <v>1043.8466034755129</v>
      </c>
      <c r="W121" s="149">
        <f t="shared" ref="W121:W122" si="26">X121+Y121+Z121+AA121+AB121+AD121+AF121+AH121+AJ121+AL121+AN121+AO121</f>
        <v>6051.6441390205364</v>
      </c>
      <c r="X121" s="149">
        <v>0</v>
      </c>
      <c r="Y121" s="368">
        <v>0</v>
      </c>
      <c r="Z121" s="368">
        <v>0</v>
      </c>
      <c r="AA121" s="368">
        <v>0</v>
      </c>
      <c r="AB121" s="368">
        <v>0</v>
      </c>
      <c r="AC121" s="368">
        <v>0</v>
      </c>
      <c r="AD121" s="368">
        <v>0</v>
      </c>
      <c r="AE121" s="368">
        <v>307</v>
      </c>
      <c r="AF121" s="396">
        <f t="shared" ref="AF121" si="27">6238.91*AE121/I121</f>
        <v>6051.6441390205364</v>
      </c>
      <c r="AG121" s="368">
        <v>0</v>
      </c>
      <c r="AH121" s="396">
        <v>0</v>
      </c>
      <c r="AI121" s="368">
        <v>0</v>
      </c>
      <c r="AJ121" s="396">
        <v>0</v>
      </c>
      <c r="AK121" s="368">
        <v>0</v>
      </c>
      <c r="AL121" s="368">
        <v>0</v>
      </c>
      <c r="AM121" s="368">
        <v>0</v>
      </c>
      <c r="AN121" s="368"/>
      <c r="AO121" s="368">
        <v>0</v>
      </c>
    </row>
    <row r="122" spans="1:41" s="152" customFormat="1" ht="36" customHeight="1" x14ac:dyDescent="0.9">
      <c r="A122" s="152">
        <v>1</v>
      </c>
      <c r="B122" s="90">
        <f>SUBTOTAL(103,$A$16:A122)</f>
        <v>107</v>
      </c>
      <c r="C122" s="89" t="s">
        <v>1711</v>
      </c>
      <c r="D122" s="169">
        <v>1989</v>
      </c>
      <c r="E122" s="163"/>
      <c r="F122" s="168" t="s">
        <v>322</v>
      </c>
      <c r="G122" s="163">
        <v>7</v>
      </c>
      <c r="H122" s="163">
        <v>2</v>
      </c>
      <c r="I122" s="164">
        <v>3469.9</v>
      </c>
      <c r="J122" s="164">
        <v>3057</v>
      </c>
      <c r="K122" s="164">
        <v>3057</v>
      </c>
      <c r="L122" s="165">
        <v>163</v>
      </c>
      <c r="M122" s="163" t="s">
        <v>268</v>
      </c>
      <c r="N122" s="163" t="s">
        <v>272</v>
      </c>
      <c r="O122" s="166" t="s">
        <v>1714</v>
      </c>
      <c r="P122" s="167">
        <v>110000</v>
      </c>
      <c r="Q122" s="167">
        <v>0</v>
      </c>
      <c r="R122" s="167">
        <v>0</v>
      </c>
      <c r="S122" s="167">
        <f t="shared" si="23"/>
        <v>110000</v>
      </c>
      <c r="T122" s="167">
        <f t="shared" si="24"/>
        <v>31.70120176373959</v>
      </c>
      <c r="U122" s="167">
        <f>T122</f>
        <v>31.70120176373959</v>
      </c>
      <c r="V122" s="149">
        <f t="shared" si="25"/>
        <v>0</v>
      </c>
      <c r="W122" s="149">
        <f t="shared" si="26"/>
        <v>1331.1346148303985</v>
      </c>
      <c r="X122" s="149">
        <v>0</v>
      </c>
      <c r="Y122" s="368">
        <v>0</v>
      </c>
      <c r="Z122" s="368">
        <v>0</v>
      </c>
      <c r="AA122" s="368">
        <v>0</v>
      </c>
      <c r="AB122" s="368">
        <v>0</v>
      </c>
      <c r="AC122" s="368">
        <v>2</v>
      </c>
      <c r="AD122" s="396">
        <f>2309452*AC122/I122</f>
        <v>1331.1346148303985</v>
      </c>
      <c r="AE122" s="368">
        <v>0</v>
      </c>
      <c r="AF122" s="396">
        <v>0</v>
      </c>
      <c r="AG122" s="368">
        <v>0</v>
      </c>
      <c r="AH122" s="396">
        <v>0</v>
      </c>
      <c r="AI122" s="368">
        <v>0</v>
      </c>
      <c r="AJ122" s="396">
        <v>0</v>
      </c>
      <c r="AK122" s="368">
        <v>0</v>
      </c>
      <c r="AL122" s="368">
        <v>0</v>
      </c>
      <c r="AM122" s="368">
        <v>0</v>
      </c>
      <c r="AN122" s="368"/>
      <c r="AO122" s="368">
        <v>0</v>
      </c>
    </row>
    <row r="123" spans="1:41" s="152" customFormat="1" ht="36" customHeight="1" x14ac:dyDescent="0.9">
      <c r="B123" s="382" t="s">
        <v>769</v>
      </c>
      <c r="C123" s="388"/>
      <c r="D123" s="384" t="s">
        <v>903</v>
      </c>
      <c r="E123" s="163" t="s">
        <v>903</v>
      </c>
      <c r="F123" s="384" t="s">
        <v>903</v>
      </c>
      <c r="G123" s="384" t="s">
        <v>903</v>
      </c>
      <c r="H123" s="163" t="s">
        <v>903</v>
      </c>
      <c r="I123" s="386">
        <f>SUM(I124:I154)</f>
        <v>56787.200000000004</v>
      </c>
      <c r="J123" s="164">
        <f>SUM(J124:J154)</f>
        <v>50902.200000000004</v>
      </c>
      <c r="K123" s="164">
        <f>SUM(K124:K154)</f>
        <v>45296.200000000004</v>
      </c>
      <c r="L123" s="165">
        <f>SUM(L124:L154)</f>
        <v>2311</v>
      </c>
      <c r="M123" s="163" t="s">
        <v>903</v>
      </c>
      <c r="N123" s="163" t="s">
        <v>903</v>
      </c>
      <c r="O123" s="166" t="s">
        <v>903</v>
      </c>
      <c r="P123" s="386">
        <v>79026156.439999998</v>
      </c>
      <c r="Q123" s="164">
        <f>SUM(Q124:Q154)</f>
        <v>0</v>
      </c>
      <c r="R123" s="164">
        <f>SUM(R124:R154)</f>
        <v>0</v>
      </c>
      <c r="S123" s="164">
        <f>SUM(S124:S154)</f>
        <v>79026156.439999998</v>
      </c>
      <c r="T123" s="387">
        <f t="shared" si="13"/>
        <v>1391.619175447988</v>
      </c>
      <c r="U123" s="387">
        <f>MAX(U124:U154)</f>
        <v>11074.898543046358</v>
      </c>
      <c r="V123" s="149">
        <f t="shared" ref="V123:V144" si="28">U123-T123</f>
        <v>9683.2793675983703</v>
      </c>
      <c r="W123" s="149"/>
      <c r="X123" s="149"/>
      <c r="Y123" s="368"/>
      <c r="Z123" s="368"/>
      <c r="AA123" s="368"/>
      <c r="AB123" s="368"/>
      <c r="AC123" s="368"/>
      <c r="AD123" s="368"/>
      <c r="AE123" s="368"/>
      <c r="AF123" s="368"/>
      <c r="AG123" s="368"/>
      <c r="AH123" s="368"/>
      <c r="AI123" s="368"/>
      <c r="AJ123" s="368"/>
      <c r="AK123" s="368"/>
      <c r="AL123" s="368"/>
      <c r="AM123" s="368"/>
      <c r="AN123" s="368"/>
      <c r="AO123" s="368"/>
    </row>
    <row r="124" spans="1:41" s="152" customFormat="1" ht="61.5" x14ac:dyDescent="0.9">
      <c r="A124" s="152">
        <v>1</v>
      </c>
      <c r="B124" s="90">
        <f>SUBTOTAL(103,$A$16:A124)</f>
        <v>108</v>
      </c>
      <c r="C124" s="89" t="s">
        <v>448</v>
      </c>
      <c r="D124" s="163">
        <v>1966</v>
      </c>
      <c r="E124" s="163"/>
      <c r="F124" s="168" t="s">
        <v>270</v>
      </c>
      <c r="G124" s="163">
        <v>2</v>
      </c>
      <c r="H124" s="163">
        <v>2</v>
      </c>
      <c r="I124" s="167">
        <v>774.9</v>
      </c>
      <c r="J124" s="167">
        <v>707.3</v>
      </c>
      <c r="K124" s="167">
        <v>707.3</v>
      </c>
      <c r="L124" s="165">
        <v>39</v>
      </c>
      <c r="M124" s="163" t="s">
        <v>268</v>
      </c>
      <c r="N124" s="163" t="s">
        <v>272</v>
      </c>
      <c r="O124" s="166" t="s">
        <v>344</v>
      </c>
      <c r="P124" s="167">
        <v>3002974.44</v>
      </c>
      <c r="Q124" s="167">
        <v>0</v>
      </c>
      <c r="R124" s="167">
        <v>0</v>
      </c>
      <c r="S124" s="167">
        <f t="shared" ref="S124:S153" si="29">P124-Q124-R124</f>
        <v>3002974.44</v>
      </c>
      <c r="T124" s="167">
        <f t="shared" si="13"/>
        <v>3875.3057684862565</v>
      </c>
      <c r="U124" s="167">
        <v>4814.6447025422631</v>
      </c>
      <c r="V124" s="149">
        <f t="shared" si="28"/>
        <v>939.33893405600656</v>
      </c>
      <c r="W124" s="149">
        <f t="shared" ref="W124:W154" si="30">X124+Y124+Z124+AA124+AB124+AD124+AF124+AH124+AJ124+AL124+AN124+AO124</f>
        <v>4814.6447025422631</v>
      </c>
      <c r="X124" s="149">
        <v>0</v>
      </c>
      <c r="Y124" s="368">
        <v>0</v>
      </c>
      <c r="Z124" s="368">
        <v>0</v>
      </c>
      <c r="AA124" s="368">
        <v>0</v>
      </c>
      <c r="AB124" s="368">
        <v>0</v>
      </c>
      <c r="AC124" s="368">
        <v>0</v>
      </c>
      <c r="AD124" s="368">
        <v>0</v>
      </c>
      <c r="AE124" s="368">
        <v>598</v>
      </c>
      <c r="AF124" s="396">
        <f t="shared" ref="AF124:AF126" si="31">6238.91*AE124/I124</f>
        <v>4814.6447025422631</v>
      </c>
      <c r="AG124" s="368">
        <v>0</v>
      </c>
      <c r="AH124" s="396">
        <v>0</v>
      </c>
      <c r="AI124" s="368">
        <v>0</v>
      </c>
      <c r="AJ124" s="396">
        <v>0</v>
      </c>
      <c r="AK124" s="368">
        <v>0</v>
      </c>
      <c r="AL124" s="368">
        <v>0</v>
      </c>
      <c r="AM124" s="368">
        <v>0</v>
      </c>
      <c r="AN124" s="368"/>
      <c r="AO124" s="368">
        <v>0</v>
      </c>
    </row>
    <row r="125" spans="1:41" s="152" customFormat="1" ht="36" customHeight="1" x14ac:dyDescent="0.9">
      <c r="A125" s="152">
        <v>1</v>
      </c>
      <c r="B125" s="90">
        <f>SUBTOTAL(103,$A$16:A125)</f>
        <v>109</v>
      </c>
      <c r="C125" s="89" t="s">
        <v>449</v>
      </c>
      <c r="D125" s="163">
        <v>1959</v>
      </c>
      <c r="E125" s="163"/>
      <c r="F125" s="168" t="s">
        <v>270</v>
      </c>
      <c r="G125" s="163">
        <v>2</v>
      </c>
      <c r="H125" s="163">
        <v>2</v>
      </c>
      <c r="I125" s="167">
        <v>680.5</v>
      </c>
      <c r="J125" s="167">
        <v>632.1</v>
      </c>
      <c r="K125" s="167">
        <v>632.1</v>
      </c>
      <c r="L125" s="165">
        <v>38</v>
      </c>
      <c r="M125" s="163" t="s">
        <v>268</v>
      </c>
      <c r="N125" s="163" t="s">
        <v>269</v>
      </c>
      <c r="O125" s="166" t="s">
        <v>271</v>
      </c>
      <c r="P125" s="167">
        <v>3572063.7399999998</v>
      </c>
      <c r="Q125" s="167">
        <v>0</v>
      </c>
      <c r="R125" s="167">
        <v>0</v>
      </c>
      <c r="S125" s="167">
        <f t="shared" si="29"/>
        <v>3572063.7399999998</v>
      </c>
      <c r="T125" s="167">
        <f t="shared" si="13"/>
        <v>5249.1752240999258</v>
      </c>
      <c r="U125" s="167">
        <v>5429.3644408523151</v>
      </c>
      <c r="V125" s="149">
        <f t="shared" si="28"/>
        <v>180.18921675238926</v>
      </c>
      <c r="W125" s="149">
        <f t="shared" si="30"/>
        <v>5429.3644408523151</v>
      </c>
      <c r="X125" s="149">
        <v>0</v>
      </c>
      <c r="Y125" s="368">
        <v>0</v>
      </c>
      <c r="Z125" s="368">
        <v>0</v>
      </c>
      <c r="AA125" s="368">
        <v>0</v>
      </c>
      <c r="AB125" s="368">
        <v>0</v>
      </c>
      <c r="AC125" s="368">
        <v>0</v>
      </c>
      <c r="AD125" s="368">
        <v>0</v>
      </c>
      <c r="AE125" s="368">
        <v>592.20000000000005</v>
      </c>
      <c r="AF125" s="396">
        <f t="shared" si="31"/>
        <v>5429.3644408523151</v>
      </c>
      <c r="AG125" s="368">
        <v>0</v>
      </c>
      <c r="AH125" s="396">
        <v>0</v>
      </c>
      <c r="AI125" s="368">
        <v>0</v>
      </c>
      <c r="AJ125" s="396">
        <v>0</v>
      </c>
      <c r="AK125" s="368">
        <v>0</v>
      </c>
      <c r="AL125" s="368">
        <v>0</v>
      </c>
      <c r="AM125" s="368">
        <v>0</v>
      </c>
      <c r="AN125" s="368"/>
      <c r="AO125" s="368">
        <v>0</v>
      </c>
    </row>
    <row r="126" spans="1:41" s="152" customFormat="1" ht="36" customHeight="1" x14ac:dyDescent="0.9">
      <c r="A126" s="152">
        <v>1</v>
      </c>
      <c r="B126" s="90">
        <f>SUBTOTAL(103,$A$16:A126)</f>
        <v>110</v>
      </c>
      <c r="C126" s="89" t="s">
        <v>450</v>
      </c>
      <c r="D126" s="163">
        <v>1958</v>
      </c>
      <c r="E126" s="163"/>
      <c r="F126" s="168" t="s">
        <v>270</v>
      </c>
      <c r="G126" s="163">
        <v>2</v>
      </c>
      <c r="H126" s="163">
        <v>2</v>
      </c>
      <c r="I126" s="167">
        <v>615.29999999999995</v>
      </c>
      <c r="J126" s="167">
        <v>568.6</v>
      </c>
      <c r="K126" s="167">
        <v>492.1</v>
      </c>
      <c r="L126" s="165">
        <v>25</v>
      </c>
      <c r="M126" s="163" t="s">
        <v>268</v>
      </c>
      <c r="N126" s="163" t="s">
        <v>269</v>
      </c>
      <c r="O126" s="166" t="s">
        <v>271</v>
      </c>
      <c r="P126" s="167">
        <v>2978080.5300000003</v>
      </c>
      <c r="Q126" s="167">
        <v>0</v>
      </c>
      <c r="R126" s="167">
        <v>0</v>
      </c>
      <c r="S126" s="167">
        <f t="shared" si="29"/>
        <v>2978080.5300000003</v>
      </c>
      <c r="T126" s="167">
        <f t="shared" si="13"/>
        <v>4840.0463676255495</v>
      </c>
      <c r="U126" s="167">
        <v>5474.382429709085</v>
      </c>
      <c r="V126" s="149">
        <f t="shared" si="28"/>
        <v>634.33606208353558</v>
      </c>
      <c r="W126" s="149">
        <f t="shared" si="30"/>
        <v>5474.382429709085</v>
      </c>
      <c r="X126" s="149">
        <v>0</v>
      </c>
      <c r="Y126" s="368">
        <v>0</v>
      </c>
      <c r="Z126" s="368">
        <v>0</v>
      </c>
      <c r="AA126" s="368">
        <v>0</v>
      </c>
      <c r="AB126" s="368">
        <v>0</v>
      </c>
      <c r="AC126" s="368">
        <v>0</v>
      </c>
      <c r="AD126" s="368">
        <v>0</v>
      </c>
      <c r="AE126" s="368">
        <v>539.9</v>
      </c>
      <c r="AF126" s="396">
        <f t="shared" si="31"/>
        <v>5474.382429709085</v>
      </c>
      <c r="AG126" s="368">
        <v>0</v>
      </c>
      <c r="AH126" s="396">
        <v>0</v>
      </c>
      <c r="AI126" s="368">
        <v>0</v>
      </c>
      <c r="AJ126" s="396">
        <v>0</v>
      </c>
      <c r="AK126" s="368">
        <v>0</v>
      </c>
      <c r="AL126" s="368">
        <v>0</v>
      </c>
      <c r="AM126" s="368">
        <v>0</v>
      </c>
      <c r="AN126" s="368"/>
      <c r="AO126" s="368">
        <v>0</v>
      </c>
    </row>
    <row r="127" spans="1:41" s="152" customFormat="1" ht="36" customHeight="1" x14ac:dyDescent="0.9">
      <c r="A127" s="152">
        <v>1</v>
      </c>
      <c r="B127" s="90">
        <f>SUBTOTAL(103,$A$16:A127)</f>
        <v>111</v>
      </c>
      <c r="C127" s="89" t="s">
        <v>451</v>
      </c>
      <c r="D127" s="163">
        <v>1969</v>
      </c>
      <c r="E127" s="163"/>
      <c r="F127" s="168" t="s">
        <v>270</v>
      </c>
      <c r="G127" s="163">
        <v>2</v>
      </c>
      <c r="H127" s="163">
        <v>2</v>
      </c>
      <c r="I127" s="167">
        <v>725.2</v>
      </c>
      <c r="J127" s="167">
        <v>674.9</v>
      </c>
      <c r="K127" s="167">
        <v>506.2</v>
      </c>
      <c r="L127" s="165">
        <v>25</v>
      </c>
      <c r="M127" s="163" t="s">
        <v>268</v>
      </c>
      <c r="N127" s="163" t="s">
        <v>269</v>
      </c>
      <c r="O127" s="166" t="s">
        <v>271</v>
      </c>
      <c r="P127" s="167">
        <v>66096.710000000006</v>
      </c>
      <c r="Q127" s="167">
        <v>0</v>
      </c>
      <c r="R127" s="167">
        <v>0</v>
      </c>
      <c r="S127" s="167">
        <f t="shared" si="29"/>
        <v>66096.710000000006</v>
      </c>
      <c r="T127" s="167">
        <f t="shared" si="13"/>
        <v>91.142733039161612</v>
      </c>
      <c r="U127" s="167">
        <v>91.142733039161612</v>
      </c>
      <c r="V127" s="149">
        <f t="shared" si="28"/>
        <v>0</v>
      </c>
      <c r="W127" s="149">
        <f>T127</f>
        <v>91.142733039161612</v>
      </c>
      <c r="X127" s="149">
        <v>0</v>
      </c>
      <c r="Y127" s="368">
        <v>0</v>
      </c>
      <c r="Z127" s="368">
        <v>0</v>
      </c>
      <c r="AA127" s="368">
        <v>0</v>
      </c>
      <c r="AB127" s="368">
        <v>0</v>
      </c>
      <c r="AC127" s="368">
        <v>0</v>
      </c>
      <c r="AD127" s="368">
        <v>0</v>
      </c>
      <c r="AE127" s="368">
        <v>0</v>
      </c>
      <c r="AF127" s="396">
        <v>0</v>
      </c>
      <c r="AG127" s="368">
        <v>0</v>
      </c>
      <c r="AH127" s="396">
        <v>0</v>
      </c>
      <c r="AI127" s="368">
        <v>0</v>
      </c>
      <c r="AJ127" s="396">
        <v>0</v>
      </c>
      <c r="AK127" s="368">
        <v>0</v>
      </c>
      <c r="AL127" s="368">
        <v>0</v>
      </c>
      <c r="AM127" s="368">
        <v>0</v>
      </c>
      <c r="AN127" s="368"/>
      <c r="AO127" s="368">
        <v>0</v>
      </c>
    </row>
    <row r="128" spans="1:41" s="152" customFormat="1" ht="36" customHeight="1" x14ac:dyDescent="0.9">
      <c r="A128" s="152">
        <v>1</v>
      </c>
      <c r="B128" s="90">
        <f>SUBTOTAL(103,$A$16:A128)</f>
        <v>112</v>
      </c>
      <c r="C128" s="89" t="s">
        <v>452</v>
      </c>
      <c r="D128" s="163">
        <v>1959</v>
      </c>
      <c r="E128" s="163"/>
      <c r="F128" s="168" t="s">
        <v>270</v>
      </c>
      <c r="G128" s="163">
        <v>2</v>
      </c>
      <c r="H128" s="163">
        <v>2</v>
      </c>
      <c r="I128" s="167">
        <v>654.20000000000005</v>
      </c>
      <c r="J128" s="167">
        <v>602.9</v>
      </c>
      <c r="K128" s="167">
        <v>534.79999999999995</v>
      </c>
      <c r="L128" s="165">
        <v>34</v>
      </c>
      <c r="M128" s="163" t="s">
        <v>268</v>
      </c>
      <c r="N128" s="163" t="s">
        <v>269</v>
      </c>
      <c r="O128" s="166" t="s">
        <v>271</v>
      </c>
      <c r="P128" s="167">
        <v>3455519.85</v>
      </c>
      <c r="Q128" s="167">
        <v>0</v>
      </c>
      <c r="R128" s="167">
        <v>0</v>
      </c>
      <c r="S128" s="167">
        <f t="shared" si="29"/>
        <v>3455519.85</v>
      </c>
      <c r="T128" s="167">
        <f t="shared" si="13"/>
        <v>5282.0541883216138</v>
      </c>
      <c r="U128" s="167">
        <v>5757.4019506267196</v>
      </c>
      <c r="V128" s="149">
        <f t="shared" si="28"/>
        <v>475.34776230510579</v>
      </c>
      <c r="W128" s="149">
        <f t="shared" si="30"/>
        <v>5757.4019506267196</v>
      </c>
      <c r="X128" s="149">
        <v>0</v>
      </c>
      <c r="Y128" s="368">
        <v>0</v>
      </c>
      <c r="Z128" s="368">
        <v>0</v>
      </c>
      <c r="AA128" s="368">
        <v>0</v>
      </c>
      <c r="AB128" s="368">
        <v>0</v>
      </c>
      <c r="AC128" s="368">
        <v>0</v>
      </c>
      <c r="AD128" s="368">
        <v>0</v>
      </c>
      <c r="AE128" s="368">
        <v>603.71</v>
      </c>
      <c r="AF128" s="396">
        <f t="shared" ref="AF128:AF135" si="32">6238.91*AE128/I128</f>
        <v>5757.4019506267196</v>
      </c>
      <c r="AG128" s="368">
        <v>0</v>
      </c>
      <c r="AH128" s="396">
        <v>0</v>
      </c>
      <c r="AI128" s="368">
        <v>0</v>
      </c>
      <c r="AJ128" s="396">
        <v>0</v>
      </c>
      <c r="AK128" s="368">
        <v>0</v>
      </c>
      <c r="AL128" s="368">
        <v>0</v>
      </c>
      <c r="AM128" s="368">
        <v>0</v>
      </c>
      <c r="AN128" s="368"/>
      <c r="AO128" s="368">
        <v>0</v>
      </c>
    </row>
    <row r="129" spans="1:41" s="152" customFormat="1" ht="61.5" x14ac:dyDescent="0.9">
      <c r="A129" s="152">
        <v>1</v>
      </c>
      <c r="B129" s="90">
        <f>SUBTOTAL(103,$A$16:A129)</f>
        <v>113</v>
      </c>
      <c r="C129" s="89" t="s">
        <v>453</v>
      </c>
      <c r="D129" s="163">
        <v>1959</v>
      </c>
      <c r="E129" s="163"/>
      <c r="F129" s="168" t="s">
        <v>270</v>
      </c>
      <c r="G129" s="163">
        <v>2</v>
      </c>
      <c r="H129" s="163">
        <v>2</v>
      </c>
      <c r="I129" s="167">
        <v>672.5</v>
      </c>
      <c r="J129" s="167">
        <v>622.20000000000005</v>
      </c>
      <c r="K129" s="167">
        <v>579.9</v>
      </c>
      <c r="L129" s="165">
        <v>42</v>
      </c>
      <c r="M129" s="163" t="s">
        <v>268</v>
      </c>
      <c r="N129" s="163" t="s">
        <v>272</v>
      </c>
      <c r="O129" s="166" t="s">
        <v>344</v>
      </c>
      <c r="P129" s="167">
        <v>2346811.4300000002</v>
      </c>
      <c r="Q129" s="167">
        <v>0</v>
      </c>
      <c r="R129" s="167">
        <v>0</v>
      </c>
      <c r="S129" s="167">
        <f t="shared" si="29"/>
        <v>2346811.4300000002</v>
      </c>
      <c r="T129" s="167">
        <f t="shared" si="13"/>
        <v>3489.6824237918217</v>
      </c>
      <c r="U129" s="167">
        <v>5734.9730614126383</v>
      </c>
      <c r="V129" s="149">
        <f t="shared" si="28"/>
        <v>2245.2906376208166</v>
      </c>
      <c r="W129" s="149">
        <f t="shared" si="30"/>
        <v>5734.9730614126383</v>
      </c>
      <c r="X129" s="149">
        <v>0</v>
      </c>
      <c r="Y129" s="368">
        <v>0</v>
      </c>
      <c r="Z129" s="368">
        <v>0</v>
      </c>
      <c r="AA129" s="368">
        <v>0</v>
      </c>
      <c r="AB129" s="368">
        <v>0</v>
      </c>
      <c r="AC129" s="368">
        <v>0</v>
      </c>
      <c r="AD129" s="368">
        <v>0</v>
      </c>
      <c r="AE129" s="368">
        <v>618.17999999999995</v>
      </c>
      <c r="AF129" s="396">
        <f t="shared" si="32"/>
        <v>5734.9730614126383</v>
      </c>
      <c r="AG129" s="368">
        <v>0</v>
      </c>
      <c r="AH129" s="396">
        <v>0</v>
      </c>
      <c r="AI129" s="368">
        <v>0</v>
      </c>
      <c r="AJ129" s="396">
        <v>0</v>
      </c>
      <c r="AK129" s="368">
        <v>0</v>
      </c>
      <c r="AL129" s="368">
        <v>0</v>
      </c>
      <c r="AM129" s="368">
        <v>0</v>
      </c>
      <c r="AN129" s="368"/>
      <c r="AO129" s="368">
        <v>0</v>
      </c>
    </row>
    <row r="130" spans="1:41" s="152" customFormat="1" ht="61.5" x14ac:dyDescent="0.9">
      <c r="A130" s="152">
        <v>1</v>
      </c>
      <c r="B130" s="90">
        <f>SUBTOTAL(103,$A$16:A130)</f>
        <v>114</v>
      </c>
      <c r="C130" s="89" t="s">
        <v>454</v>
      </c>
      <c r="D130" s="163">
        <v>1962</v>
      </c>
      <c r="E130" s="163"/>
      <c r="F130" s="168" t="s">
        <v>270</v>
      </c>
      <c r="G130" s="163">
        <v>3</v>
      </c>
      <c r="H130" s="163">
        <v>2</v>
      </c>
      <c r="I130" s="167">
        <v>1048.7</v>
      </c>
      <c r="J130" s="167">
        <v>975.1</v>
      </c>
      <c r="K130" s="167">
        <v>975.1</v>
      </c>
      <c r="L130" s="165">
        <v>56</v>
      </c>
      <c r="M130" s="163" t="s">
        <v>268</v>
      </c>
      <c r="N130" s="163" t="s">
        <v>272</v>
      </c>
      <c r="O130" s="166" t="s">
        <v>350</v>
      </c>
      <c r="P130" s="167">
        <v>3240517.53</v>
      </c>
      <c r="Q130" s="167">
        <v>0</v>
      </c>
      <c r="R130" s="167">
        <v>0</v>
      </c>
      <c r="S130" s="167">
        <f t="shared" si="29"/>
        <v>3240517.53</v>
      </c>
      <c r="T130" s="167">
        <f t="shared" si="13"/>
        <v>3090.0329264804041</v>
      </c>
      <c r="U130" s="167">
        <v>3304.1176932392482</v>
      </c>
      <c r="V130" s="149">
        <f t="shared" si="28"/>
        <v>214.08476675884413</v>
      </c>
      <c r="W130" s="149">
        <f t="shared" si="30"/>
        <v>3304.1176932392482</v>
      </c>
      <c r="X130" s="149">
        <v>0</v>
      </c>
      <c r="Y130" s="368">
        <v>0</v>
      </c>
      <c r="Z130" s="368">
        <v>0</v>
      </c>
      <c r="AA130" s="368">
        <v>0</v>
      </c>
      <c r="AB130" s="368">
        <v>0</v>
      </c>
      <c r="AC130" s="368">
        <v>0</v>
      </c>
      <c r="AD130" s="368">
        <v>0</v>
      </c>
      <c r="AE130" s="368">
        <v>555.39</v>
      </c>
      <c r="AF130" s="396">
        <f t="shared" si="32"/>
        <v>3304.1176932392482</v>
      </c>
      <c r="AG130" s="368">
        <v>0</v>
      </c>
      <c r="AH130" s="396">
        <v>0</v>
      </c>
      <c r="AI130" s="368">
        <v>0</v>
      </c>
      <c r="AJ130" s="396">
        <v>0</v>
      </c>
      <c r="AK130" s="368">
        <v>0</v>
      </c>
      <c r="AL130" s="368">
        <v>0</v>
      </c>
      <c r="AM130" s="368">
        <v>0</v>
      </c>
      <c r="AN130" s="368"/>
      <c r="AO130" s="368">
        <v>0</v>
      </c>
    </row>
    <row r="131" spans="1:41" s="152" customFormat="1" ht="61.5" x14ac:dyDescent="0.9">
      <c r="A131" s="152">
        <v>1</v>
      </c>
      <c r="B131" s="90">
        <f>SUBTOTAL(103,$A$16:A131)</f>
        <v>115</v>
      </c>
      <c r="C131" s="89" t="s">
        <v>455</v>
      </c>
      <c r="D131" s="163">
        <v>1962</v>
      </c>
      <c r="E131" s="163"/>
      <c r="F131" s="168" t="s">
        <v>270</v>
      </c>
      <c r="G131" s="163">
        <v>2</v>
      </c>
      <c r="H131" s="163">
        <v>2</v>
      </c>
      <c r="I131" s="167">
        <v>637.20000000000005</v>
      </c>
      <c r="J131" s="167">
        <v>631.1</v>
      </c>
      <c r="K131" s="167">
        <v>631.1</v>
      </c>
      <c r="L131" s="165">
        <v>42</v>
      </c>
      <c r="M131" s="163" t="s">
        <v>268</v>
      </c>
      <c r="N131" s="163" t="s">
        <v>272</v>
      </c>
      <c r="O131" s="166" t="s">
        <v>344</v>
      </c>
      <c r="P131" s="167">
        <v>3239042.2399999998</v>
      </c>
      <c r="Q131" s="167">
        <v>0</v>
      </c>
      <c r="R131" s="167">
        <v>0</v>
      </c>
      <c r="S131" s="167">
        <f t="shared" si="29"/>
        <v>3239042.2399999998</v>
      </c>
      <c r="T131" s="167">
        <f t="shared" si="13"/>
        <v>5083.24268675455</v>
      </c>
      <c r="U131" s="167">
        <v>5649.4837884494655</v>
      </c>
      <c r="V131" s="149">
        <f t="shared" si="28"/>
        <v>566.24110169491541</v>
      </c>
      <c r="W131" s="149">
        <f t="shared" si="30"/>
        <v>5649.4837884494655</v>
      </c>
      <c r="X131" s="149">
        <v>0</v>
      </c>
      <c r="Y131" s="368">
        <v>0</v>
      </c>
      <c r="Z131" s="368">
        <v>0</v>
      </c>
      <c r="AA131" s="368">
        <v>0</v>
      </c>
      <c r="AB131" s="368">
        <v>0</v>
      </c>
      <c r="AC131" s="368">
        <v>0</v>
      </c>
      <c r="AD131" s="368">
        <v>0</v>
      </c>
      <c r="AE131" s="368">
        <v>577</v>
      </c>
      <c r="AF131" s="396">
        <f t="shared" si="32"/>
        <v>5649.4837884494655</v>
      </c>
      <c r="AG131" s="368">
        <v>0</v>
      </c>
      <c r="AH131" s="396">
        <v>0</v>
      </c>
      <c r="AI131" s="368">
        <v>0</v>
      </c>
      <c r="AJ131" s="396">
        <v>0</v>
      </c>
      <c r="AK131" s="368">
        <v>0</v>
      </c>
      <c r="AL131" s="368">
        <v>0</v>
      </c>
      <c r="AM131" s="368">
        <v>0</v>
      </c>
      <c r="AN131" s="368"/>
      <c r="AO131" s="368">
        <v>0</v>
      </c>
    </row>
    <row r="132" spans="1:41" s="152" customFormat="1" ht="61.5" x14ac:dyDescent="0.9">
      <c r="A132" s="152">
        <v>1</v>
      </c>
      <c r="B132" s="90">
        <f>SUBTOTAL(103,$A$16:A132)</f>
        <v>116</v>
      </c>
      <c r="C132" s="89" t="s">
        <v>456</v>
      </c>
      <c r="D132" s="163">
        <v>1962</v>
      </c>
      <c r="E132" s="163"/>
      <c r="F132" s="168" t="s">
        <v>270</v>
      </c>
      <c r="G132" s="163">
        <v>2</v>
      </c>
      <c r="H132" s="163">
        <v>2</v>
      </c>
      <c r="I132" s="167">
        <v>695</v>
      </c>
      <c r="J132" s="167">
        <v>644</v>
      </c>
      <c r="K132" s="167">
        <v>598</v>
      </c>
      <c r="L132" s="165">
        <v>42</v>
      </c>
      <c r="M132" s="163" t="s">
        <v>268</v>
      </c>
      <c r="N132" s="163" t="s">
        <v>272</v>
      </c>
      <c r="O132" s="166" t="s">
        <v>344</v>
      </c>
      <c r="P132" s="167">
        <v>2412051.81</v>
      </c>
      <c r="Q132" s="167">
        <v>0</v>
      </c>
      <c r="R132" s="167">
        <v>0</v>
      </c>
      <c r="S132" s="167">
        <f t="shared" si="29"/>
        <v>2412051.81</v>
      </c>
      <c r="T132" s="167">
        <f t="shared" si="13"/>
        <v>3470.5781438848921</v>
      </c>
      <c r="U132" s="167">
        <v>5259.6255512230209</v>
      </c>
      <c r="V132" s="149">
        <f t="shared" si="28"/>
        <v>1789.0474073381288</v>
      </c>
      <c r="W132" s="149">
        <f t="shared" si="30"/>
        <v>5259.6255512230209</v>
      </c>
      <c r="X132" s="149">
        <v>0</v>
      </c>
      <c r="Y132" s="368">
        <v>0</v>
      </c>
      <c r="Z132" s="368">
        <v>0</v>
      </c>
      <c r="AA132" s="368">
        <v>0</v>
      </c>
      <c r="AB132" s="368">
        <v>0</v>
      </c>
      <c r="AC132" s="368">
        <v>0</v>
      </c>
      <c r="AD132" s="368">
        <v>0</v>
      </c>
      <c r="AE132" s="368">
        <v>585.91</v>
      </c>
      <c r="AF132" s="396">
        <f t="shared" si="32"/>
        <v>5259.6255512230209</v>
      </c>
      <c r="AG132" s="368">
        <v>0</v>
      </c>
      <c r="AH132" s="396">
        <v>0</v>
      </c>
      <c r="AI132" s="368">
        <v>0</v>
      </c>
      <c r="AJ132" s="396">
        <v>0</v>
      </c>
      <c r="AK132" s="368">
        <v>0</v>
      </c>
      <c r="AL132" s="368">
        <v>0</v>
      </c>
      <c r="AM132" s="368">
        <v>0</v>
      </c>
      <c r="AN132" s="368"/>
      <c r="AO132" s="368">
        <v>0</v>
      </c>
    </row>
    <row r="133" spans="1:41" s="152" customFormat="1" ht="61.5" x14ac:dyDescent="0.9">
      <c r="A133" s="152">
        <v>1</v>
      </c>
      <c r="B133" s="90">
        <f>SUBTOTAL(103,$A$16:A133)</f>
        <v>117</v>
      </c>
      <c r="C133" s="89" t="s">
        <v>457</v>
      </c>
      <c r="D133" s="163">
        <v>1963</v>
      </c>
      <c r="E133" s="163"/>
      <c r="F133" s="168" t="s">
        <v>270</v>
      </c>
      <c r="G133" s="163">
        <v>4</v>
      </c>
      <c r="H133" s="163">
        <v>3</v>
      </c>
      <c r="I133" s="167">
        <v>2084.9</v>
      </c>
      <c r="J133" s="167">
        <v>1940.4</v>
      </c>
      <c r="K133" s="167">
        <v>1400.4</v>
      </c>
      <c r="L133" s="165">
        <v>83</v>
      </c>
      <c r="M133" s="163" t="s">
        <v>268</v>
      </c>
      <c r="N133" s="163" t="s">
        <v>272</v>
      </c>
      <c r="O133" s="166" t="s">
        <v>350</v>
      </c>
      <c r="P133" s="167">
        <v>4833444.3199999994</v>
      </c>
      <c r="Q133" s="167">
        <v>0</v>
      </c>
      <c r="R133" s="167">
        <v>0</v>
      </c>
      <c r="S133" s="167">
        <f t="shared" si="29"/>
        <v>4833444.3199999994</v>
      </c>
      <c r="T133" s="167">
        <f t="shared" si="13"/>
        <v>2318.3099045517765</v>
      </c>
      <c r="U133" s="167">
        <v>2588.8080095927862</v>
      </c>
      <c r="V133" s="149">
        <f t="shared" si="28"/>
        <v>270.49810504100969</v>
      </c>
      <c r="W133" s="149">
        <f t="shared" si="30"/>
        <v>2588.8080095927862</v>
      </c>
      <c r="X133" s="149">
        <v>0</v>
      </c>
      <c r="Y133" s="368">
        <v>0</v>
      </c>
      <c r="Z133" s="368">
        <v>0</v>
      </c>
      <c r="AA133" s="368">
        <v>0</v>
      </c>
      <c r="AB133" s="368">
        <v>0</v>
      </c>
      <c r="AC133" s="368">
        <v>0</v>
      </c>
      <c r="AD133" s="368">
        <v>0</v>
      </c>
      <c r="AE133" s="368">
        <v>865.12</v>
      </c>
      <c r="AF133" s="396">
        <f t="shared" si="32"/>
        <v>2588.8080095927862</v>
      </c>
      <c r="AG133" s="368">
        <v>0</v>
      </c>
      <c r="AH133" s="396">
        <v>0</v>
      </c>
      <c r="AI133" s="368">
        <v>0</v>
      </c>
      <c r="AJ133" s="396">
        <v>0</v>
      </c>
      <c r="AK133" s="368">
        <v>0</v>
      </c>
      <c r="AL133" s="368">
        <v>0</v>
      </c>
      <c r="AM133" s="368">
        <v>0</v>
      </c>
      <c r="AN133" s="368"/>
      <c r="AO133" s="368">
        <v>0</v>
      </c>
    </row>
    <row r="134" spans="1:41" s="152" customFormat="1" ht="61.5" x14ac:dyDescent="0.9">
      <c r="A134" s="152">
        <v>1</v>
      </c>
      <c r="B134" s="90">
        <f>SUBTOTAL(103,$A$16:A134)</f>
        <v>118</v>
      </c>
      <c r="C134" s="89" t="s">
        <v>458</v>
      </c>
      <c r="D134" s="163">
        <v>1961</v>
      </c>
      <c r="E134" s="163"/>
      <c r="F134" s="168" t="s">
        <v>270</v>
      </c>
      <c r="G134" s="163">
        <v>2</v>
      </c>
      <c r="H134" s="163">
        <v>2</v>
      </c>
      <c r="I134" s="167">
        <v>695.4</v>
      </c>
      <c r="J134" s="167">
        <v>646.20000000000005</v>
      </c>
      <c r="K134" s="167">
        <v>646.20000000000005</v>
      </c>
      <c r="L134" s="165">
        <v>42</v>
      </c>
      <c r="M134" s="163" t="s">
        <v>268</v>
      </c>
      <c r="N134" s="163" t="s">
        <v>272</v>
      </c>
      <c r="O134" s="166" t="s">
        <v>344</v>
      </c>
      <c r="P134" s="167">
        <v>2874285.62</v>
      </c>
      <c r="Q134" s="167">
        <v>0</v>
      </c>
      <c r="R134" s="167">
        <v>0</v>
      </c>
      <c r="S134" s="167">
        <f t="shared" si="29"/>
        <v>2874285.62</v>
      </c>
      <c r="T134" s="167">
        <f t="shared" si="13"/>
        <v>4133.2838941616337</v>
      </c>
      <c r="U134" s="167">
        <v>4995.4344089732522</v>
      </c>
      <c r="V134" s="149">
        <f t="shared" si="28"/>
        <v>862.15051481161845</v>
      </c>
      <c r="W134" s="149">
        <f t="shared" si="30"/>
        <v>4995.4344089732522</v>
      </c>
      <c r="X134" s="149">
        <v>0</v>
      </c>
      <c r="Y134" s="368">
        <v>0</v>
      </c>
      <c r="Z134" s="368">
        <v>0</v>
      </c>
      <c r="AA134" s="368">
        <v>0</v>
      </c>
      <c r="AB134" s="368">
        <v>0</v>
      </c>
      <c r="AC134" s="368">
        <v>0</v>
      </c>
      <c r="AD134" s="368">
        <v>0</v>
      </c>
      <c r="AE134" s="368">
        <v>556.79999999999995</v>
      </c>
      <c r="AF134" s="396">
        <f t="shared" si="32"/>
        <v>4995.4344089732522</v>
      </c>
      <c r="AG134" s="368">
        <v>0</v>
      </c>
      <c r="AH134" s="396">
        <v>0</v>
      </c>
      <c r="AI134" s="368">
        <v>0</v>
      </c>
      <c r="AJ134" s="396">
        <v>0</v>
      </c>
      <c r="AK134" s="368">
        <v>0</v>
      </c>
      <c r="AL134" s="368">
        <v>0</v>
      </c>
      <c r="AM134" s="368">
        <v>0</v>
      </c>
      <c r="AN134" s="368"/>
      <c r="AO134" s="368">
        <v>0</v>
      </c>
    </row>
    <row r="135" spans="1:41" s="152" customFormat="1" ht="36" customHeight="1" x14ac:dyDescent="0.9">
      <c r="A135" s="152">
        <v>1</v>
      </c>
      <c r="B135" s="90">
        <f>SUBTOTAL(103,$A$16:A135)</f>
        <v>119</v>
      </c>
      <c r="C135" s="89" t="s">
        <v>459</v>
      </c>
      <c r="D135" s="163">
        <v>1966</v>
      </c>
      <c r="E135" s="163"/>
      <c r="F135" s="168" t="s">
        <v>270</v>
      </c>
      <c r="G135" s="163">
        <v>5</v>
      </c>
      <c r="H135" s="163">
        <v>3</v>
      </c>
      <c r="I135" s="167">
        <v>2708.5</v>
      </c>
      <c r="J135" s="167">
        <v>2523.1</v>
      </c>
      <c r="K135" s="167">
        <v>2480.8000000000002</v>
      </c>
      <c r="L135" s="165">
        <v>137</v>
      </c>
      <c r="M135" s="163" t="s">
        <v>268</v>
      </c>
      <c r="N135" s="163" t="s">
        <v>345</v>
      </c>
      <c r="O135" s="166" t="s">
        <v>351</v>
      </c>
      <c r="P135" s="167">
        <v>4498593.59</v>
      </c>
      <c r="Q135" s="167">
        <v>0</v>
      </c>
      <c r="R135" s="167">
        <v>0</v>
      </c>
      <c r="S135" s="167">
        <f t="shared" si="29"/>
        <v>4498593.59</v>
      </c>
      <c r="T135" s="167">
        <f t="shared" si="13"/>
        <v>1660.9169614177588</v>
      </c>
      <c r="U135" s="167">
        <v>1983.0681218755767</v>
      </c>
      <c r="V135" s="149">
        <f t="shared" si="28"/>
        <v>322.15116045781792</v>
      </c>
      <c r="W135" s="149">
        <f t="shared" si="30"/>
        <v>1983.0681218755767</v>
      </c>
      <c r="X135" s="149">
        <v>0</v>
      </c>
      <c r="Y135" s="368">
        <v>0</v>
      </c>
      <c r="Z135" s="368">
        <v>0</v>
      </c>
      <c r="AA135" s="368">
        <v>0</v>
      </c>
      <c r="AB135" s="368">
        <v>0</v>
      </c>
      <c r="AC135" s="368">
        <v>0</v>
      </c>
      <c r="AD135" s="368">
        <v>0</v>
      </c>
      <c r="AE135" s="368">
        <v>860.91</v>
      </c>
      <c r="AF135" s="396">
        <f t="shared" si="32"/>
        <v>1983.0681218755767</v>
      </c>
      <c r="AG135" s="368">
        <v>0</v>
      </c>
      <c r="AH135" s="396">
        <v>0</v>
      </c>
      <c r="AI135" s="368">
        <v>0</v>
      </c>
      <c r="AJ135" s="396">
        <v>0</v>
      </c>
      <c r="AK135" s="368">
        <v>0</v>
      </c>
      <c r="AL135" s="368">
        <v>0</v>
      </c>
      <c r="AM135" s="368">
        <v>0</v>
      </c>
      <c r="AN135" s="368"/>
      <c r="AO135" s="368">
        <v>0</v>
      </c>
    </row>
    <row r="136" spans="1:41" s="152" customFormat="1" ht="36" customHeight="1" x14ac:dyDescent="0.9">
      <c r="A136" s="152">
        <v>1</v>
      </c>
      <c r="B136" s="90">
        <f>SUBTOTAL(103,$A$16:A136)</f>
        <v>120</v>
      </c>
      <c r="C136" s="89" t="s">
        <v>460</v>
      </c>
      <c r="D136" s="163">
        <v>1968</v>
      </c>
      <c r="E136" s="163">
        <v>2010</v>
      </c>
      <c r="F136" s="168" t="s">
        <v>334</v>
      </c>
      <c r="G136" s="163">
        <v>2</v>
      </c>
      <c r="H136" s="163">
        <v>2</v>
      </c>
      <c r="I136" s="167">
        <v>522</v>
      </c>
      <c r="J136" s="167">
        <v>471.1</v>
      </c>
      <c r="K136" s="167">
        <v>341.6</v>
      </c>
      <c r="L136" s="165">
        <v>22</v>
      </c>
      <c r="M136" s="163" t="s">
        <v>268</v>
      </c>
      <c r="N136" s="163" t="s">
        <v>269</v>
      </c>
      <c r="O136" s="166" t="s">
        <v>271</v>
      </c>
      <c r="P136" s="167">
        <v>45369.9</v>
      </c>
      <c r="Q136" s="167">
        <v>0</v>
      </c>
      <c r="R136" s="167">
        <v>0</v>
      </c>
      <c r="S136" s="167">
        <f t="shared" si="29"/>
        <v>45369.9</v>
      </c>
      <c r="T136" s="167">
        <f t="shared" si="13"/>
        <v>86.91551724137932</v>
      </c>
      <c r="U136" s="167">
        <v>86.91551724137932</v>
      </c>
      <c r="V136" s="149">
        <f t="shared" si="28"/>
        <v>0</v>
      </c>
      <c r="W136" s="149">
        <f>T136</f>
        <v>86.91551724137932</v>
      </c>
      <c r="X136" s="149">
        <v>0</v>
      </c>
      <c r="Y136" s="368">
        <v>0</v>
      </c>
      <c r="Z136" s="368">
        <v>0</v>
      </c>
      <c r="AA136" s="368">
        <v>0</v>
      </c>
      <c r="AB136" s="368">
        <v>0</v>
      </c>
      <c r="AC136" s="368">
        <v>0</v>
      </c>
      <c r="AD136" s="368">
        <v>0</v>
      </c>
      <c r="AE136" s="368">
        <v>0</v>
      </c>
      <c r="AF136" s="396">
        <v>0</v>
      </c>
      <c r="AG136" s="368">
        <v>0</v>
      </c>
      <c r="AH136" s="396">
        <v>0</v>
      </c>
      <c r="AI136" s="368">
        <v>0</v>
      </c>
      <c r="AJ136" s="396">
        <v>0</v>
      </c>
      <c r="AK136" s="368">
        <v>0</v>
      </c>
      <c r="AL136" s="368">
        <v>0</v>
      </c>
      <c r="AM136" s="368">
        <v>0</v>
      </c>
      <c r="AN136" s="368"/>
      <c r="AO136" s="368">
        <v>0</v>
      </c>
    </row>
    <row r="137" spans="1:41" s="152" customFormat="1" ht="36" customHeight="1" x14ac:dyDescent="0.9">
      <c r="A137" s="152">
        <v>1</v>
      </c>
      <c r="B137" s="90">
        <f>SUBTOTAL(103,$A$16:A137)</f>
        <v>121</v>
      </c>
      <c r="C137" s="89" t="s">
        <v>1151</v>
      </c>
      <c r="D137" s="163">
        <v>1975</v>
      </c>
      <c r="E137" s="163">
        <v>2008</v>
      </c>
      <c r="F137" s="168" t="s">
        <v>315</v>
      </c>
      <c r="G137" s="163">
        <v>5</v>
      </c>
      <c r="H137" s="163">
        <v>6</v>
      </c>
      <c r="I137" s="167">
        <v>5015.3</v>
      </c>
      <c r="J137" s="167">
        <v>4555.7</v>
      </c>
      <c r="K137" s="167">
        <v>4267.7</v>
      </c>
      <c r="L137" s="165">
        <v>201</v>
      </c>
      <c r="M137" s="163" t="s">
        <v>268</v>
      </c>
      <c r="N137" s="163" t="s">
        <v>272</v>
      </c>
      <c r="O137" s="166" t="s">
        <v>1317</v>
      </c>
      <c r="P137" s="167">
        <v>2879103.97</v>
      </c>
      <c r="Q137" s="167">
        <v>0</v>
      </c>
      <c r="R137" s="167">
        <v>0</v>
      </c>
      <c r="S137" s="167">
        <f t="shared" si="29"/>
        <v>2879103.97</v>
      </c>
      <c r="T137" s="167">
        <f t="shared" si="13"/>
        <v>574.06415767750684</v>
      </c>
      <c r="U137" s="167">
        <v>4054.97</v>
      </c>
      <c r="V137" s="149">
        <f t="shared" si="28"/>
        <v>3480.9058423224928</v>
      </c>
      <c r="W137" s="149">
        <f t="shared" si="30"/>
        <v>4054.97</v>
      </c>
      <c r="X137" s="149">
        <v>0</v>
      </c>
      <c r="Y137" s="368">
        <v>0</v>
      </c>
      <c r="Z137" s="368">
        <v>3259.66</v>
      </c>
      <c r="AA137" s="368">
        <v>0</v>
      </c>
      <c r="AB137" s="368">
        <v>795.31</v>
      </c>
      <c r="AC137" s="368">
        <v>0</v>
      </c>
      <c r="AD137" s="368">
        <v>0</v>
      </c>
      <c r="AE137" s="368">
        <v>0</v>
      </c>
      <c r="AF137" s="396">
        <v>0</v>
      </c>
      <c r="AG137" s="368">
        <v>0</v>
      </c>
      <c r="AH137" s="396">
        <v>0</v>
      </c>
      <c r="AI137" s="368">
        <v>0</v>
      </c>
      <c r="AJ137" s="396">
        <v>0</v>
      </c>
      <c r="AK137" s="368">
        <v>0</v>
      </c>
      <c r="AL137" s="368">
        <v>0</v>
      </c>
      <c r="AM137" s="368">
        <v>0</v>
      </c>
      <c r="AN137" s="368"/>
      <c r="AO137" s="368">
        <v>0</v>
      </c>
    </row>
    <row r="138" spans="1:41" s="152" customFormat="1" ht="36" customHeight="1" x14ac:dyDescent="0.9">
      <c r="A138" s="152">
        <v>1</v>
      </c>
      <c r="B138" s="90">
        <f>SUBTOTAL(103,$A$16:A138)</f>
        <v>122</v>
      </c>
      <c r="C138" s="89" t="s">
        <v>1152</v>
      </c>
      <c r="D138" s="163">
        <v>1933</v>
      </c>
      <c r="E138" s="163">
        <v>2008</v>
      </c>
      <c r="F138" s="168" t="s">
        <v>270</v>
      </c>
      <c r="G138" s="163">
        <v>3</v>
      </c>
      <c r="H138" s="163">
        <v>4</v>
      </c>
      <c r="I138" s="167">
        <v>1863.4</v>
      </c>
      <c r="J138" s="167">
        <v>1677.4</v>
      </c>
      <c r="K138" s="167">
        <v>1604.4</v>
      </c>
      <c r="L138" s="165">
        <v>86</v>
      </c>
      <c r="M138" s="163" t="s">
        <v>268</v>
      </c>
      <c r="N138" s="163" t="s">
        <v>272</v>
      </c>
      <c r="O138" s="166" t="s">
        <v>350</v>
      </c>
      <c r="P138" s="167">
        <v>1093205.01</v>
      </c>
      <c r="Q138" s="167">
        <v>0</v>
      </c>
      <c r="R138" s="167">
        <v>0</v>
      </c>
      <c r="S138" s="167">
        <f t="shared" si="29"/>
        <v>1093205.01</v>
      </c>
      <c r="T138" s="167">
        <f t="shared" si="13"/>
        <v>586.67221745196946</v>
      </c>
      <c r="U138" s="167">
        <v>795.31</v>
      </c>
      <c r="V138" s="149">
        <f t="shared" si="28"/>
        <v>208.63778254803049</v>
      </c>
      <c r="W138" s="149">
        <f t="shared" si="30"/>
        <v>795.31</v>
      </c>
      <c r="X138" s="149">
        <v>0</v>
      </c>
      <c r="Y138" s="368">
        <v>0</v>
      </c>
      <c r="Z138" s="368">
        <v>0</v>
      </c>
      <c r="AA138" s="368">
        <v>0</v>
      </c>
      <c r="AB138" s="368">
        <v>795.31</v>
      </c>
      <c r="AC138" s="368">
        <v>0</v>
      </c>
      <c r="AD138" s="368">
        <v>0</v>
      </c>
      <c r="AE138" s="368">
        <v>0</v>
      </c>
      <c r="AF138" s="396">
        <v>0</v>
      </c>
      <c r="AG138" s="368">
        <v>0</v>
      </c>
      <c r="AH138" s="396">
        <v>0</v>
      </c>
      <c r="AI138" s="368">
        <v>0</v>
      </c>
      <c r="AJ138" s="396">
        <v>0</v>
      </c>
      <c r="AK138" s="368">
        <v>0</v>
      </c>
      <c r="AL138" s="368">
        <v>0</v>
      </c>
      <c r="AM138" s="368">
        <v>0</v>
      </c>
      <c r="AN138" s="368"/>
      <c r="AO138" s="368">
        <v>0</v>
      </c>
    </row>
    <row r="139" spans="1:41" s="152" customFormat="1" ht="36" customHeight="1" x14ac:dyDescent="0.9">
      <c r="A139" s="152">
        <v>1</v>
      </c>
      <c r="B139" s="90">
        <f>SUBTOTAL(103,$A$16:A139)</f>
        <v>123</v>
      </c>
      <c r="C139" s="89" t="s">
        <v>1153</v>
      </c>
      <c r="D139" s="163">
        <v>1928</v>
      </c>
      <c r="E139" s="163">
        <v>2008</v>
      </c>
      <c r="F139" s="168" t="s">
        <v>270</v>
      </c>
      <c r="G139" s="163">
        <v>2</v>
      </c>
      <c r="H139" s="163">
        <v>2</v>
      </c>
      <c r="I139" s="167">
        <v>498.3</v>
      </c>
      <c r="J139" s="167">
        <v>446.6</v>
      </c>
      <c r="K139" s="167">
        <v>412.2</v>
      </c>
      <c r="L139" s="165">
        <v>28</v>
      </c>
      <c r="M139" s="163" t="s">
        <v>268</v>
      </c>
      <c r="N139" s="163" t="s">
        <v>269</v>
      </c>
      <c r="O139" s="166" t="s">
        <v>271</v>
      </c>
      <c r="P139" s="167">
        <v>2333192.16</v>
      </c>
      <c r="Q139" s="167">
        <v>0</v>
      </c>
      <c r="R139" s="167">
        <v>0</v>
      </c>
      <c r="S139" s="167">
        <f t="shared" si="29"/>
        <v>2333192.16</v>
      </c>
      <c r="T139" s="167">
        <f t="shared" si="13"/>
        <v>4682.3041541240218</v>
      </c>
      <c r="U139" s="167">
        <v>11074.898543046358</v>
      </c>
      <c r="V139" s="149">
        <f t="shared" si="28"/>
        <v>6392.5943889223363</v>
      </c>
      <c r="W139" s="149">
        <f t="shared" si="30"/>
        <v>11074.898543046358</v>
      </c>
      <c r="X139" s="149">
        <v>0</v>
      </c>
      <c r="Y139" s="368">
        <v>0</v>
      </c>
      <c r="Z139" s="368">
        <v>0</v>
      </c>
      <c r="AA139" s="368">
        <v>0</v>
      </c>
      <c r="AB139" s="368">
        <v>0</v>
      </c>
      <c r="AC139" s="368">
        <v>0</v>
      </c>
      <c r="AD139" s="368">
        <v>0</v>
      </c>
      <c r="AE139" s="368">
        <v>0</v>
      </c>
      <c r="AF139" s="396">
        <v>0</v>
      </c>
      <c r="AG139" s="368">
        <v>0</v>
      </c>
      <c r="AH139" s="396">
        <v>0</v>
      </c>
      <c r="AI139" s="368">
        <v>741.84</v>
      </c>
      <c r="AJ139" s="397">
        <f t="shared" ref="AJ139:AJ140" si="33">7439.1*AI139/I139</f>
        <v>11074.898543046358</v>
      </c>
      <c r="AK139" s="368">
        <v>0</v>
      </c>
      <c r="AL139" s="368">
        <v>0</v>
      </c>
      <c r="AM139" s="368">
        <v>0</v>
      </c>
      <c r="AN139" s="368"/>
      <c r="AO139" s="368">
        <v>0</v>
      </c>
    </row>
    <row r="140" spans="1:41" s="152" customFormat="1" ht="36" customHeight="1" x14ac:dyDescent="0.9">
      <c r="A140" s="152">
        <v>1</v>
      </c>
      <c r="B140" s="90">
        <f>SUBTOTAL(103,$A$16:A140)</f>
        <v>124</v>
      </c>
      <c r="C140" s="89" t="s">
        <v>1154</v>
      </c>
      <c r="D140" s="163" t="s">
        <v>1343</v>
      </c>
      <c r="E140" s="163"/>
      <c r="F140" s="168" t="s">
        <v>270</v>
      </c>
      <c r="G140" s="163" t="s">
        <v>307</v>
      </c>
      <c r="H140" s="163" t="s">
        <v>307</v>
      </c>
      <c r="I140" s="167">
        <v>823.9</v>
      </c>
      <c r="J140" s="167">
        <v>758.2</v>
      </c>
      <c r="K140" s="167">
        <v>682.4</v>
      </c>
      <c r="L140" s="165">
        <v>35</v>
      </c>
      <c r="M140" s="163" t="s">
        <v>268</v>
      </c>
      <c r="N140" s="163" t="s">
        <v>272</v>
      </c>
      <c r="O140" s="166" t="s">
        <v>350</v>
      </c>
      <c r="P140" s="167">
        <v>1804069.72</v>
      </c>
      <c r="Q140" s="167">
        <v>0</v>
      </c>
      <c r="R140" s="167">
        <v>0</v>
      </c>
      <c r="S140" s="167">
        <f t="shared" si="29"/>
        <v>1804069.72</v>
      </c>
      <c r="T140" s="167">
        <f t="shared" si="13"/>
        <v>2189.6707367398958</v>
      </c>
      <c r="U140" s="167">
        <v>7820.6710231824245</v>
      </c>
      <c r="V140" s="149">
        <f t="shared" si="28"/>
        <v>5631.0002864425287</v>
      </c>
      <c r="W140" s="149">
        <f t="shared" si="30"/>
        <v>7820.6710231824245</v>
      </c>
      <c r="X140" s="149">
        <v>0</v>
      </c>
      <c r="Y140" s="368">
        <v>0</v>
      </c>
      <c r="Z140" s="368">
        <v>0</v>
      </c>
      <c r="AA140" s="368">
        <v>0</v>
      </c>
      <c r="AB140" s="368">
        <v>0</v>
      </c>
      <c r="AC140" s="368">
        <v>0</v>
      </c>
      <c r="AD140" s="368">
        <v>0</v>
      </c>
      <c r="AE140" s="368">
        <v>0</v>
      </c>
      <c r="AF140" s="396">
        <v>0</v>
      </c>
      <c r="AG140" s="368">
        <v>0</v>
      </c>
      <c r="AH140" s="396">
        <v>0</v>
      </c>
      <c r="AI140" s="368">
        <v>866.16</v>
      </c>
      <c r="AJ140" s="397">
        <f t="shared" si="33"/>
        <v>7820.6710231824245</v>
      </c>
      <c r="AK140" s="368">
        <v>0</v>
      </c>
      <c r="AL140" s="368">
        <v>0</v>
      </c>
      <c r="AM140" s="368">
        <v>0</v>
      </c>
      <c r="AN140" s="368"/>
      <c r="AO140" s="368">
        <v>0</v>
      </c>
    </row>
    <row r="141" spans="1:41" s="152" customFormat="1" ht="36" customHeight="1" x14ac:dyDescent="0.9">
      <c r="A141" s="152">
        <v>1</v>
      </c>
      <c r="B141" s="90">
        <f>SUBTOTAL(103,$A$16:A141)</f>
        <v>125</v>
      </c>
      <c r="C141" s="89" t="s">
        <v>1155</v>
      </c>
      <c r="D141" s="163">
        <v>1956</v>
      </c>
      <c r="E141" s="163"/>
      <c r="F141" s="168" t="s">
        <v>270</v>
      </c>
      <c r="G141" s="163">
        <v>2</v>
      </c>
      <c r="H141" s="163" t="s">
        <v>308</v>
      </c>
      <c r="I141" s="167">
        <v>462.2</v>
      </c>
      <c r="J141" s="167">
        <v>420.8</v>
      </c>
      <c r="K141" s="167">
        <v>371.7</v>
      </c>
      <c r="L141" s="165">
        <v>21</v>
      </c>
      <c r="M141" s="163" t="s">
        <v>268</v>
      </c>
      <c r="N141" s="163" t="s">
        <v>269</v>
      </c>
      <c r="O141" s="166" t="s">
        <v>271</v>
      </c>
      <c r="P141" s="167">
        <v>122956.06</v>
      </c>
      <c r="Q141" s="167">
        <v>0</v>
      </c>
      <c r="R141" s="167">
        <v>0</v>
      </c>
      <c r="S141" s="167">
        <f t="shared" si="29"/>
        <v>122956.06</v>
      </c>
      <c r="T141" s="167">
        <f t="shared" si="13"/>
        <v>266.02349632193858</v>
      </c>
      <c r="U141" s="167">
        <v>795.31</v>
      </c>
      <c r="V141" s="149">
        <f t="shared" si="28"/>
        <v>529.28650367806131</v>
      </c>
      <c r="W141" s="149">
        <f t="shared" si="30"/>
        <v>795.31</v>
      </c>
      <c r="X141" s="149">
        <v>0</v>
      </c>
      <c r="Y141" s="368">
        <v>0</v>
      </c>
      <c r="Z141" s="368">
        <v>0</v>
      </c>
      <c r="AA141" s="368">
        <v>0</v>
      </c>
      <c r="AB141" s="368">
        <v>795.31</v>
      </c>
      <c r="AC141" s="368">
        <v>0</v>
      </c>
      <c r="AD141" s="368">
        <v>0</v>
      </c>
      <c r="AE141" s="368">
        <v>0</v>
      </c>
      <c r="AF141" s="396">
        <v>0</v>
      </c>
      <c r="AG141" s="368">
        <v>0</v>
      </c>
      <c r="AH141" s="396">
        <v>0</v>
      </c>
      <c r="AI141" s="368">
        <v>0</v>
      </c>
      <c r="AJ141" s="396">
        <v>0</v>
      </c>
      <c r="AK141" s="368">
        <v>0</v>
      </c>
      <c r="AL141" s="368">
        <v>0</v>
      </c>
      <c r="AM141" s="368">
        <v>0</v>
      </c>
      <c r="AN141" s="368"/>
      <c r="AO141" s="368">
        <v>0</v>
      </c>
    </row>
    <row r="142" spans="1:41" s="152" customFormat="1" ht="36" customHeight="1" x14ac:dyDescent="0.9">
      <c r="A142" s="152">
        <v>1</v>
      </c>
      <c r="B142" s="90">
        <f>SUBTOTAL(103,$A$16:A142)</f>
        <v>126</v>
      </c>
      <c r="C142" s="89" t="s">
        <v>1156</v>
      </c>
      <c r="D142" s="163">
        <v>1949</v>
      </c>
      <c r="E142" s="163">
        <v>2008</v>
      </c>
      <c r="F142" s="168" t="s">
        <v>270</v>
      </c>
      <c r="G142" s="163" t="s">
        <v>307</v>
      </c>
      <c r="H142" s="163" t="s">
        <v>308</v>
      </c>
      <c r="I142" s="167">
        <v>490.9</v>
      </c>
      <c r="J142" s="167">
        <v>446.3</v>
      </c>
      <c r="K142" s="167">
        <v>327.2</v>
      </c>
      <c r="L142" s="165">
        <v>28</v>
      </c>
      <c r="M142" s="163" t="s">
        <v>268</v>
      </c>
      <c r="N142" s="163" t="s">
        <v>269</v>
      </c>
      <c r="O142" s="166" t="s">
        <v>271</v>
      </c>
      <c r="P142" s="167">
        <v>1865511.7</v>
      </c>
      <c r="Q142" s="167">
        <v>0</v>
      </c>
      <c r="R142" s="167">
        <v>0</v>
      </c>
      <c r="S142" s="167">
        <f t="shared" si="29"/>
        <v>1865511.7</v>
      </c>
      <c r="T142" s="167">
        <f t="shared" si="13"/>
        <v>3800.186799755551</v>
      </c>
      <c r="U142" s="167">
        <v>7425.461397433286</v>
      </c>
      <c r="V142" s="149">
        <f t="shared" si="28"/>
        <v>3625.2745976777351</v>
      </c>
      <c r="W142" s="149">
        <f t="shared" si="30"/>
        <v>7425.461397433286</v>
      </c>
      <c r="X142" s="149">
        <v>0</v>
      </c>
      <c r="Y142" s="368">
        <v>0</v>
      </c>
      <c r="Z142" s="368">
        <v>0</v>
      </c>
      <c r="AA142" s="368">
        <v>0</v>
      </c>
      <c r="AB142" s="368">
        <v>0</v>
      </c>
      <c r="AC142" s="368">
        <v>0</v>
      </c>
      <c r="AD142" s="368">
        <v>0</v>
      </c>
      <c r="AE142" s="368">
        <v>0</v>
      </c>
      <c r="AF142" s="396">
        <v>0</v>
      </c>
      <c r="AG142" s="368">
        <v>0</v>
      </c>
      <c r="AH142" s="396">
        <v>0</v>
      </c>
      <c r="AI142" s="368">
        <v>490</v>
      </c>
      <c r="AJ142" s="397">
        <f>7439.1*AI142/I142</f>
        <v>7425.461397433286</v>
      </c>
      <c r="AK142" s="368">
        <v>0</v>
      </c>
      <c r="AL142" s="368">
        <v>0</v>
      </c>
      <c r="AM142" s="368">
        <v>0</v>
      </c>
      <c r="AN142" s="368"/>
      <c r="AO142" s="368">
        <v>0</v>
      </c>
    </row>
    <row r="143" spans="1:41" s="152" customFormat="1" ht="36" customHeight="1" x14ac:dyDescent="0.9">
      <c r="A143" s="152">
        <v>1</v>
      </c>
      <c r="B143" s="90">
        <f>SUBTOTAL(103,$A$16:A143)</f>
        <v>127</v>
      </c>
      <c r="C143" s="89" t="s">
        <v>1157</v>
      </c>
      <c r="D143" s="163">
        <v>1964</v>
      </c>
      <c r="E143" s="163"/>
      <c r="F143" s="168" t="s">
        <v>270</v>
      </c>
      <c r="G143" s="163">
        <v>2</v>
      </c>
      <c r="H143" s="163">
        <v>1</v>
      </c>
      <c r="I143" s="167">
        <v>405.1</v>
      </c>
      <c r="J143" s="167">
        <v>380.8</v>
      </c>
      <c r="K143" s="167">
        <v>380.8</v>
      </c>
      <c r="L143" s="165">
        <v>13</v>
      </c>
      <c r="M143" s="163" t="s">
        <v>268</v>
      </c>
      <c r="N143" s="163" t="s">
        <v>269</v>
      </c>
      <c r="O143" s="166" t="s">
        <v>271</v>
      </c>
      <c r="P143" s="167">
        <v>294696.21999999997</v>
      </c>
      <c r="Q143" s="167">
        <v>0</v>
      </c>
      <c r="R143" s="167">
        <v>0</v>
      </c>
      <c r="S143" s="167">
        <f t="shared" si="29"/>
        <v>294696.21999999997</v>
      </c>
      <c r="T143" s="167">
        <f t="shared" ref="T143:T207" si="34">P143/I143</f>
        <v>727.46536657615388</v>
      </c>
      <c r="U143" s="167">
        <v>1081.8399999999999</v>
      </c>
      <c r="V143" s="149">
        <f t="shared" si="28"/>
        <v>354.37463342384603</v>
      </c>
      <c r="W143" s="149">
        <f t="shared" si="30"/>
        <v>1081.8399999999999</v>
      </c>
      <c r="X143" s="149">
        <v>101.55</v>
      </c>
      <c r="Y143" s="368">
        <v>0</v>
      </c>
      <c r="Z143" s="368">
        <v>0</v>
      </c>
      <c r="AA143" s="368">
        <v>184.98</v>
      </c>
      <c r="AB143" s="368">
        <v>795.31</v>
      </c>
      <c r="AC143" s="368">
        <v>0</v>
      </c>
      <c r="AD143" s="368">
        <v>0</v>
      </c>
      <c r="AE143" s="368">
        <v>0</v>
      </c>
      <c r="AF143" s="396">
        <v>0</v>
      </c>
      <c r="AG143" s="368">
        <v>0</v>
      </c>
      <c r="AH143" s="396">
        <v>0</v>
      </c>
      <c r="AI143" s="368">
        <v>0</v>
      </c>
      <c r="AJ143" s="396">
        <v>0</v>
      </c>
      <c r="AK143" s="368">
        <v>0</v>
      </c>
      <c r="AL143" s="368">
        <v>0</v>
      </c>
      <c r="AM143" s="368">
        <v>0</v>
      </c>
      <c r="AN143" s="368"/>
      <c r="AO143" s="368">
        <v>0</v>
      </c>
    </row>
    <row r="144" spans="1:41" s="152" customFormat="1" ht="36" customHeight="1" x14ac:dyDescent="0.9">
      <c r="A144" s="152">
        <v>1</v>
      </c>
      <c r="B144" s="90">
        <f>SUBTOTAL(103,$A$16:A144)</f>
        <v>128</v>
      </c>
      <c r="C144" s="89" t="s">
        <v>1158</v>
      </c>
      <c r="D144" s="163">
        <v>1956</v>
      </c>
      <c r="E144" s="163"/>
      <c r="F144" s="168" t="s">
        <v>328</v>
      </c>
      <c r="G144" s="163">
        <v>2</v>
      </c>
      <c r="H144" s="163">
        <v>2</v>
      </c>
      <c r="I144" s="167">
        <v>752.8</v>
      </c>
      <c r="J144" s="167">
        <v>577.9</v>
      </c>
      <c r="K144" s="167">
        <v>454.1</v>
      </c>
      <c r="L144" s="165">
        <v>17</v>
      </c>
      <c r="M144" s="163" t="s">
        <v>268</v>
      </c>
      <c r="N144" s="163" t="s">
        <v>269</v>
      </c>
      <c r="O144" s="166" t="s">
        <v>271</v>
      </c>
      <c r="P144" s="167">
        <v>1771786.28</v>
      </c>
      <c r="Q144" s="167">
        <v>0</v>
      </c>
      <c r="R144" s="167">
        <v>0</v>
      </c>
      <c r="S144" s="167">
        <f t="shared" si="29"/>
        <v>1771786.28</v>
      </c>
      <c r="T144" s="167">
        <f t="shared" si="34"/>
        <v>2353.5949521785337</v>
      </c>
      <c r="U144" s="167">
        <v>8322.1966621944739</v>
      </c>
      <c r="V144" s="149">
        <f t="shared" si="28"/>
        <v>5968.6017100159406</v>
      </c>
      <c r="W144" s="149">
        <f t="shared" si="30"/>
        <v>8322.1966621944739</v>
      </c>
      <c r="X144" s="149">
        <v>0</v>
      </c>
      <c r="Y144" s="368">
        <v>0</v>
      </c>
      <c r="Z144" s="368">
        <v>0</v>
      </c>
      <c r="AA144" s="368">
        <v>0</v>
      </c>
      <c r="AB144" s="368">
        <v>0</v>
      </c>
      <c r="AC144" s="368">
        <v>0</v>
      </c>
      <c r="AD144" s="368">
        <v>0</v>
      </c>
      <c r="AE144" s="368">
        <v>0</v>
      </c>
      <c r="AF144" s="396">
        <v>0</v>
      </c>
      <c r="AG144" s="368">
        <v>0</v>
      </c>
      <c r="AH144" s="396">
        <v>0</v>
      </c>
      <c r="AI144" s="368">
        <v>802.93</v>
      </c>
      <c r="AJ144" s="397">
        <f>7802.61*AI144/I144</f>
        <v>8322.1966621944739</v>
      </c>
      <c r="AK144" s="368">
        <v>0</v>
      </c>
      <c r="AL144" s="368">
        <v>0</v>
      </c>
      <c r="AM144" s="368">
        <v>0</v>
      </c>
      <c r="AN144" s="368"/>
      <c r="AO144" s="368">
        <v>0</v>
      </c>
    </row>
    <row r="145" spans="1:41" s="152" customFormat="1" ht="36" customHeight="1" x14ac:dyDescent="0.9">
      <c r="A145" s="152">
        <v>1</v>
      </c>
      <c r="B145" s="90">
        <f>SUBTOTAL(103,$A$16:A145)</f>
        <v>129</v>
      </c>
      <c r="C145" s="89" t="s">
        <v>1159</v>
      </c>
      <c r="D145" s="163">
        <v>1961</v>
      </c>
      <c r="E145" s="163"/>
      <c r="F145" s="168" t="s">
        <v>270</v>
      </c>
      <c r="G145" s="163">
        <v>2</v>
      </c>
      <c r="H145" s="163">
        <v>2</v>
      </c>
      <c r="I145" s="167">
        <v>588.1</v>
      </c>
      <c r="J145" s="167">
        <v>546.70000000000005</v>
      </c>
      <c r="K145" s="167">
        <v>401.1</v>
      </c>
      <c r="L145" s="165">
        <v>45</v>
      </c>
      <c r="M145" s="163" t="s">
        <v>268</v>
      </c>
      <c r="N145" s="163" t="s">
        <v>269</v>
      </c>
      <c r="O145" s="166" t="s">
        <v>271</v>
      </c>
      <c r="P145" s="167">
        <v>1195321.73</v>
      </c>
      <c r="Q145" s="167">
        <v>0</v>
      </c>
      <c r="R145" s="167">
        <v>0</v>
      </c>
      <c r="S145" s="167">
        <f t="shared" si="29"/>
        <v>1195321.73</v>
      </c>
      <c r="T145" s="167">
        <f t="shared" si="34"/>
        <v>2032.5144193164426</v>
      </c>
      <c r="U145" s="167">
        <v>7249.6122972283629</v>
      </c>
      <c r="V145" s="149">
        <f t="shared" ref="V145:V154" si="35">U145-T145</f>
        <v>5217.0978779119205</v>
      </c>
      <c r="W145" s="149">
        <f t="shared" si="30"/>
        <v>7249.6122972283629</v>
      </c>
      <c r="X145" s="149">
        <v>0</v>
      </c>
      <c r="Y145" s="368">
        <v>0</v>
      </c>
      <c r="Z145" s="368">
        <v>0</v>
      </c>
      <c r="AA145" s="368">
        <v>0</v>
      </c>
      <c r="AB145" s="368">
        <v>0</v>
      </c>
      <c r="AC145" s="368">
        <v>0</v>
      </c>
      <c r="AD145" s="368">
        <v>0</v>
      </c>
      <c r="AE145" s="368">
        <v>0</v>
      </c>
      <c r="AF145" s="396">
        <v>0</v>
      </c>
      <c r="AG145" s="368">
        <v>0</v>
      </c>
      <c r="AH145" s="396">
        <v>0</v>
      </c>
      <c r="AI145" s="368">
        <v>573.12</v>
      </c>
      <c r="AJ145" s="397">
        <f>7439.1*AI145/I145</f>
        <v>7249.6122972283629</v>
      </c>
      <c r="AK145" s="368">
        <v>0</v>
      </c>
      <c r="AL145" s="368">
        <v>0</v>
      </c>
      <c r="AM145" s="368">
        <v>0</v>
      </c>
      <c r="AN145" s="368"/>
      <c r="AO145" s="368">
        <v>0</v>
      </c>
    </row>
    <row r="146" spans="1:41" s="152" customFormat="1" ht="36" customHeight="1" x14ac:dyDescent="0.9">
      <c r="A146" s="152">
        <v>1</v>
      </c>
      <c r="B146" s="90">
        <f>SUBTOTAL(103,$A$16:A146)</f>
        <v>130</v>
      </c>
      <c r="C146" s="89" t="s">
        <v>1161</v>
      </c>
      <c r="D146" s="163">
        <v>1993</v>
      </c>
      <c r="E146" s="163">
        <v>2016</v>
      </c>
      <c r="F146" s="168" t="s">
        <v>290</v>
      </c>
      <c r="G146" s="163">
        <v>9</v>
      </c>
      <c r="H146" s="163">
        <v>4</v>
      </c>
      <c r="I146" s="167">
        <v>9105.2999999999993</v>
      </c>
      <c r="J146" s="167">
        <v>7487.4</v>
      </c>
      <c r="K146" s="167">
        <v>7487.4</v>
      </c>
      <c r="L146" s="165">
        <v>293</v>
      </c>
      <c r="M146" s="163" t="s">
        <v>268</v>
      </c>
      <c r="N146" s="163" t="s">
        <v>345</v>
      </c>
      <c r="O146" s="166" t="s">
        <v>1344</v>
      </c>
      <c r="P146" s="167">
        <v>5593558.4000000004</v>
      </c>
      <c r="Q146" s="167">
        <v>0</v>
      </c>
      <c r="R146" s="167">
        <v>0</v>
      </c>
      <c r="S146" s="167">
        <f t="shared" si="29"/>
        <v>5593558.4000000004</v>
      </c>
      <c r="T146" s="167">
        <f t="shared" si="34"/>
        <v>614.31895709092521</v>
      </c>
      <c r="U146" s="167">
        <v>1079.7227988094846</v>
      </c>
      <c r="V146" s="149">
        <f t="shared" si="35"/>
        <v>465.40384171855942</v>
      </c>
      <c r="W146" s="149">
        <f t="shared" si="30"/>
        <v>1079.7227988094846</v>
      </c>
      <c r="X146" s="149">
        <v>0</v>
      </c>
      <c r="Y146" s="368">
        <v>0</v>
      </c>
      <c r="Z146" s="368">
        <v>0</v>
      </c>
      <c r="AA146" s="368">
        <v>0</v>
      </c>
      <c r="AB146" s="368">
        <v>0</v>
      </c>
      <c r="AC146" s="368">
        <v>4</v>
      </c>
      <c r="AD146" s="396">
        <f>2457800*AC146/I146</f>
        <v>1079.7227988094846</v>
      </c>
      <c r="AE146" s="368">
        <v>0</v>
      </c>
      <c r="AF146" s="396">
        <v>0</v>
      </c>
      <c r="AG146" s="368">
        <v>0</v>
      </c>
      <c r="AH146" s="396">
        <v>0</v>
      </c>
      <c r="AI146" s="368">
        <v>0</v>
      </c>
      <c r="AJ146" s="396">
        <v>0</v>
      </c>
      <c r="AK146" s="368">
        <v>0</v>
      </c>
      <c r="AL146" s="368">
        <v>0</v>
      </c>
      <c r="AM146" s="368">
        <v>0</v>
      </c>
      <c r="AN146" s="368"/>
      <c r="AO146" s="368">
        <v>0</v>
      </c>
    </row>
    <row r="147" spans="1:41" s="152" customFormat="1" ht="36" customHeight="1" x14ac:dyDescent="0.9">
      <c r="A147" s="152">
        <v>1</v>
      </c>
      <c r="B147" s="90">
        <f>SUBTOTAL(103,$A$16:A147)</f>
        <v>131</v>
      </c>
      <c r="C147" s="89" t="s">
        <v>1162</v>
      </c>
      <c r="D147" s="163">
        <v>1977</v>
      </c>
      <c r="E147" s="163">
        <v>2014</v>
      </c>
      <c r="F147" s="168" t="s">
        <v>270</v>
      </c>
      <c r="G147" s="163">
        <v>5</v>
      </c>
      <c r="H147" s="163">
        <v>4</v>
      </c>
      <c r="I147" s="167">
        <v>3912.3</v>
      </c>
      <c r="J147" s="167">
        <v>3639.1</v>
      </c>
      <c r="K147" s="167">
        <v>2451.4</v>
      </c>
      <c r="L147" s="165">
        <v>85</v>
      </c>
      <c r="M147" s="163" t="s">
        <v>268</v>
      </c>
      <c r="N147" s="163" t="s">
        <v>272</v>
      </c>
      <c r="O147" s="166" t="s">
        <v>1317</v>
      </c>
      <c r="P147" s="167">
        <v>1580499.5999999999</v>
      </c>
      <c r="Q147" s="167">
        <v>0</v>
      </c>
      <c r="R147" s="167">
        <v>0</v>
      </c>
      <c r="S147" s="167">
        <f t="shared" si="29"/>
        <v>1580499.5999999999</v>
      </c>
      <c r="T147" s="167">
        <f t="shared" si="34"/>
        <v>403.98220995322441</v>
      </c>
      <c r="U147" s="167">
        <v>1081.8399999999999</v>
      </c>
      <c r="V147" s="149">
        <f t="shared" si="35"/>
        <v>677.85779004677556</v>
      </c>
      <c r="W147" s="149">
        <f t="shared" si="30"/>
        <v>1081.8399999999999</v>
      </c>
      <c r="X147" s="149">
        <v>101.55</v>
      </c>
      <c r="Y147" s="368">
        <v>0</v>
      </c>
      <c r="Z147" s="368">
        <v>0</v>
      </c>
      <c r="AA147" s="368">
        <v>184.98</v>
      </c>
      <c r="AB147" s="368">
        <v>795.31</v>
      </c>
      <c r="AC147" s="368">
        <v>0</v>
      </c>
      <c r="AD147" s="368">
        <v>0</v>
      </c>
      <c r="AE147" s="368">
        <v>0</v>
      </c>
      <c r="AF147" s="396">
        <v>0</v>
      </c>
      <c r="AG147" s="368">
        <v>0</v>
      </c>
      <c r="AH147" s="396">
        <v>0</v>
      </c>
      <c r="AI147" s="368">
        <v>0</v>
      </c>
      <c r="AJ147" s="396">
        <v>0</v>
      </c>
      <c r="AK147" s="368">
        <v>0</v>
      </c>
      <c r="AL147" s="368">
        <v>0</v>
      </c>
      <c r="AM147" s="368">
        <v>0</v>
      </c>
      <c r="AN147" s="368"/>
      <c r="AO147" s="368">
        <v>0</v>
      </c>
    </row>
    <row r="148" spans="1:41" s="152" customFormat="1" ht="36" customHeight="1" x14ac:dyDescent="0.9">
      <c r="A148" s="152">
        <v>1</v>
      </c>
      <c r="B148" s="90">
        <f>SUBTOTAL(103,$A$16:A148)</f>
        <v>132</v>
      </c>
      <c r="C148" s="89" t="s">
        <v>1163</v>
      </c>
      <c r="D148" s="163">
        <v>1976</v>
      </c>
      <c r="E148" s="163"/>
      <c r="F148" s="168" t="s">
        <v>270</v>
      </c>
      <c r="G148" s="163">
        <v>5</v>
      </c>
      <c r="H148" s="163">
        <v>4</v>
      </c>
      <c r="I148" s="167">
        <v>3635.4</v>
      </c>
      <c r="J148" s="167">
        <v>3360.2</v>
      </c>
      <c r="K148" s="167">
        <v>2816.2</v>
      </c>
      <c r="L148" s="165">
        <v>167</v>
      </c>
      <c r="M148" s="163" t="s">
        <v>268</v>
      </c>
      <c r="N148" s="163" t="s">
        <v>272</v>
      </c>
      <c r="O148" s="166" t="s">
        <v>1345</v>
      </c>
      <c r="P148" s="167">
        <v>3155480.78</v>
      </c>
      <c r="Q148" s="167">
        <v>0</v>
      </c>
      <c r="R148" s="167">
        <v>0</v>
      </c>
      <c r="S148" s="167">
        <f t="shared" si="29"/>
        <v>3155480.78</v>
      </c>
      <c r="T148" s="167">
        <f t="shared" si="34"/>
        <v>867.98723111624577</v>
      </c>
      <c r="U148" s="167">
        <v>4586.9399999999996</v>
      </c>
      <c r="V148" s="149">
        <f t="shared" si="35"/>
        <v>3718.9527688837538</v>
      </c>
      <c r="W148" s="149">
        <f t="shared" si="30"/>
        <v>4586.9399999999996</v>
      </c>
      <c r="X148" s="149">
        <v>101.55</v>
      </c>
      <c r="Y148" s="368">
        <v>245.44</v>
      </c>
      <c r="Z148" s="368">
        <v>3259.66</v>
      </c>
      <c r="AA148" s="368">
        <v>184.98</v>
      </c>
      <c r="AB148" s="368">
        <v>795.31</v>
      </c>
      <c r="AC148" s="368">
        <v>0</v>
      </c>
      <c r="AD148" s="368">
        <v>0</v>
      </c>
      <c r="AE148" s="368">
        <v>0</v>
      </c>
      <c r="AF148" s="396">
        <v>0</v>
      </c>
      <c r="AG148" s="368">
        <v>0</v>
      </c>
      <c r="AH148" s="396">
        <v>0</v>
      </c>
      <c r="AI148" s="368">
        <v>0</v>
      </c>
      <c r="AJ148" s="396">
        <v>0</v>
      </c>
      <c r="AK148" s="368">
        <v>0</v>
      </c>
      <c r="AL148" s="368">
        <v>0</v>
      </c>
      <c r="AM148" s="368">
        <v>0</v>
      </c>
      <c r="AN148" s="368"/>
      <c r="AO148" s="368">
        <v>0</v>
      </c>
    </row>
    <row r="149" spans="1:41" s="152" customFormat="1" ht="36" customHeight="1" x14ac:dyDescent="0.9">
      <c r="A149" s="152">
        <v>1</v>
      </c>
      <c r="B149" s="90">
        <f>SUBTOTAL(103,$A$16:A149)</f>
        <v>133</v>
      </c>
      <c r="C149" s="89" t="s">
        <v>1164</v>
      </c>
      <c r="D149" s="163">
        <v>1985</v>
      </c>
      <c r="E149" s="163">
        <v>2014</v>
      </c>
      <c r="F149" s="168" t="s">
        <v>270</v>
      </c>
      <c r="G149" s="163">
        <v>9</v>
      </c>
      <c r="H149" s="163">
        <v>3</v>
      </c>
      <c r="I149" s="167">
        <v>7073.4</v>
      </c>
      <c r="J149" s="167">
        <v>6236.1</v>
      </c>
      <c r="K149" s="167">
        <v>5083.1000000000004</v>
      </c>
      <c r="L149" s="165">
        <v>235</v>
      </c>
      <c r="M149" s="163" t="s">
        <v>268</v>
      </c>
      <c r="N149" s="163" t="s">
        <v>272</v>
      </c>
      <c r="O149" s="166" t="s">
        <v>1345</v>
      </c>
      <c r="P149" s="167">
        <v>288295.91000000003</v>
      </c>
      <c r="Q149" s="167">
        <v>0</v>
      </c>
      <c r="R149" s="167">
        <v>0</v>
      </c>
      <c r="S149" s="167">
        <f t="shared" si="29"/>
        <v>288295.91000000003</v>
      </c>
      <c r="T149" s="167">
        <f t="shared" si="34"/>
        <v>40.757755817570057</v>
      </c>
      <c r="U149" s="167">
        <v>184.98</v>
      </c>
      <c r="V149" s="149">
        <f t="shared" si="35"/>
        <v>144.22224418242993</v>
      </c>
      <c r="W149" s="149">
        <f t="shared" si="30"/>
        <v>184.98</v>
      </c>
      <c r="X149" s="149">
        <v>0</v>
      </c>
      <c r="Y149" s="368">
        <v>0</v>
      </c>
      <c r="Z149" s="368">
        <v>0</v>
      </c>
      <c r="AA149" s="368">
        <v>184.98</v>
      </c>
      <c r="AB149" s="368">
        <v>0</v>
      </c>
      <c r="AC149" s="368">
        <v>0</v>
      </c>
      <c r="AD149" s="368">
        <v>0</v>
      </c>
      <c r="AE149" s="368">
        <v>0</v>
      </c>
      <c r="AF149" s="396">
        <v>0</v>
      </c>
      <c r="AG149" s="368">
        <v>0</v>
      </c>
      <c r="AH149" s="396">
        <v>0</v>
      </c>
      <c r="AI149" s="368">
        <v>0</v>
      </c>
      <c r="AJ149" s="396">
        <v>0</v>
      </c>
      <c r="AK149" s="368">
        <v>0</v>
      </c>
      <c r="AL149" s="368">
        <v>0</v>
      </c>
      <c r="AM149" s="368">
        <v>0</v>
      </c>
      <c r="AN149" s="368"/>
      <c r="AO149" s="368">
        <v>0</v>
      </c>
    </row>
    <row r="150" spans="1:41" s="152" customFormat="1" ht="36" customHeight="1" x14ac:dyDescent="0.9">
      <c r="A150" s="152">
        <v>1</v>
      </c>
      <c r="B150" s="90">
        <f>SUBTOTAL(103,$A$16:A150)</f>
        <v>134</v>
      </c>
      <c r="C150" s="89" t="s">
        <v>1165</v>
      </c>
      <c r="D150" s="163">
        <v>1966</v>
      </c>
      <c r="E150" s="163"/>
      <c r="F150" s="168" t="s">
        <v>270</v>
      </c>
      <c r="G150" s="163">
        <v>2</v>
      </c>
      <c r="H150" s="163">
        <v>2</v>
      </c>
      <c r="I150" s="167">
        <v>787.5</v>
      </c>
      <c r="J150" s="167">
        <v>727.8</v>
      </c>
      <c r="K150" s="167">
        <v>727.8</v>
      </c>
      <c r="L150" s="165">
        <v>35</v>
      </c>
      <c r="M150" s="163" t="s">
        <v>268</v>
      </c>
      <c r="N150" s="163" t="s">
        <v>269</v>
      </c>
      <c r="O150" s="166" t="s">
        <v>271</v>
      </c>
      <c r="P150" s="167">
        <v>2438149.1599999997</v>
      </c>
      <c r="Q150" s="167">
        <v>0</v>
      </c>
      <c r="R150" s="167">
        <v>0</v>
      </c>
      <c r="S150" s="167">
        <f t="shared" si="29"/>
        <v>2438149.1599999997</v>
      </c>
      <c r="T150" s="167">
        <f t="shared" si="34"/>
        <v>3096.0624253968249</v>
      </c>
      <c r="U150" s="167">
        <v>4903.9813206349208</v>
      </c>
      <c r="V150" s="149">
        <f t="shared" si="35"/>
        <v>1807.918895238096</v>
      </c>
      <c r="W150" s="149">
        <f t="shared" si="30"/>
        <v>4903.9813206349208</v>
      </c>
      <c r="X150" s="149">
        <v>0</v>
      </c>
      <c r="Y150" s="368">
        <v>0</v>
      </c>
      <c r="Z150" s="368">
        <v>0</v>
      </c>
      <c r="AA150" s="368">
        <v>0</v>
      </c>
      <c r="AB150" s="368">
        <v>0</v>
      </c>
      <c r="AC150" s="368">
        <v>0</v>
      </c>
      <c r="AD150" s="368">
        <v>0</v>
      </c>
      <c r="AE150" s="368">
        <v>619</v>
      </c>
      <c r="AF150" s="396">
        <f t="shared" ref="AF150:AF151" si="36">6238.91*AE150/I150</f>
        <v>4903.9813206349208</v>
      </c>
      <c r="AG150" s="368">
        <v>0</v>
      </c>
      <c r="AH150" s="396">
        <v>0</v>
      </c>
      <c r="AI150" s="368">
        <v>0</v>
      </c>
      <c r="AJ150" s="396">
        <v>0</v>
      </c>
      <c r="AK150" s="368">
        <v>0</v>
      </c>
      <c r="AL150" s="368">
        <v>0</v>
      </c>
      <c r="AM150" s="368">
        <v>0</v>
      </c>
      <c r="AN150" s="368"/>
      <c r="AO150" s="368">
        <v>0</v>
      </c>
    </row>
    <row r="151" spans="1:41" s="152" customFormat="1" ht="36" customHeight="1" x14ac:dyDescent="0.9">
      <c r="A151" s="152">
        <v>1</v>
      </c>
      <c r="B151" s="90">
        <f>SUBTOTAL(103,$A$16:A151)</f>
        <v>135</v>
      </c>
      <c r="C151" s="89" t="s">
        <v>1301</v>
      </c>
      <c r="D151" s="163">
        <v>1977</v>
      </c>
      <c r="E151" s="163"/>
      <c r="F151" s="168" t="s">
        <v>322</v>
      </c>
      <c r="G151" s="163">
        <v>5</v>
      </c>
      <c r="H151" s="163">
        <v>8</v>
      </c>
      <c r="I151" s="167">
        <v>6715.9</v>
      </c>
      <c r="J151" s="167">
        <v>6150.8</v>
      </c>
      <c r="K151" s="167">
        <v>5734.8</v>
      </c>
      <c r="L151" s="165">
        <v>309</v>
      </c>
      <c r="M151" s="163" t="s">
        <v>268</v>
      </c>
      <c r="N151" s="163" t="s">
        <v>272</v>
      </c>
      <c r="O151" s="166" t="s">
        <v>1369</v>
      </c>
      <c r="P151" s="167">
        <v>5623327.0800000001</v>
      </c>
      <c r="Q151" s="167">
        <v>0</v>
      </c>
      <c r="R151" s="167">
        <v>0</v>
      </c>
      <c r="S151" s="167">
        <f t="shared" si="29"/>
        <v>5623327.0800000001</v>
      </c>
      <c r="T151" s="167">
        <f t="shared" si="34"/>
        <v>837.31548712756296</v>
      </c>
      <c r="U151" s="167">
        <v>1390.4727154662814</v>
      </c>
      <c r="V151" s="149">
        <f t="shared" si="35"/>
        <v>553.15722833871848</v>
      </c>
      <c r="W151" s="149">
        <f t="shared" si="30"/>
        <v>1390.4727154662814</v>
      </c>
      <c r="X151" s="149">
        <v>0</v>
      </c>
      <c r="Y151" s="368">
        <v>0</v>
      </c>
      <c r="Z151" s="368">
        <v>0</v>
      </c>
      <c r="AA151" s="368">
        <v>0</v>
      </c>
      <c r="AB151" s="368">
        <v>0</v>
      </c>
      <c r="AC151" s="368">
        <v>0</v>
      </c>
      <c r="AD151" s="368">
        <v>0</v>
      </c>
      <c r="AE151" s="368">
        <v>1496.78</v>
      </c>
      <c r="AF151" s="396">
        <f t="shared" si="36"/>
        <v>1390.4727154662814</v>
      </c>
      <c r="AG151" s="368">
        <v>0</v>
      </c>
      <c r="AH151" s="396">
        <v>0</v>
      </c>
      <c r="AI151" s="368">
        <v>0</v>
      </c>
      <c r="AJ151" s="396">
        <v>0</v>
      </c>
      <c r="AK151" s="368">
        <v>0</v>
      </c>
      <c r="AL151" s="368">
        <v>0</v>
      </c>
      <c r="AM151" s="368">
        <v>0</v>
      </c>
      <c r="AN151" s="368"/>
      <c r="AO151" s="368">
        <v>0</v>
      </c>
    </row>
    <row r="152" spans="1:41" s="152" customFormat="1" ht="36" customHeight="1" x14ac:dyDescent="0.9">
      <c r="A152" s="152">
        <v>1</v>
      </c>
      <c r="B152" s="90">
        <f>SUBTOTAL(103,$A$16:A152)</f>
        <v>136</v>
      </c>
      <c r="C152" s="89" t="s">
        <v>468</v>
      </c>
      <c r="D152" s="163">
        <v>1970</v>
      </c>
      <c r="E152" s="163"/>
      <c r="F152" s="168" t="s">
        <v>270</v>
      </c>
      <c r="G152" s="163">
        <v>2</v>
      </c>
      <c r="H152" s="163">
        <v>2</v>
      </c>
      <c r="I152" s="167">
        <v>794.8</v>
      </c>
      <c r="J152" s="167">
        <v>737.8</v>
      </c>
      <c r="K152" s="167">
        <v>636.70000000000005</v>
      </c>
      <c r="L152" s="165">
        <v>42</v>
      </c>
      <c r="M152" s="163" t="s">
        <v>268</v>
      </c>
      <c r="N152" s="163" t="s">
        <v>269</v>
      </c>
      <c r="O152" s="166" t="s">
        <v>271</v>
      </c>
      <c r="P152" s="167">
        <v>4291269.42</v>
      </c>
      <c r="Q152" s="167">
        <v>0</v>
      </c>
      <c r="R152" s="167">
        <v>0</v>
      </c>
      <c r="S152" s="167">
        <f t="shared" si="29"/>
        <v>4291269.42</v>
      </c>
      <c r="T152" s="167">
        <f t="shared" si="34"/>
        <v>5399.1814544539511</v>
      </c>
      <c r="U152" s="167">
        <v>5399.1814544539511</v>
      </c>
      <c r="V152" s="149">
        <f t="shared" si="35"/>
        <v>0</v>
      </c>
      <c r="W152" s="149">
        <f>T152</f>
        <v>5399.1814544539511</v>
      </c>
      <c r="X152" s="149">
        <v>0</v>
      </c>
      <c r="Y152" s="368">
        <v>0</v>
      </c>
      <c r="Z152" s="368">
        <v>0</v>
      </c>
      <c r="AA152" s="368">
        <v>0</v>
      </c>
      <c r="AB152" s="368">
        <v>0</v>
      </c>
      <c r="AC152" s="368">
        <v>0</v>
      </c>
      <c r="AD152" s="368">
        <v>0</v>
      </c>
      <c r="AE152" s="368">
        <v>625.1</v>
      </c>
      <c r="AF152" s="396">
        <f>6436.53*AE152/I152</f>
        <v>5062.2482423251131</v>
      </c>
      <c r="AG152" s="368">
        <v>0</v>
      </c>
      <c r="AH152" s="396">
        <v>0</v>
      </c>
      <c r="AI152" s="368">
        <v>0</v>
      </c>
      <c r="AJ152" s="396">
        <v>0</v>
      </c>
      <c r="AK152" s="368">
        <v>0</v>
      </c>
      <c r="AL152" s="368">
        <v>0</v>
      </c>
      <c r="AM152" s="368">
        <v>0</v>
      </c>
      <c r="AN152" s="368"/>
      <c r="AO152" s="368">
        <v>0</v>
      </c>
    </row>
    <row r="153" spans="1:41" s="152" customFormat="1" ht="36" customHeight="1" x14ac:dyDescent="0.9">
      <c r="A153" s="152">
        <v>1</v>
      </c>
      <c r="B153" s="90">
        <f>SUBTOTAL(103,$A$16:A153)</f>
        <v>137</v>
      </c>
      <c r="C153" s="89" t="s">
        <v>1302</v>
      </c>
      <c r="D153" s="163">
        <v>1978</v>
      </c>
      <c r="E153" s="163"/>
      <c r="F153" s="168" t="s">
        <v>334</v>
      </c>
      <c r="G153" s="163">
        <v>3</v>
      </c>
      <c r="H153" s="163">
        <v>2</v>
      </c>
      <c r="I153" s="167">
        <v>873.7</v>
      </c>
      <c r="J153" s="167">
        <v>873.7</v>
      </c>
      <c r="K153" s="167">
        <v>691.7</v>
      </c>
      <c r="L153" s="165">
        <v>31</v>
      </c>
      <c r="M153" s="163" t="s">
        <v>268</v>
      </c>
      <c r="N153" s="163" t="s">
        <v>269</v>
      </c>
      <c r="O153" s="166" t="s">
        <v>271</v>
      </c>
      <c r="P153" s="167">
        <v>2983424.5999999996</v>
      </c>
      <c r="Q153" s="167">
        <v>0</v>
      </c>
      <c r="R153" s="167">
        <v>0</v>
      </c>
      <c r="S153" s="167">
        <f t="shared" si="29"/>
        <v>2983424.5999999996</v>
      </c>
      <c r="T153" s="167">
        <f t="shared" si="34"/>
        <v>3414.7013849147297</v>
      </c>
      <c r="U153" s="167">
        <v>3414.7013849147297</v>
      </c>
      <c r="V153" s="149">
        <f t="shared" si="35"/>
        <v>0</v>
      </c>
      <c r="W153" s="149">
        <f>T153</f>
        <v>3414.7013849147297</v>
      </c>
      <c r="X153" s="149">
        <v>0</v>
      </c>
      <c r="Y153" s="368">
        <v>0</v>
      </c>
      <c r="Z153" s="368">
        <v>0</v>
      </c>
      <c r="AA153" s="368">
        <v>0</v>
      </c>
      <c r="AB153" s="368">
        <v>0</v>
      </c>
      <c r="AC153" s="368">
        <v>0</v>
      </c>
      <c r="AD153" s="368">
        <v>0</v>
      </c>
      <c r="AE153" s="368">
        <v>0</v>
      </c>
      <c r="AF153" s="396">
        <v>0</v>
      </c>
      <c r="AG153" s="368">
        <v>0</v>
      </c>
      <c r="AH153" s="396">
        <v>0</v>
      </c>
      <c r="AI153" s="368">
        <v>718.9</v>
      </c>
      <c r="AJ153" s="396">
        <f>3979.46*AI153/I153</f>
        <v>3274.3891427263356</v>
      </c>
      <c r="AK153" s="368">
        <v>0</v>
      </c>
      <c r="AL153" s="368">
        <v>0</v>
      </c>
      <c r="AM153" s="368">
        <v>0</v>
      </c>
      <c r="AN153" s="368"/>
      <c r="AO153" s="368">
        <v>0</v>
      </c>
    </row>
    <row r="154" spans="1:41" s="152" customFormat="1" ht="36" customHeight="1" x14ac:dyDescent="0.9">
      <c r="A154" s="152">
        <v>1</v>
      </c>
      <c r="B154" s="90">
        <f>SUBTOTAL(103,$A$16:A154)</f>
        <v>138</v>
      </c>
      <c r="C154" s="89" t="s">
        <v>1578</v>
      </c>
      <c r="D154" s="163">
        <v>1927</v>
      </c>
      <c r="E154" s="163"/>
      <c r="F154" s="168" t="s">
        <v>1596</v>
      </c>
      <c r="G154" s="163">
        <v>2</v>
      </c>
      <c r="H154" s="163">
        <v>2</v>
      </c>
      <c r="I154" s="167">
        <v>474.6</v>
      </c>
      <c r="J154" s="167">
        <v>239.9</v>
      </c>
      <c r="K154" s="167">
        <v>239.9</v>
      </c>
      <c r="L154" s="165">
        <v>13</v>
      </c>
      <c r="M154" s="163" t="s">
        <v>268</v>
      </c>
      <c r="N154" s="163" t="s">
        <v>272</v>
      </c>
      <c r="O154" s="166" t="s">
        <v>1595</v>
      </c>
      <c r="P154" s="167">
        <v>3147456.93</v>
      </c>
      <c r="Q154" s="167">
        <v>0</v>
      </c>
      <c r="R154" s="167">
        <v>0</v>
      </c>
      <c r="S154" s="167">
        <f>P154-R154-Q154</f>
        <v>3147456.93</v>
      </c>
      <c r="T154" s="167">
        <f t="shared" si="34"/>
        <v>6631.8097977243997</v>
      </c>
      <c r="U154" s="167">
        <v>9947.0140328697853</v>
      </c>
      <c r="V154" s="149">
        <f t="shared" si="35"/>
        <v>3315.2042351453856</v>
      </c>
      <c r="W154" s="149">
        <f t="shared" si="30"/>
        <v>9947.0140328697853</v>
      </c>
      <c r="X154" s="149">
        <v>0</v>
      </c>
      <c r="Y154" s="368">
        <v>0</v>
      </c>
      <c r="Z154" s="368">
        <v>0</v>
      </c>
      <c r="AA154" s="368">
        <v>0</v>
      </c>
      <c r="AB154" s="368">
        <v>0</v>
      </c>
      <c r="AC154" s="368">
        <v>0</v>
      </c>
      <c r="AD154" s="368">
        <v>0</v>
      </c>
      <c r="AE154" s="368">
        <v>0</v>
      </c>
      <c r="AF154" s="396">
        <v>0</v>
      </c>
      <c r="AG154" s="368">
        <v>0</v>
      </c>
      <c r="AH154" s="396">
        <v>0</v>
      </c>
      <c r="AI154" s="368">
        <v>634.6</v>
      </c>
      <c r="AJ154" s="397">
        <f>7439.1*AI154/I154</f>
        <v>9947.0140328697853</v>
      </c>
      <c r="AK154" s="368">
        <v>0</v>
      </c>
      <c r="AL154" s="368">
        <v>0</v>
      </c>
      <c r="AM154" s="368">
        <v>0</v>
      </c>
      <c r="AN154" s="368"/>
      <c r="AO154" s="368">
        <v>0</v>
      </c>
    </row>
    <row r="155" spans="1:41" s="152" customFormat="1" ht="36" customHeight="1" x14ac:dyDescent="0.9">
      <c r="B155" s="382" t="s">
        <v>770</v>
      </c>
      <c r="C155" s="388"/>
      <c r="D155" s="384" t="s">
        <v>903</v>
      </c>
      <c r="E155" s="163" t="s">
        <v>903</v>
      </c>
      <c r="F155" s="384" t="s">
        <v>903</v>
      </c>
      <c r="G155" s="384" t="s">
        <v>903</v>
      </c>
      <c r="H155" s="163" t="s">
        <v>903</v>
      </c>
      <c r="I155" s="386">
        <f>SUM(I156:I196)</f>
        <v>120289.60999999999</v>
      </c>
      <c r="J155" s="164">
        <f>SUM(J156:J196)</f>
        <v>103093.31999999999</v>
      </c>
      <c r="K155" s="164">
        <f>SUM(K156:K196)</f>
        <v>96095.969999999972</v>
      </c>
      <c r="L155" s="165">
        <f>SUM(L156:L196)</f>
        <v>4612</v>
      </c>
      <c r="M155" s="163" t="s">
        <v>903</v>
      </c>
      <c r="N155" s="163" t="s">
        <v>903</v>
      </c>
      <c r="O155" s="166" t="s">
        <v>903</v>
      </c>
      <c r="P155" s="386">
        <v>116895934.09999999</v>
      </c>
      <c r="Q155" s="164">
        <f>SUM(Q156:Q196)</f>
        <v>0</v>
      </c>
      <c r="R155" s="164">
        <f>SUM(R156:R196)</f>
        <v>0</v>
      </c>
      <c r="S155" s="164">
        <f>SUM(S156:S196)</f>
        <v>116895934.09999999</v>
      </c>
      <c r="T155" s="387">
        <f t="shared" si="34"/>
        <v>971.78745612360046</v>
      </c>
      <c r="U155" s="387">
        <f>MAX(U156:U196)</f>
        <v>7671.2673414891633</v>
      </c>
      <c r="V155" s="149">
        <f t="shared" ref="V155:V209" si="37">U155-T155</f>
        <v>6699.479885365563</v>
      </c>
      <c r="W155" s="149"/>
      <c r="X155" s="149"/>
      <c r="Y155" s="368"/>
      <c r="Z155" s="368"/>
      <c r="AA155" s="368"/>
      <c r="AB155" s="368"/>
      <c r="AC155" s="368"/>
      <c r="AD155" s="368"/>
      <c r="AE155" s="368"/>
      <c r="AF155" s="368"/>
      <c r="AG155" s="368"/>
      <c r="AH155" s="368"/>
      <c r="AI155" s="368"/>
      <c r="AJ155" s="368"/>
      <c r="AK155" s="368"/>
      <c r="AL155" s="368"/>
      <c r="AM155" s="368"/>
      <c r="AN155" s="368"/>
      <c r="AO155" s="368"/>
    </row>
    <row r="156" spans="1:41" s="152" customFormat="1" ht="36" customHeight="1" x14ac:dyDescent="0.9">
      <c r="A156" s="152">
        <v>1</v>
      </c>
      <c r="B156" s="90">
        <f>SUBTOTAL(103,$A$16:A156)</f>
        <v>139</v>
      </c>
      <c r="C156" s="89" t="s">
        <v>392</v>
      </c>
      <c r="D156" s="163">
        <v>1974</v>
      </c>
      <c r="E156" s="163"/>
      <c r="F156" s="168" t="s">
        <v>315</v>
      </c>
      <c r="G156" s="163">
        <v>5</v>
      </c>
      <c r="H156" s="163">
        <v>6</v>
      </c>
      <c r="I156" s="167">
        <v>4988.6899999999996</v>
      </c>
      <c r="J156" s="167">
        <v>4519.59</v>
      </c>
      <c r="K156" s="167">
        <v>4250.8900000000003</v>
      </c>
      <c r="L156" s="165">
        <v>200</v>
      </c>
      <c r="M156" s="163" t="s">
        <v>268</v>
      </c>
      <c r="N156" s="163" t="s">
        <v>272</v>
      </c>
      <c r="O156" s="166" t="s">
        <v>325</v>
      </c>
      <c r="P156" s="167">
        <v>2649277.08</v>
      </c>
      <c r="Q156" s="167">
        <v>0</v>
      </c>
      <c r="R156" s="167">
        <v>0</v>
      </c>
      <c r="S156" s="167">
        <f t="shared" ref="S156:S190" si="38">P156-Q156-R156</f>
        <v>2649277.08</v>
      </c>
      <c r="T156" s="167">
        <f t="shared" si="34"/>
        <v>531.05666617889676</v>
      </c>
      <c r="U156" s="167">
        <v>1386.9024557148271</v>
      </c>
      <c r="V156" s="149">
        <f t="shared" si="37"/>
        <v>855.84578953593029</v>
      </c>
      <c r="W156" s="149">
        <f t="shared" ref="W156:W194" si="39">X156+Y156+Z156+AA156+AB156+AD156+AF156+AH156+AJ156+AL156+AN156+AO156</f>
        <v>1386.9024557148271</v>
      </c>
      <c r="X156" s="149">
        <v>0</v>
      </c>
      <c r="Y156" s="368">
        <v>0</v>
      </c>
      <c r="Z156" s="368">
        <v>0</v>
      </c>
      <c r="AA156" s="368">
        <v>0</v>
      </c>
      <c r="AB156" s="368">
        <v>0</v>
      </c>
      <c r="AC156" s="368">
        <v>0</v>
      </c>
      <c r="AD156" s="368">
        <v>0</v>
      </c>
      <c r="AE156" s="368">
        <v>1108.98</v>
      </c>
      <c r="AF156" s="396">
        <f>6238.91*AE156/I156</f>
        <v>1386.9024557148271</v>
      </c>
      <c r="AG156" s="368">
        <v>0</v>
      </c>
      <c r="AH156" s="396">
        <v>0</v>
      </c>
      <c r="AI156" s="368">
        <v>0</v>
      </c>
      <c r="AJ156" s="396">
        <v>0</v>
      </c>
      <c r="AK156" s="368">
        <v>0</v>
      </c>
      <c r="AL156" s="368">
        <v>0</v>
      </c>
      <c r="AM156" s="368">
        <v>0</v>
      </c>
      <c r="AN156" s="368"/>
      <c r="AO156" s="368">
        <v>0</v>
      </c>
    </row>
    <row r="157" spans="1:41" s="152" customFormat="1" ht="36" customHeight="1" x14ac:dyDescent="0.9">
      <c r="A157" s="152">
        <v>1</v>
      </c>
      <c r="B157" s="90">
        <f>SUBTOTAL(103,$A$16:A157)</f>
        <v>140</v>
      </c>
      <c r="C157" s="89" t="s">
        <v>393</v>
      </c>
      <c r="D157" s="163">
        <v>1975</v>
      </c>
      <c r="E157" s="163"/>
      <c r="F157" s="168" t="s">
        <v>315</v>
      </c>
      <c r="G157" s="163">
        <v>5</v>
      </c>
      <c r="H157" s="163">
        <v>8</v>
      </c>
      <c r="I157" s="167">
        <v>6689.89</v>
      </c>
      <c r="J157" s="167">
        <v>6122.82</v>
      </c>
      <c r="K157" s="167">
        <v>5460.0199999999995</v>
      </c>
      <c r="L157" s="165">
        <v>285</v>
      </c>
      <c r="M157" s="163" t="s">
        <v>268</v>
      </c>
      <c r="N157" s="163" t="s">
        <v>272</v>
      </c>
      <c r="O157" s="166" t="s">
        <v>1004</v>
      </c>
      <c r="P157" s="167">
        <v>2624505.91</v>
      </c>
      <c r="Q157" s="167">
        <v>0</v>
      </c>
      <c r="R157" s="167">
        <v>0</v>
      </c>
      <c r="S157" s="167">
        <f t="shared" si="38"/>
        <v>2624505.91</v>
      </c>
      <c r="T157" s="167">
        <f t="shared" si="34"/>
        <v>392.30927713310683</v>
      </c>
      <c r="U157" s="167">
        <v>3606.6499999999996</v>
      </c>
      <c r="V157" s="149">
        <f t="shared" si="37"/>
        <v>3214.340722866893</v>
      </c>
      <c r="W157" s="149">
        <f t="shared" si="39"/>
        <v>3606.6499999999996</v>
      </c>
      <c r="X157" s="149">
        <v>101.55</v>
      </c>
      <c r="Y157" s="368">
        <v>245.44</v>
      </c>
      <c r="Z157" s="368">
        <v>3259.66</v>
      </c>
      <c r="AA157" s="368">
        <v>0</v>
      </c>
      <c r="AB157" s="368">
        <v>0</v>
      </c>
      <c r="AC157" s="368">
        <v>0</v>
      </c>
      <c r="AD157" s="368">
        <v>0</v>
      </c>
      <c r="AE157" s="368">
        <v>0</v>
      </c>
      <c r="AF157" s="396">
        <v>0</v>
      </c>
      <c r="AG157" s="368">
        <v>0</v>
      </c>
      <c r="AH157" s="396">
        <v>0</v>
      </c>
      <c r="AI157" s="368">
        <v>0</v>
      </c>
      <c r="AJ157" s="396">
        <v>0</v>
      </c>
      <c r="AK157" s="368">
        <v>0</v>
      </c>
      <c r="AL157" s="368">
        <v>0</v>
      </c>
      <c r="AM157" s="368">
        <v>0</v>
      </c>
      <c r="AN157" s="368"/>
      <c r="AO157" s="368">
        <v>0</v>
      </c>
    </row>
    <row r="158" spans="1:41" s="152" customFormat="1" ht="36" customHeight="1" x14ac:dyDescent="0.9">
      <c r="A158" s="152">
        <v>1</v>
      </c>
      <c r="B158" s="90">
        <f>SUBTOTAL(103,$A$16:A158)</f>
        <v>141</v>
      </c>
      <c r="C158" s="89" t="s">
        <v>394</v>
      </c>
      <c r="D158" s="163">
        <v>1954</v>
      </c>
      <c r="E158" s="163"/>
      <c r="F158" s="168" t="s">
        <v>270</v>
      </c>
      <c r="G158" s="163">
        <v>2</v>
      </c>
      <c r="H158" s="163">
        <v>3</v>
      </c>
      <c r="I158" s="167">
        <v>641.79999999999995</v>
      </c>
      <c r="J158" s="167">
        <v>552.4</v>
      </c>
      <c r="K158" s="167">
        <v>505.4</v>
      </c>
      <c r="L158" s="165">
        <v>34</v>
      </c>
      <c r="M158" s="163" t="s">
        <v>268</v>
      </c>
      <c r="N158" s="163" t="s">
        <v>272</v>
      </c>
      <c r="O158" s="166" t="s">
        <v>325</v>
      </c>
      <c r="P158" s="167">
        <v>3188621.1</v>
      </c>
      <c r="Q158" s="167">
        <v>0</v>
      </c>
      <c r="R158" s="167">
        <v>0</v>
      </c>
      <c r="S158" s="167">
        <f t="shared" si="38"/>
        <v>3188621.1</v>
      </c>
      <c r="T158" s="167">
        <f t="shared" si="34"/>
        <v>4968.2472732938613</v>
      </c>
      <c r="U158" s="167">
        <v>5832.5740105952018</v>
      </c>
      <c r="V158" s="149">
        <f t="shared" si="37"/>
        <v>864.32673730134047</v>
      </c>
      <c r="W158" s="149">
        <f t="shared" si="39"/>
        <v>5832.5740105952018</v>
      </c>
      <c r="X158" s="149">
        <v>0</v>
      </c>
      <c r="Y158" s="368">
        <v>0</v>
      </c>
      <c r="Z158" s="368">
        <v>0</v>
      </c>
      <c r="AA158" s="368">
        <v>0</v>
      </c>
      <c r="AB158" s="368">
        <v>0</v>
      </c>
      <c r="AC158" s="368">
        <v>0</v>
      </c>
      <c r="AD158" s="368">
        <v>0</v>
      </c>
      <c r="AE158" s="368">
        <v>600</v>
      </c>
      <c r="AF158" s="396">
        <f t="shared" ref="AF158:AF160" si="40">6238.91*AE158/I158</f>
        <v>5832.5740105952018</v>
      </c>
      <c r="AG158" s="368">
        <v>0</v>
      </c>
      <c r="AH158" s="396">
        <v>0</v>
      </c>
      <c r="AI158" s="368">
        <v>0</v>
      </c>
      <c r="AJ158" s="396">
        <v>0</v>
      </c>
      <c r="AK158" s="368">
        <v>0</v>
      </c>
      <c r="AL158" s="368">
        <v>0</v>
      </c>
      <c r="AM158" s="368">
        <v>0</v>
      </c>
      <c r="AN158" s="368"/>
      <c r="AO158" s="368">
        <v>0</v>
      </c>
    </row>
    <row r="159" spans="1:41" s="152" customFormat="1" ht="36" customHeight="1" x14ac:dyDescent="0.9">
      <c r="A159" s="152">
        <v>1</v>
      </c>
      <c r="B159" s="90">
        <f>SUBTOTAL(103,$A$16:A159)</f>
        <v>142</v>
      </c>
      <c r="C159" s="89" t="s">
        <v>395</v>
      </c>
      <c r="D159" s="163">
        <v>1975</v>
      </c>
      <c r="E159" s="163"/>
      <c r="F159" s="168" t="s">
        <v>270</v>
      </c>
      <c r="G159" s="163">
        <v>5</v>
      </c>
      <c r="H159" s="163">
        <v>4</v>
      </c>
      <c r="I159" s="167">
        <v>3325.2</v>
      </c>
      <c r="J159" s="167">
        <v>2700</v>
      </c>
      <c r="K159" s="167">
        <v>2574</v>
      </c>
      <c r="L159" s="165">
        <v>116</v>
      </c>
      <c r="M159" s="163" t="s">
        <v>268</v>
      </c>
      <c r="N159" s="163" t="s">
        <v>272</v>
      </c>
      <c r="O159" s="166" t="s">
        <v>326</v>
      </c>
      <c r="P159" s="167">
        <v>5265781.6800000006</v>
      </c>
      <c r="Q159" s="167">
        <v>0</v>
      </c>
      <c r="R159" s="167">
        <v>0</v>
      </c>
      <c r="S159" s="167">
        <f t="shared" si="38"/>
        <v>5265781.6800000006</v>
      </c>
      <c r="T159" s="167">
        <f t="shared" si="34"/>
        <v>1583.5984843016963</v>
      </c>
      <c r="U159" s="167">
        <v>2050.7424004571153</v>
      </c>
      <c r="V159" s="149">
        <f t="shared" si="37"/>
        <v>467.14391615541899</v>
      </c>
      <c r="W159" s="149">
        <f t="shared" si="39"/>
        <v>2050.7424004571153</v>
      </c>
      <c r="X159" s="149">
        <v>0</v>
      </c>
      <c r="Y159" s="368">
        <v>0</v>
      </c>
      <c r="Z159" s="368">
        <v>0</v>
      </c>
      <c r="AA159" s="368">
        <v>0</v>
      </c>
      <c r="AB159" s="368">
        <v>0</v>
      </c>
      <c r="AC159" s="368">
        <v>0</v>
      </c>
      <c r="AD159" s="368">
        <v>0</v>
      </c>
      <c r="AE159" s="368">
        <v>1093</v>
      </c>
      <c r="AF159" s="396">
        <f t="shared" si="40"/>
        <v>2050.7424004571153</v>
      </c>
      <c r="AG159" s="368">
        <v>0</v>
      </c>
      <c r="AH159" s="396">
        <v>0</v>
      </c>
      <c r="AI159" s="368">
        <v>0</v>
      </c>
      <c r="AJ159" s="396">
        <v>0</v>
      </c>
      <c r="AK159" s="368">
        <v>0</v>
      </c>
      <c r="AL159" s="368">
        <v>0</v>
      </c>
      <c r="AM159" s="368">
        <v>0</v>
      </c>
      <c r="AN159" s="368"/>
      <c r="AO159" s="368">
        <v>0</v>
      </c>
    </row>
    <row r="160" spans="1:41" s="152" customFormat="1" ht="36" customHeight="1" x14ac:dyDescent="0.9">
      <c r="A160" s="152">
        <v>1</v>
      </c>
      <c r="B160" s="90">
        <f>SUBTOTAL(103,$A$16:A160)</f>
        <v>143</v>
      </c>
      <c r="C160" s="89" t="s">
        <v>396</v>
      </c>
      <c r="D160" s="163">
        <v>1966</v>
      </c>
      <c r="E160" s="163"/>
      <c r="F160" s="168" t="s">
        <v>270</v>
      </c>
      <c r="G160" s="163">
        <v>4</v>
      </c>
      <c r="H160" s="163">
        <v>4</v>
      </c>
      <c r="I160" s="167">
        <v>2747.7</v>
      </c>
      <c r="J160" s="167">
        <v>2392.9</v>
      </c>
      <c r="K160" s="167">
        <v>2351.5</v>
      </c>
      <c r="L160" s="165">
        <v>113</v>
      </c>
      <c r="M160" s="163" t="s">
        <v>268</v>
      </c>
      <c r="N160" s="163" t="s">
        <v>272</v>
      </c>
      <c r="O160" s="166" t="s">
        <v>1004</v>
      </c>
      <c r="P160" s="167">
        <v>4707897.5999999996</v>
      </c>
      <c r="Q160" s="167">
        <v>0</v>
      </c>
      <c r="R160" s="167">
        <v>0</v>
      </c>
      <c r="S160" s="167">
        <f t="shared" si="38"/>
        <v>4707897.5999999996</v>
      </c>
      <c r="T160" s="167">
        <f t="shared" si="34"/>
        <v>1713.3957855661099</v>
      </c>
      <c r="U160" s="167">
        <v>2216.0993412672419</v>
      </c>
      <c r="V160" s="149">
        <f t="shared" si="37"/>
        <v>502.70355570113202</v>
      </c>
      <c r="W160" s="149">
        <f t="shared" si="39"/>
        <v>2216.0993412672419</v>
      </c>
      <c r="X160" s="149">
        <v>0</v>
      </c>
      <c r="Y160" s="368">
        <v>0</v>
      </c>
      <c r="Z160" s="368">
        <v>0</v>
      </c>
      <c r="AA160" s="368">
        <v>0</v>
      </c>
      <c r="AB160" s="368">
        <v>0</v>
      </c>
      <c r="AC160" s="368">
        <v>0</v>
      </c>
      <c r="AD160" s="368">
        <v>0</v>
      </c>
      <c r="AE160" s="368">
        <v>976</v>
      </c>
      <c r="AF160" s="396">
        <f t="shared" si="40"/>
        <v>2216.0993412672419</v>
      </c>
      <c r="AG160" s="368">
        <v>0</v>
      </c>
      <c r="AH160" s="396">
        <v>0</v>
      </c>
      <c r="AI160" s="368">
        <v>0</v>
      </c>
      <c r="AJ160" s="396">
        <v>0</v>
      </c>
      <c r="AK160" s="368">
        <v>0</v>
      </c>
      <c r="AL160" s="368">
        <v>0</v>
      </c>
      <c r="AM160" s="368">
        <v>0</v>
      </c>
      <c r="AN160" s="368"/>
      <c r="AO160" s="368">
        <v>0</v>
      </c>
    </row>
    <row r="161" spans="1:41" s="152" customFormat="1" ht="36" customHeight="1" x14ac:dyDescent="0.9">
      <c r="A161" s="152">
        <v>1</v>
      </c>
      <c r="B161" s="90">
        <f>SUBTOTAL(103,$A$16:A161)</f>
        <v>144</v>
      </c>
      <c r="C161" s="89" t="s">
        <v>397</v>
      </c>
      <c r="D161" s="163" t="s">
        <v>327</v>
      </c>
      <c r="E161" s="163"/>
      <c r="F161" s="168" t="s">
        <v>270</v>
      </c>
      <c r="G161" s="163">
        <v>9</v>
      </c>
      <c r="H161" s="163">
        <v>3</v>
      </c>
      <c r="I161" s="167">
        <v>5754.2</v>
      </c>
      <c r="J161" s="167">
        <v>5754.2</v>
      </c>
      <c r="K161" s="167">
        <v>5645.8</v>
      </c>
      <c r="L161" s="165">
        <v>251</v>
      </c>
      <c r="M161" s="163" t="s">
        <v>268</v>
      </c>
      <c r="N161" s="163" t="s">
        <v>272</v>
      </c>
      <c r="O161" s="166" t="s">
        <v>326</v>
      </c>
      <c r="P161" s="167">
        <v>4873547.67</v>
      </c>
      <c r="Q161" s="167">
        <v>0</v>
      </c>
      <c r="R161" s="167">
        <v>0</v>
      </c>
      <c r="S161" s="167">
        <f t="shared" si="38"/>
        <v>4873547.67</v>
      </c>
      <c r="T161" s="167">
        <f t="shared" si="34"/>
        <v>846.95486253519175</v>
      </c>
      <c r="U161" s="167">
        <v>1281.3944596990025</v>
      </c>
      <c r="V161" s="149">
        <f t="shared" si="37"/>
        <v>434.43959716381073</v>
      </c>
      <c r="W161" s="149">
        <f t="shared" si="39"/>
        <v>1281.3944596990025</v>
      </c>
      <c r="X161" s="149">
        <v>0</v>
      </c>
      <c r="Y161" s="368">
        <v>0</v>
      </c>
      <c r="Z161" s="368">
        <v>0</v>
      </c>
      <c r="AA161" s="368">
        <v>0</v>
      </c>
      <c r="AB161" s="368">
        <v>0</v>
      </c>
      <c r="AC161" s="368">
        <v>3</v>
      </c>
      <c r="AD161" s="396">
        <f>2457800*AC161/I161</f>
        <v>1281.3944596990025</v>
      </c>
      <c r="AE161" s="368">
        <v>0</v>
      </c>
      <c r="AF161" s="396">
        <v>0</v>
      </c>
      <c r="AG161" s="368">
        <v>0</v>
      </c>
      <c r="AH161" s="396">
        <v>0</v>
      </c>
      <c r="AI161" s="368">
        <v>0</v>
      </c>
      <c r="AJ161" s="396">
        <v>0</v>
      </c>
      <c r="AK161" s="368">
        <v>0</v>
      </c>
      <c r="AL161" s="368">
        <v>0</v>
      </c>
      <c r="AM161" s="368">
        <v>0</v>
      </c>
      <c r="AN161" s="368"/>
      <c r="AO161" s="368">
        <v>0</v>
      </c>
    </row>
    <row r="162" spans="1:41" s="152" customFormat="1" ht="36" customHeight="1" x14ac:dyDescent="0.9">
      <c r="A162" s="152">
        <v>1</v>
      </c>
      <c r="B162" s="90">
        <f>SUBTOTAL(103,$A$16:A162)</f>
        <v>145</v>
      </c>
      <c r="C162" s="89" t="s">
        <v>398</v>
      </c>
      <c r="D162" s="163">
        <v>1949</v>
      </c>
      <c r="E162" s="163"/>
      <c r="F162" s="168" t="s">
        <v>328</v>
      </c>
      <c r="G162" s="163">
        <v>2</v>
      </c>
      <c r="H162" s="163">
        <v>1</v>
      </c>
      <c r="I162" s="167">
        <v>499.5</v>
      </c>
      <c r="J162" s="167">
        <v>450.4</v>
      </c>
      <c r="K162" s="167">
        <v>450.4</v>
      </c>
      <c r="L162" s="165">
        <v>13</v>
      </c>
      <c r="M162" s="163" t="s">
        <v>268</v>
      </c>
      <c r="N162" s="163" t="s">
        <v>269</v>
      </c>
      <c r="O162" s="166" t="s">
        <v>271</v>
      </c>
      <c r="P162" s="167">
        <v>2215482.85</v>
      </c>
      <c r="Q162" s="167">
        <v>0</v>
      </c>
      <c r="R162" s="167">
        <v>0</v>
      </c>
      <c r="S162" s="167">
        <f t="shared" si="38"/>
        <v>2215482.85</v>
      </c>
      <c r="T162" s="167">
        <f t="shared" si="34"/>
        <v>4435.4011011011016</v>
      </c>
      <c r="U162" s="167">
        <v>5543.1997157157157</v>
      </c>
      <c r="V162" s="149">
        <f t="shared" si="37"/>
        <v>1107.7986146146141</v>
      </c>
      <c r="W162" s="149">
        <f t="shared" si="39"/>
        <v>5543.1997157157157</v>
      </c>
      <c r="X162" s="149">
        <v>0</v>
      </c>
      <c r="Y162" s="368">
        <v>0</v>
      </c>
      <c r="Z162" s="368">
        <v>0</v>
      </c>
      <c r="AA162" s="368">
        <v>0</v>
      </c>
      <c r="AB162" s="368">
        <v>0</v>
      </c>
      <c r="AC162" s="368">
        <v>0</v>
      </c>
      <c r="AD162" s="368">
        <v>0</v>
      </c>
      <c r="AE162" s="368">
        <v>443.8</v>
      </c>
      <c r="AF162" s="396">
        <f>6238.91*AE162/I162</f>
        <v>5543.1997157157157</v>
      </c>
      <c r="AG162" s="368">
        <v>0</v>
      </c>
      <c r="AH162" s="396">
        <v>0</v>
      </c>
      <c r="AI162" s="368">
        <v>0</v>
      </c>
      <c r="AJ162" s="396">
        <v>0</v>
      </c>
      <c r="AK162" s="368">
        <v>0</v>
      </c>
      <c r="AL162" s="368">
        <v>0</v>
      </c>
      <c r="AM162" s="368">
        <v>0</v>
      </c>
      <c r="AN162" s="368"/>
      <c r="AO162" s="368">
        <v>0</v>
      </c>
    </row>
    <row r="163" spans="1:41" s="152" customFormat="1" ht="36" customHeight="1" x14ac:dyDescent="0.9">
      <c r="A163" s="152">
        <v>1</v>
      </c>
      <c r="B163" s="90">
        <f>SUBTOTAL(103,$A$16:A163)</f>
        <v>146</v>
      </c>
      <c r="C163" s="89" t="s">
        <v>399</v>
      </c>
      <c r="D163" s="163">
        <v>1992</v>
      </c>
      <c r="E163" s="163"/>
      <c r="F163" s="168" t="s">
        <v>270</v>
      </c>
      <c r="G163" s="163">
        <v>9</v>
      </c>
      <c r="H163" s="163">
        <v>3</v>
      </c>
      <c r="I163" s="167">
        <v>6502.8</v>
      </c>
      <c r="J163" s="167">
        <v>5918.2</v>
      </c>
      <c r="K163" s="167">
        <v>5402.9</v>
      </c>
      <c r="L163" s="165">
        <v>278</v>
      </c>
      <c r="M163" s="163" t="s">
        <v>268</v>
      </c>
      <c r="N163" s="163" t="s">
        <v>272</v>
      </c>
      <c r="O163" s="166" t="s">
        <v>1004</v>
      </c>
      <c r="P163" s="167">
        <v>4885396.4400000004</v>
      </c>
      <c r="Q163" s="167">
        <v>0</v>
      </c>
      <c r="R163" s="167">
        <v>0</v>
      </c>
      <c r="S163" s="167">
        <f t="shared" si="38"/>
        <v>4885396.4400000004</v>
      </c>
      <c r="T163" s="167">
        <f t="shared" si="34"/>
        <v>751.27582579811781</v>
      </c>
      <c r="U163" s="167">
        <v>1133.8807898136188</v>
      </c>
      <c r="V163" s="149">
        <f t="shared" si="37"/>
        <v>382.60496401550097</v>
      </c>
      <c r="W163" s="149">
        <f t="shared" si="39"/>
        <v>1133.8807898136188</v>
      </c>
      <c r="X163" s="149">
        <v>0</v>
      </c>
      <c r="Y163" s="368">
        <v>0</v>
      </c>
      <c r="Z163" s="368">
        <v>0</v>
      </c>
      <c r="AA163" s="368">
        <v>0</v>
      </c>
      <c r="AB163" s="368">
        <v>0</v>
      </c>
      <c r="AC163" s="368">
        <v>3</v>
      </c>
      <c r="AD163" s="396">
        <f>2457800*AC163/I163</f>
        <v>1133.8807898136188</v>
      </c>
      <c r="AE163" s="368">
        <v>0</v>
      </c>
      <c r="AF163" s="396">
        <v>0</v>
      </c>
      <c r="AG163" s="368">
        <v>0</v>
      </c>
      <c r="AH163" s="396">
        <v>0</v>
      </c>
      <c r="AI163" s="368">
        <v>0</v>
      </c>
      <c r="AJ163" s="396">
        <v>0</v>
      </c>
      <c r="AK163" s="368">
        <v>0</v>
      </c>
      <c r="AL163" s="368">
        <v>0</v>
      </c>
      <c r="AM163" s="368">
        <v>0</v>
      </c>
      <c r="AN163" s="368"/>
      <c r="AO163" s="368">
        <v>0</v>
      </c>
    </row>
    <row r="164" spans="1:41" s="152" customFormat="1" ht="36" customHeight="1" x14ac:dyDescent="0.9">
      <c r="A164" s="152">
        <v>1</v>
      </c>
      <c r="B164" s="90">
        <f>SUBTOTAL(103,$A$16:A164)</f>
        <v>147</v>
      </c>
      <c r="C164" s="89" t="s">
        <v>400</v>
      </c>
      <c r="D164" s="163">
        <v>1974</v>
      </c>
      <c r="E164" s="163"/>
      <c r="F164" s="168" t="s">
        <v>270</v>
      </c>
      <c r="G164" s="163">
        <v>5</v>
      </c>
      <c r="H164" s="163">
        <v>6</v>
      </c>
      <c r="I164" s="167">
        <v>5897.3</v>
      </c>
      <c r="J164" s="167">
        <v>4498.7</v>
      </c>
      <c r="K164" s="167">
        <v>4220.3</v>
      </c>
      <c r="L164" s="165">
        <v>209</v>
      </c>
      <c r="M164" s="163" t="s">
        <v>268</v>
      </c>
      <c r="N164" s="163" t="s">
        <v>272</v>
      </c>
      <c r="O164" s="166" t="s">
        <v>329</v>
      </c>
      <c r="P164" s="167">
        <v>7963246.8599999994</v>
      </c>
      <c r="Q164" s="167">
        <v>0</v>
      </c>
      <c r="R164" s="167">
        <v>0</v>
      </c>
      <c r="S164" s="167">
        <f t="shared" si="38"/>
        <v>7963246.8599999994</v>
      </c>
      <c r="T164" s="167">
        <f t="shared" si="34"/>
        <v>1350.3208010445458</v>
      </c>
      <c r="U164" s="167">
        <v>1590.1164389635935</v>
      </c>
      <c r="V164" s="149">
        <f t="shared" si="37"/>
        <v>239.79563791904775</v>
      </c>
      <c r="W164" s="149">
        <f t="shared" si="39"/>
        <v>1590.1164389635935</v>
      </c>
      <c r="X164" s="149">
        <v>0</v>
      </c>
      <c r="Y164" s="368">
        <v>0</v>
      </c>
      <c r="Z164" s="368">
        <v>0</v>
      </c>
      <c r="AA164" s="368">
        <v>0</v>
      </c>
      <c r="AB164" s="368">
        <v>0</v>
      </c>
      <c r="AC164" s="368">
        <v>0</v>
      </c>
      <c r="AD164" s="368">
        <v>0</v>
      </c>
      <c r="AE164" s="368">
        <v>1503.05</v>
      </c>
      <c r="AF164" s="396">
        <f t="shared" ref="AF164:AF167" si="41">6238.91*AE164/I164</f>
        <v>1590.1164389635935</v>
      </c>
      <c r="AG164" s="368">
        <v>0</v>
      </c>
      <c r="AH164" s="396">
        <v>0</v>
      </c>
      <c r="AI164" s="368">
        <v>0</v>
      </c>
      <c r="AJ164" s="396">
        <v>0</v>
      </c>
      <c r="AK164" s="368">
        <v>0</v>
      </c>
      <c r="AL164" s="368">
        <v>0</v>
      </c>
      <c r="AM164" s="368">
        <v>0</v>
      </c>
      <c r="AN164" s="368"/>
      <c r="AO164" s="368">
        <v>0</v>
      </c>
    </row>
    <row r="165" spans="1:41" s="152" customFormat="1" ht="36" customHeight="1" x14ac:dyDescent="0.9">
      <c r="A165" s="152">
        <v>1</v>
      </c>
      <c r="B165" s="90">
        <f>SUBTOTAL(103,$A$16:A165)</f>
        <v>148</v>
      </c>
      <c r="C165" s="89" t="s">
        <v>401</v>
      </c>
      <c r="D165" s="163">
        <v>1974</v>
      </c>
      <c r="E165" s="163"/>
      <c r="F165" s="168" t="s">
        <v>270</v>
      </c>
      <c r="G165" s="163">
        <v>5</v>
      </c>
      <c r="H165" s="163">
        <v>4</v>
      </c>
      <c r="I165" s="167">
        <v>3863.9</v>
      </c>
      <c r="J165" s="167">
        <v>2672.9</v>
      </c>
      <c r="K165" s="167">
        <v>2643.2000000000003</v>
      </c>
      <c r="L165" s="165">
        <v>116</v>
      </c>
      <c r="M165" s="163" t="s">
        <v>268</v>
      </c>
      <c r="N165" s="163" t="s">
        <v>272</v>
      </c>
      <c r="O165" s="166" t="s">
        <v>330</v>
      </c>
      <c r="P165" s="167">
        <v>2936954.38</v>
      </c>
      <c r="Q165" s="167">
        <v>0</v>
      </c>
      <c r="R165" s="167">
        <v>0</v>
      </c>
      <c r="S165" s="167">
        <f t="shared" si="38"/>
        <v>2936954.38</v>
      </c>
      <c r="T165" s="167">
        <f t="shared" si="34"/>
        <v>760.1010326354201</v>
      </c>
      <c r="U165" s="167">
        <v>1510.068430911773</v>
      </c>
      <c r="V165" s="149">
        <f t="shared" si="37"/>
        <v>749.96739827635292</v>
      </c>
      <c r="W165" s="149">
        <f t="shared" si="39"/>
        <v>1510.068430911773</v>
      </c>
      <c r="X165" s="149">
        <v>0</v>
      </c>
      <c r="Y165" s="368">
        <v>0</v>
      </c>
      <c r="Z165" s="368">
        <v>0</v>
      </c>
      <c r="AA165" s="368">
        <v>0</v>
      </c>
      <c r="AB165" s="368">
        <v>0</v>
      </c>
      <c r="AC165" s="368">
        <v>0</v>
      </c>
      <c r="AD165" s="368">
        <v>0</v>
      </c>
      <c r="AE165" s="368">
        <v>935.22</v>
      </c>
      <c r="AF165" s="396">
        <f t="shared" si="41"/>
        <v>1510.068430911773</v>
      </c>
      <c r="AG165" s="368">
        <v>0</v>
      </c>
      <c r="AH165" s="396">
        <v>0</v>
      </c>
      <c r="AI165" s="368">
        <v>0</v>
      </c>
      <c r="AJ165" s="396">
        <v>0</v>
      </c>
      <c r="AK165" s="368">
        <v>0</v>
      </c>
      <c r="AL165" s="368">
        <v>0</v>
      </c>
      <c r="AM165" s="368">
        <v>0</v>
      </c>
      <c r="AN165" s="368"/>
      <c r="AO165" s="368">
        <v>0</v>
      </c>
    </row>
    <row r="166" spans="1:41" s="152" customFormat="1" ht="36" customHeight="1" x14ac:dyDescent="0.9">
      <c r="A166" s="152">
        <v>1</v>
      </c>
      <c r="B166" s="90">
        <f>SUBTOTAL(103,$A$16:A166)</f>
        <v>149</v>
      </c>
      <c r="C166" s="89" t="s">
        <v>402</v>
      </c>
      <c r="D166" s="163">
        <v>1958</v>
      </c>
      <c r="E166" s="163"/>
      <c r="F166" s="168" t="s">
        <v>270</v>
      </c>
      <c r="G166" s="163">
        <v>2</v>
      </c>
      <c r="H166" s="163">
        <v>2</v>
      </c>
      <c r="I166" s="167">
        <v>592.70000000000005</v>
      </c>
      <c r="J166" s="167">
        <v>548</v>
      </c>
      <c r="K166" s="167">
        <v>517.1</v>
      </c>
      <c r="L166" s="165">
        <v>26</v>
      </c>
      <c r="M166" s="163" t="s">
        <v>268</v>
      </c>
      <c r="N166" s="163" t="s">
        <v>269</v>
      </c>
      <c r="O166" s="166" t="s">
        <v>271</v>
      </c>
      <c r="P166" s="167">
        <v>2189551</v>
      </c>
      <c r="Q166" s="167">
        <v>0</v>
      </c>
      <c r="R166" s="167">
        <v>0</v>
      </c>
      <c r="S166" s="167">
        <f t="shared" si="38"/>
        <v>2189551</v>
      </c>
      <c r="T166" s="167">
        <f t="shared" si="34"/>
        <v>3694.197739159777</v>
      </c>
      <c r="U166" s="167">
        <v>4978.9175468196381</v>
      </c>
      <c r="V166" s="149">
        <f t="shared" si="37"/>
        <v>1284.7198076598611</v>
      </c>
      <c r="W166" s="149">
        <f t="shared" si="39"/>
        <v>4978.9175468196381</v>
      </c>
      <c r="X166" s="149">
        <v>0</v>
      </c>
      <c r="Y166" s="368">
        <v>0</v>
      </c>
      <c r="Z166" s="368">
        <v>0</v>
      </c>
      <c r="AA166" s="368">
        <v>0</v>
      </c>
      <c r="AB166" s="368">
        <v>0</v>
      </c>
      <c r="AC166" s="368">
        <v>0</v>
      </c>
      <c r="AD166" s="368">
        <v>0</v>
      </c>
      <c r="AE166" s="368">
        <v>473</v>
      </c>
      <c r="AF166" s="396">
        <f t="shared" si="41"/>
        <v>4978.9175468196381</v>
      </c>
      <c r="AG166" s="368">
        <v>0</v>
      </c>
      <c r="AH166" s="396">
        <v>0</v>
      </c>
      <c r="AI166" s="368">
        <v>0</v>
      </c>
      <c r="AJ166" s="396">
        <v>0</v>
      </c>
      <c r="AK166" s="368">
        <v>0</v>
      </c>
      <c r="AL166" s="368">
        <v>0</v>
      </c>
      <c r="AM166" s="368">
        <v>0</v>
      </c>
      <c r="AN166" s="368"/>
      <c r="AO166" s="368">
        <v>0</v>
      </c>
    </row>
    <row r="167" spans="1:41" s="152" customFormat="1" ht="36" customHeight="1" x14ac:dyDescent="0.9">
      <c r="A167" s="152">
        <v>1</v>
      </c>
      <c r="B167" s="90">
        <f>SUBTOTAL(103,$A$16:A167)</f>
        <v>150</v>
      </c>
      <c r="C167" s="89" t="s">
        <v>403</v>
      </c>
      <c r="D167" s="163">
        <v>1961</v>
      </c>
      <c r="E167" s="163"/>
      <c r="F167" s="168" t="s">
        <v>270</v>
      </c>
      <c r="G167" s="163">
        <v>2</v>
      </c>
      <c r="H167" s="163">
        <v>2</v>
      </c>
      <c r="I167" s="167">
        <v>679.5</v>
      </c>
      <c r="J167" s="167">
        <v>630.79999999999995</v>
      </c>
      <c r="K167" s="167">
        <v>546.79999999999995</v>
      </c>
      <c r="L167" s="165">
        <v>41</v>
      </c>
      <c r="M167" s="163" t="s">
        <v>268</v>
      </c>
      <c r="N167" s="163" t="s">
        <v>272</v>
      </c>
      <c r="O167" s="166" t="s">
        <v>329</v>
      </c>
      <c r="P167" s="167">
        <v>2855710.47</v>
      </c>
      <c r="Q167" s="167">
        <v>0</v>
      </c>
      <c r="R167" s="167">
        <v>0</v>
      </c>
      <c r="S167" s="167">
        <f t="shared" si="38"/>
        <v>2855710.47</v>
      </c>
      <c r="T167" s="167">
        <f t="shared" si="34"/>
        <v>4202.6644150110378</v>
      </c>
      <c r="U167" s="167">
        <v>5049.890360559235</v>
      </c>
      <c r="V167" s="149">
        <f t="shared" si="37"/>
        <v>847.22594554819716</v>
      </c>
      <c r="W167" s="149">
        <f t="shared" si="39"/>
        <v>5049.890360559235</v>
      </c>
      <c r="X167" s="149">
        <v>0</v>
      </c>
      <c r="Y167" s="368">
        <v>0</v>
      </c>
      <c r="Z167" s="368">
        <v>0</v>
      </c>
      <c r="AA167" s="368">
        <v>0</v>
      </c>
      <c r="AB167" s="368">
        <v>0</v>
      </c>
      <c r="AC167" s="368">
        <v>0</v>
      </c>
      <c r="AD167" s="368">
        <v>0</v>
      </c>
      <c r="AE167" s="368">
        <v>550</v>
      </c>
      <c r="AF167" s="396">
        <f t="shared" si="41"/>
        <v>5049.890360559235</v>
      </c>
      <c r="AG167" s="368">
        <v>0</v>
      </c>
      <c r="AH167" s="396">
        <v>0</v>
      </c>
      <c r="AI167" s="368">
        <v>0</v>
      </c>
      <c r="AJ167" s="396">
        <v>0</v>
      </c>
      <c r="AK167" s="368">
        <v>0</v>
      </c>
      <c r="AL167" s="368">
        <v>0</v>
      </c>
      <c r="AM167" s="368">
        <v>0</v>
      </c>
      <c r="AN167" s="368"/>
      <c r="AO167" s="368">
        <v>0</v>
      </c>
    </row>
    <row r="168" spans="1:41" s="152" customFormat="1" ht="36" customHeight="1" x14ac:dyDescent="0.9">
      <c r="A168" s="152">
        <v>1</v>
      </c>
      <c r="B168" s="90">
        <f>SUBTOTAL(103,$A$16:A168)</f>
        <v>151</v>
      </c>
      <c r="C168" s="89" t="s">
        <v>404</v>
      </c>
      <c r="D168" s="163">
        <v>1973</v>
      </c>
      <c r="E168" s="163"/>
      <c r="F168" s="168" t="s">
        <v>270</v>
      </c>
      <c r="G168" s="163">
        <v>5</v>
      </c>
      <c r="H168" s="163">
        <v>2</v>
      </c>
      <c r="I168" s="167">
        <v>4577.26</v>
      </c>
      <c r="J168" s="167">
        <v>2783.1</v>
      </c>
      <c r="K168" s="167">
        <v>1846.94</v>
      </c>
      <c r="L168" s="165">
        <v>190</v>
      </c>
      <c r="M168" s="163" t="s">
        <v>268</v>
      </c>
      <c r="N168" s="163" t="s">
        <v>272</v>
      </c>
      <c r="O168" s="166" t="s">
        <v>331</v>
      </c>
      <c r="P168" s="167">
        <v>3951540.32</v>
      </c>
      <c r="Q168" s="167">
        <v>0</v>
      </c>
      <c r="R168" s="167">
        <v>0</v>
      </c>
      <c r="S168" s="167">
        <f t="shared" si="38"/>
        <v>3951540.32</v>
      </c>
      <c r="T168" s="167">
        <f t="shared" si="34"/>
        <v>863.29820023332729</v>
      </c>
      <c r="U168" s="167">
        <v>3259.66</v>
      </c>
      <c r="V168" s="149">
        <f t="shared" si="37"/>
        <v>2396.3617997666724</v>
      </c>
      <c r="W168" s="149">
        <f t="shared" si="39"/>
        <v>3259.66</v>
      </c>
      <c r="X168" s="149">
        <v>0</v>
      </c>
      <c r="Y168" s="368">
        <v>0</v>
      </c>
      <c r="Z168" s="368">
        <v>3259.66</v>
      </c>
      <c r="AA168" s="368">
        <v>0</v>
      </c>
      <c r="AB168" s="368">
        <v>0</v>
      </c>
      <c r="AC168" s="368">
        <v>0</v>
      </c>
      <c r="AD168" s="368">
        <v>0</v>
      </c>
      <c r="AE168" s="368">
        <v>0</v>
      </c>
      <c r="AF168" s="396">
        <v>0</v>
      </c>
      <c r="AG168" s="368">
        <v>0</v>
      </c>
      <c r="AH168" s="396">
        <v>0</v>
      </c>
      <c r="AI168" s="368">
        <v>0</v>
      </c>
      <c r="AJ168" s="396">
        <v>0</v>
      </c>
      <c r="AK168" s="368">
        <v>0</v>
      </c>
      <c r="AL168" s="368">
        <v>0</v>
      </c>
      <c r="AM168" s="368">
        <v>0</v>
      </c>
      <c r="AN168" s="368"/>
      <c r="AO168" s="368">
        <v>0</v>
      </c>
    </row>
    <row r="169" spans="1:41" s="152" customFormat="1" ht="36" customHeight="1" x14ac:dyDescent="0.9">
      <c r="A169" s="152">
        <v>1</v>
      </c>
      <c r="B169" s="90">
        <f>SUBTOTAL(103,$A$16:A169)</f>
        <v>152</v>
      </c>
      <c r="C169" s="89" t="s">
        <v>199</v>
      </c>
      <c r="D169" s="163">
        <v>1986</v>
      </c>
      <c r="E169" s="163"/>
      <c r="F169" s="168" t="s">
        <v>315</v>
      </c>
      <c r="G169" s="163">
        <v>5</v>
      </c>
      <c r="H169" s="163">
        <v>6</v>
      </c>
      <c r="I169" s="167">
        <v>5260.7000000000007</v>
      </c>
      <c r="J169" s="167">
        <v>4728.1000000000004</v>
      </c>
      <c r="K169" s="167">
        <v>4531.4000000000005</v>
      </c>
      <c r="L169" s="165">
        <v>196</v>
      </c>
      <c r="M169" s="163" t="s">
        <v>268</v>
      </c>
      <c r="N169" s="163" t="s">
        <v>272</v>
      </c>
      <c r="O169" s="166" t="s">
        <v>330</v>
      </c>
      <c r="P169" s="167">
        <v>2766905.7600000002</v>
      </c>
      <c r="Q169" s="167">
        <v>0</v>
      </c>
      <c r="R169" s="167">
        <v>0</v>
      </c>
      <c r="S169" s="167">
        <f t="shared" si="38"/>
        <v>2766905.7600000002</v>
      </c>
      <c r="T169" s="167">
        <f t="shared" si="34"/>
        <v>525.95771665367727</v>
      </c>
      <c r="U169" s="167">
        <v>1411.7509958750736</v>
      </c>
      <c r="V169" s="149">
        <f t="shared" si="37"/>
        <v>885.79327922139635</v>
      </c>
      <c r="W169" s="149">
        <f t="shared" si="39"/>
        <v>1411.7509958750736</v>
      </c>
      <c r="X169" s="149">
        <v>0</v>
      </c>
      <c r="Y169" s="368">
        <v>0</v>
      </c>
      <c r="Z169" s="368">
        <v>0</v>
      </c>
      <c r="AA169" s="368">
        <v>0</v>
      </c>
      <c r="AB169" s="368">
        <v>0</v>
      </c>
      <c r="AC169" s="368">
        <v>0</v>
      </c>
      <c r="AD169" s="368">
        <v>0</v>
      </c>
      <c r="AE169" s="368">
        <v>1190.4000000000001</v>
      </c>
      <c r="AF169" s="396">
        <f t="shared" ref="AF169:AF171" si="42">6238.91*AE169/I169</f>
        <v>1411.7509958750736</v>
      </c>
      <c r="AG169" s="368">
        <v>0</v>
      </c>
      <c r="AH169" s="396">
        <v>0</v>
      </c>
      <c r="AI169" s="368">
        <v>0</v>
      </c>
      <c r="AJ169" s="396">
        <v>0</v>
      </c>
      <c r="AK169" s="368">
        <v>0</v>
      </c>
      <c r="AL169" s="368">
        <v>0</v>
      </c>
      <c r="AM169" s="368">
        <v>0</v>
      </c>
      <c r="AN169" s="368"/>
      <c r="AO169" s="368">
        <v>0</v>
      </c>
    </row>
    <row r="170" spans="1:41" s="152" customFormat="1" ht="36" customHeight="1" x14ac:dyDescent="0.9">
      <c r="A170" s="152">
        <v>1</v>
      </c>
      <c r="B170" s="90">
        <f>SUBTOTAL(103,$A$16:A170)</f>
        <v>153</v>
      </c>
      <c r="C170" s="89" t="s">
        <v>405</v>
      </c>
      <c r="D170" s="163">
        <v>1951</v>
      </c>
      <c r="E170" s="163"/>
      <c r="F170" s="168" t="s">
        <v>328</v>
      </c>
      <c r="G170" s="163">
        <v>2</v>
      </c>
      <c r="H170" s="163">
        <v>1</v>
      </c>
      <c r="I170" s="167">
        <v>380.35</v>
      </c>
      <c r="J170" s="167">
        <v>339.86</v>
      </c>
      <c r="K170" s="167">
        <v>339.86</v>
      </c>
      <c r="L170" s="165">
        <v>17</v>
      </c>
      <c r="M170" s="163" t="s">
        <v>268</v>
      </c>
      <c r="N170" s="163" t="s">
        <v>272</v>
      </c>
      <c r="O170" s="166" t="s">
        <v>325</v>
      </c>
      <c r="P170" s="167">
        <v>1828369.47</v>
      </c>
      <c r="Q170" s="167">
        <v>0</v>
      </c>
      <c r="R170" s="167">
        <v>0</v>
      </c>
      <c r="S170" s="167">
        <f t="shared" si="38"/>
        <v>1828369.47</v>
      </c>
      <c r="T170" s="167">
        <f t="shared" si="34"/>
        <v>4807.0710398317333</v>
      </c>
      <c r="U170" s="167">
        <v>5609.8520310240556</v>
      </c>
      <c r="V170" s="149">
        <f t="shared" si="37"/>
        <v>802.78099119232229</v>
      </c>
      <c r="W170" s="149">
        <f t="shared" si="39"/>
        <v>5609.8520310240556</v>
      </c>
      <c r="X170" s="149">
        <v>0</v>
      </c>
      <c r="Y170" s="368">
        <v>0</v>
      </c>
      <c r="Z170" s="368">
        <v>0</v>
      </c>
      <c r="AA170" s="368">
        <v>0</v>
      </c>
      <c r="AB170" s="368">
        <v>0</v>
      </c>
      <c r="AC170" s="368">
        <v>0</v>
      </c>
      <c r="AD170" s="368">
        <v>0</v>
      </c>
      <c r="AE170" s="368">
        <v>342</v>
      </c>
      <c r="AF170" s="396">
        <f t="shared" si="42"/>
        <v>5609.8520310240556</v>
      </c>
      <c r="AG170" s="368">
        <v>0</v>
      </c>
      <c r="AH170" s="396">
        <v>0</v>
      </c>
      <c r="AI170" s="368">
        <v>0</v>
      </c>
      <c r="AJ170" s="396">
        <v>0</v>
      </c>
      <c r="AK170" s="368">
        <v>0</v>
      </c>
      <c r="AL170" s="368">
        <v>0</v>
      </c>
      <c r="AM170" s="368">
        <v>0</v>
      </c>
      <c r="AN170" s="368"/>
      <c r="AO170" s="368">
        <v>0</v>
      </c>
    </row>
    <row r="171" spans="1:41" s="152" customFormat="1" ht="36" customHeight="1" x14ac:dyDescent="0.9">
      <c r="A171" s="152">
        <v>1</v>
      </c>
      <c r="B171" s="90">
        <f>SUBTOTAL(103,$A$16:A171)</f>
        <v>154</v>
      </c>
      <c r="C171" s="89" t="s">
        <v>406</v>
      </c>
      <c r="D171" s="163">
        <v>1972</v>
      </c>
      <c r="E171" s="163"/>
      <c r="F171" s="168" t="s">
        <v>270</v>
      </c>
      <c r="G171" s="163">
        <v>5</v>
      </c>
      <c r="H171" s="163">
        <v>8</v>
      </c>
      <c r="I171" s="167">
        <v>6552.3399999999992</v>
      </c>
      <c r="J171" s="167">
        <v>6023.94</v>
      </c>
      <c r="K171" s="167">
        <v>5588.4599999999991</v>
      </c>
      <c r="L171" s="165">
        <v>285</v>
      </c>
      <c r="M171" s="163" t="s">
        <v>268</v>
      </c>
      <c r="N171" s="163" t="s">
        <v>272</v>
      </c>
      <c r="O171" s="166" t="s">
        <v>332</v>
      </c>
      <c r="P171" s="167">
        <v>9454848.4199999999</v>
      </c>
      <c r="Q171" s="167">
        <v>0</v>
      </c>
      <c r="R171" s="167">
        <v>0</v>
      </c>
      <c r="S171" s="167">
        <f t="shared" si="38"/>
        <v>9454848.4199999999</v>
      </c>
      <c r="T171" s="167">
        <f t="shared" si="34"/>
        <v>1442.9728036090926</v>
      </c>
      <c r="U171" s="167">
        <v>1925.2779953421223</v>
      </c>
      <c r="V171" s="149">
        <f t="shared" si="37"/>
        <v>482.30519173302969</v>
      </c>
      <c r="W171" s="149">
        <f t="shared" si="39"/>
        <v>1925.2779953421223</v>
      </c>
      <c r="X171" s="149">
        <v>0</v>
      </c>
      <c r="Y171" s="368">
        <v>0</v>
      </c>
      <c r="Z171" s="368">
        <v>0</v>
      </c>
      <c r="AA171" s="368">
        <v>0</v>
      </c>
      <c r="AB171" s="368">
        <v>0</v>
      </c>
      <c r="AC171" s="368">
        <v>0</v>
      </c>
      <c r="AD171" s="368">
        <v>0</v>
      </c>
      <c r="AE171" s="368">
        <v>2022</v>
      </c>
      <c r="AF171" s="396">
        <f t="shared" si="42"/>
        <v>1925.2779953421223</v>
      </c>
      <c r="AG171" s="368">
        <v>0</v>
      </c>
      <c r="AH171" s="396">
        <v>0</v>
      </c>
      <c r="AI171" s="368">
        <v>0</v>
      </c>
      <c r="AJ171" s="396">
        <v>0</v>
      </c>
      <c r="AK171" s="368">
        <v>0</v>
      </c>
      <c r="AL171" s="368">
        <v>0</v>
      </c>
      <c r="AM171" s="368">
        <v>0</v>
      </c>
      <c r="AN171" s="368"/>
      <c r="AO171" s="368">
        <v>0</v>
      </c>
    </row>
    <row r="172" spans="1:41" s="152" customFormat="1" ht="36" customHeight="1" x14ac:dyDescent="0.9">
      <c r="A172" s="152">
        <v>1</v>
      </c>
      <c r="B172" s="90">
        <f>SUBTOTAL(103,$A$16:A172)</f>
        <v>155</v>
      </c>
      <c r="C172" s="89" t="s">
        <v>1166</v>
      </c>
      <c r="D172" s="163">
        <v>1958</v>
      </c>
      <c r="E172" s="163"/>
      <c r="F172" s="168" t="s">
        <v>270</v>
      </c>
      <c r="G172" s="163">
        <v>2</v>
      </c>
      <c r="H172" s="163">
        <v>2</v>
      </c>
      <c r="I172" s="167">
        <v>731.63</v>
      </c>
      <c r="J172" s="167">
        <v>675.13</v>
      </c>
      <c r="K172" s="167">
        <v>675.13</v>
      </c>
      <c r="L172" s="165">
        <v>28</v>
      </c>
      <c r="M172" s="163" t="s">
        <v>268</v>
      </c>
      <c r="N172" s="163" t="s">
        <v>269</v>
      </c>
      <c r="O172" s="166" t="s">
        <v>271</v>
      </c>
      <c r="P172" s="167">
        <v>2217294.33</v>
      </c>
      <c r="Q172" s="167">
        <v>0</v>
      </c>
      <c r="R172" s="167">
        <v>0</v>
      </c>
      <c r="S172" s="167">
        <f t="shared" si="38"/>
        <v>2217294.33</v>
      </c>
      <c r="T172" s="167">
        <f t="shared" si="34"/>
        <v>3030.622486776103</v>
      </c>
      <c r="U172" s="167">
        <v>4341.5</v>
      </c>
      <c r="V172" s="149">
        <f t="shared" si="37"/>
        <v>1310.877513223897</v>
      </c>
      <c r="W172" s="149">
        <f t="shared" si="39"/>
        <v>4341.5</v>
      </c>
      <c r="X172" s="149">
        <v>101.55</v>
      </c>
      <c r="Y172" s="368">
        <v>0</v>
      </c>
      <c r="Z172" s="368">
        <v>3259.66</v>
      </c>
      <c r="AA172" s="368">
        <v>184.98</v>
      </c>
      <c r="AB172" s="368">
        <v>795.31</v>
      </c>
      <c r="AC172" s="368">
        <v>0</v>
      </c>
      <c r="AD172" s="368">
        <v>0</v>
      </c>
      <c r="AE172" s="368">
        <v>0</v>
      </c>
      <c r="AF172" s="396">
        <v>0</v>
      </c>
      <c r="AG172" s="368">
        <v>0</v>
      </c>
      <c r="AH172" s="396">
        <v>0</v>
      </c>
      <c r="AI172" s="368">
        <v>0</v>
      </c>
      <c r="AJ172" s="396">
        <v>0</v>
      </c>
      <c r="AK172" s="368">
        <v>0</v>
      </c>
      <c r="AL172" s="368">
        <v>0</v>
      </c>
      <c r="AM172" s="368">
        <v>0</v>
      </c>
      <c r="AN172" s="368"/>
      <c r="AO172" s="368">
        <v>0</v>
      </c>
    </row>
    <row r="173" spans="1:41" s="152" customFormat="1" ht="36" customHeight="1" x14ac:dyDescent="0.9">
      <c r="A173" s="152">
        <v>1</v>
      </c>
      <c r="B173" s="90">
        <f>SUBTOTAL(103,$A$16:A173)</f>
        <v>156</v>
      </c>
      <c r="C173" s="89" t="s">
        <v>1167</v>
      </c>
      <c r="D173" s="163">
        <v>1963</v>
      </c>
      <c r="E173" s="163"/>
      <c r="F173" s="168" t="s">
        <v>270</v>
      </c>
      <c r="G173" s="163">
        <v>3</v>
      </c>
      <c r="H173" s="163">
        <v>2</v>
      </c>
      <c r="I173" s="167">
        <v>720.17000000000007</v>
      </c>
      <c r="J173" s="167">
        <v>519.07000000000005</v>
      </c>
      <c r="K173" s="167">
        <v>460.94000000000005</v>
      </c>
      <c r="L173" s="165">
        <v>18</v>
      </c>
      <c r="M173" s="163" t="s">
        <v>268</v>
      </c>
      <c r="N173" s="163" t="s">
        <v>269</v>
      </c>
      <c r="O173" s="166" t="s">
        <v>271</v>
      </c>
      <c r="P173" s="167">
        <v>1557950.91</v>
      </c>
      <c r="Q173" s="167">
        <v>0</v>
      </c>
      <c r="R173" s="167">
        <v>0</v>
      </c>
      <c r="S173" s="167">
        <f t="shared" si="38"/>
        <v>1557950.91</v>
      </c>
      <c r="T173" s="167">
        <f t="shared" si="34"/>
        <v>2163.3099268228329</v>
      </c>
      <c r="U173" s="167">
        <v>2867.488523543052</v>
      </c>
      <c r="V173" s="149">
        <f t="shared" si="37"/>
        <v>704.17859672021905</v>
      </c>
      <c r="W173" s="149">
        <f t="shared" si="39"/>
        <v>2867.488523543052</v>
      </c>
      <c r="X173" s="149">
        <v>0</v>
      </c>
      <c r="Y173" s="368">
        <v>0</v>
      </c>
      <c r="Z173" s="368">
        <v>0</v>
      </c>
      <c r="AA173" s="368">
        <v>0</v>
      </c>
      <c r="AB173" s="368">
        <v>0</v>
      </c>
      <c r="AC173" s="368">
        <v>0</v>
      </c>
      <c r="AD173" s="368">
        <v>0</v>
      </c>
      <c r="AE173" s="368">
        <v>331</v>
      </c>
      <c r="AF173" s="396">
        <f>6238.91*AE173/I173</f>
        <v>2867.488523543052</v>
      </c>
      <c r="AG173" s="368">
        <v>0</v>
      </c>
      <c r="AH173" s="396">
        <v>0</v>
      </c>
      <c r="AI173" s="368">
        <v>0</v>
      </c>
      <c r="AJ173" s="396">
        <v>0</v>
      </c>
      <c r="AK173" s="368">
        <v>0</v>
      </c>
      <c r="AL173" s="368">
        <v>0</v>
      </c>
      <c r="AM173" s="368">
        <v>0</v>
      </c>
      <c r="AN173" s="368"/>
      <c r="AO173" s="368">
        <v>0</v>
      </c>
    </row>
    <row r="174" spans="1:41" s="152" customFormat="1" ht="36" customHeight="1" x14ac:dyDescent="0.9">
      <c r="A174" s="152">
        <v>1</v>
      </c>
      <c r="B174" s="90">
        <f>SUBTOTAL(103,$A$16:A174)</f>
        <v>157</v>
      </c>
      <c r="C174" s="89" t="s">
        <v>1169</v>
      </c>
      <c r="D174" s="163">
        <v>1989</v>
      </c>
      <c r="E174" s="163"/>
      <c r="F174" s="168" t="s">
        <v>270</v>
      </c>
      <c r="G174" s="163">
        <v>9</v>
      </c>
      <c r="H174" s="163">
        <v>2</v>
      </c>
      <c r="I174" s="167">
        <v>4429.1000000000004</v>
      </c>
      <c r="J174" s="167">
        <v>3931.9</v>
      </c>
      <c r="K174" s="167">
        <v>3418.9</v>
      </c>
      <c r="L174" s="165">
        <v>175</v>
      </c>
      <c r="M174" s="163" t="s">
        <v>268</v>
      </c>
      <c r="N174" s="163" t="s">
        <v>272</v>
      </c>
      <c r="O174" s="166" t="s">
        <v>329</v>
      </c>
      <c r="P174" s="167">
        <v>2712861.94</v>
      </c>
      <c r="Q174" s="167">
        <v>0</v>
      </c>
      <c r="R174" s="167">
        <v>0</v>
      </c>
      <c r="S174" s="167">
        <f t="shared" si="38"/>
        <v>2712861.94</v>
      </c>
      <c r="T174" s="167">
        <f t="shared" si="34"/>
        <v>612.50862251924764</v>
      </c>
      <c r="U174" s="167">
        <v>1109.8417285678804</v>
      </c>
      <c r="V174" s="149">
        <f t="shared" si="37"/>
        <v>497.33310604863277</v>
      </c>
      <c r="W174" s="149">
        <f t="shared" si="39"/>
        <v>1109.8417285678804</v>
      </c>
      <c r="X174" s="149">
        <v>0</v>
      </c>
      <c r="Y174" s="368">
        <v>0</v>
      </c>
      <c r="Z174" s="368">
        <v>0</v>
      </c>
      <c r="AA174" s="368">
        <v>0</v>
      </c>
      <c r="AB174" s="368">
        <v>0</v>
      </c>
      <c r="AC174" s="368">
        <v>2</v>
      </c>
      <c r="AD174" s="396">
        <f>2457800*AC174/I174</f>
        <v>1109.8417285678804</v>
      </c>
      <c r="AE174" s="368">
        <v>0</v>
      </c>
      <c r="AF174" s="396">
        <v>0</v>
      </c>
      <c r="AG174" s="368">
        <v>0</v>
      </c>
      <c r="AH174" s="396">
        <v>0</v>
      </c>
      <c r="AI174" s="368">
        <v>0</v>
      </c>
      <c r="AJ174" s="396">
        <v>0</v>
      </c>
      <c r="AK174" s="368">
        <v>0</v>
      </c>
      <c r="AL174" s="368">
        <v>0</v>
      </c>
      <c r="AM174" s="368">
        <v>0</v>
      </c>
      <c r="AN174" s="368"/>
      <c r="AO174" s="368">
        <v>0</v>
      </c>
    </row>
    <row r="175" spans="1:41" s="152" customFormat="1" ht="36" customHeight="1" x14ac:dyDescent="0.9">
      <c r="A175" s="152">
        <v>1</v>
      </c>
      <c r="B175" s="90">
        <f>SUBTOTAL(103,$A$16:A175)</f>
        <v>158</v>
      </c>
      <c r="C175" s="89" t="s">
        <v>1170</v>
      </c>
      <c r="D175" s="163">
        <v>1964</v>
      </c>
      <c r="E175" s="163"/>
      <c r="F175" s="168" t="s">
        <v>270</v>
      </c>
      <c r="G175" s="163">
        <v>2</v>
      </c>
      <c r="H175" s="163">
        <v>2</v>
      </c>
      <c r="I175" s="167">
        <v>634.5</v>
      </c>
      <c r="J175" s="167">
        <v>384.9</v>
      </c>
      <c r="K175" s="167">
        <v>253.53999999999996</v>
      </c>
      <c r="L175" s="165">
        <v>27</v>
      </c>
      <c r="M175" s="163" t="s">
        <v>268</v>
      </c>
      <c r="N175" s="163" t="s">
        <v>272</v>
      </c>
      <c r="O175" s="166" t="s">
        <v>330</v>
      </c>
      <c r="P175" s="167">
        <v>211626.35</v>
      </c>
      <c r="Q175" s="167">
        <v>0</v>
      </c>
      <c r="R175" s="167">
        <v>0</v>
      </c>
      <c r="S175" s="167">
        <f t="shared" si="38"/>
        <v>211626.35</v>
      </c>
      <c r="T175" s="167">
        <f t="shared" si="34"/>
        <v>333.53246650906226</v>
      </c>
      <c r="U175" s="167">
        <v>2307.4255183609143</v>
      </c>
      <c r="V175" s="149">
        <f t="shared" si="37"/>
        <v>1973.8930518518521</v>
      </c>
      <c r="W175" s="149">
        <f t="shared" si="39"/>
        <v>2307.4255183609143</v>
      </c>
      <c r="X175" s="149">
        <v>0</v>
      </c>
      <c r="Y175" s="368">
        <v>0</v>
      </c>
      <c r="Z175" s="368">
        <v>0</v>
      </c>
      <c r="AA175" s="368">
        <v>0</v>
      </c>
      <c r="AB175" s="368">
        <v>0</v>
      </c>
      <c r="AC175" s="368">
        <v>0</v>
      </c>
      <c r="AD175" s="368">
        <v>0</v>
      </c>
      <c r="AE175" s="368">
        <v>0</v>
      </c>
      <c r="AF175" s="396">
        <v>0</v>
      </c>
      <c r="AG175" s="368">
        <v>0</v>
      </c>
      <c r="AH175" s="396">
        <v>0</v>
      </c>
      <c r="AI175" s="368">
        <v>0</v>
      </c>
      <c r="AJ175" s="396">
        <v>0</v>
      </c>
      <c r="AK175" s="368">
        <v>19.07</v>
      </c>
      <c r="AL175" s="396">
        <f>76773.02*AK175/I175</f>
        <v>2307.4255183609143</v>
      </c>
      <c r="AM175" s="368">
        <v>0</v>
      </c>
      <c r="AN175" s="368"/>
      <c r="AO175" s="368">
        <v>0</v>
      </c>
    </row>
    <row r="176" spans="1:41" s="152" customFormat="1" ht="36" customHeight="1" x14ac:dyDescent="0.9">
      <c r="A176" s="152">
        <v>1</v>
      </c>
      <c r="B176" s="90">
        <f>SUBTOTAL(103,$A$16:A176)</f>
        <v>159</v>
      </c>
      <c r="C176" s="89" t="s">
        <v>1171</v>
      </c>
      <c r="D176" s="163">
        <v>1971</v>
      </c>
      <c r="E176" s="163"/>
      <c r="F176" s="168" t="s">
        <v>270</v>
      </c>
      <c r="G176" s="163">
        <v>5</v>
      </c>
      <c r="H176" s="163">
        <v>6</v>
      </c>
      <c r="I176" s="167">
        <v>5698.2</v>
      </c>
      <c r="J176" s="167">
        <v>4475.3999999999996</v>
      </c>
      <c r="K176" s="167">
        <v>4355.8399999999992</v>
      </c>
      <c r="L176" s="165">
        <v>172</v>
      </c>
      <c r="M176" s="163" t="s">
        <v>268</v>
      </c>
      <c r="N176" s="163" t="s">
        <v>272</v>
      </c>
      <c r="O176" s="166" t="s">
        <v>332</v>
      </c>
      <c r="P176" s="167">
        <v>2878164.01</v>
      </c>
      <c r="Q176" s="167">
        <v>0</v>
      </c>
      <c r="R176" s="167">
        <v>0</v>
      </c>
      <c r="S176" s="167">
        <f t="shared" si="38"/>
        <v>2878164.01</v>
      </c>
      <c r="T176" s="167">
        <f t="shared" si="34"/>
        <v>505.1005598259099</v>
      </c>
      <c r="U176" s="167">
        <v>1129.3822926538207</v>
      </c>
      <c r="V176" s="149">
        <f t="shared" si="37"/>
        <v>624.2817328279109</v>
      </c>
      <c r="W176" s="149">
        <f t="shared" si="39"/>
        <v>1129.3822926538207</v>
      </c>
      <c r="X176" s="149">
        <v>0</v>
      </c>
      <c r="Y176" s="368">
        <v>0</v>
      </c>
      <c r="Z176" s="368">
        <v>0</v>
      </c>
      <c r="AA176" s="368">
        <v>0</v>
      </c>
      <c r="AB176" s="368">
        <v>0</v>
      </c>
      <c r="AC176" s="368">
        <v>0</v>
      </c>
      <c r="AD176" s="368">
        <v>0</v>
      </c>
      <c r="AE176" s="368">
        <v>0</v>
      </c>
      <c r="AF176" s="396">
        <v>0</v>
      </c>
      <c r="AG176" s="368">
        <v>725.5</v>
      </c>
      <c r="AH176" s="396">
        <f>8870.36*AG176/I176</f>
        <v>1129.3822926538207</v>
      </c>
      <c r="AI176" s="368">
        <v>0</v>
      </c>
      <c r="AJ176" s="396">
        <v>0</v>
      </c>
      <c r="AK176" s="368">
        <v>0</v>
      </c>
      <c r="AL176" s="368">
        <v>0</v>
      </c>
      <c r="AM176" s="368">
        <v>0</v>
      </c>
      <c r="AN176" s="368"/>
      <c r="AO176" s="368">
        <v>0</v>
      </c>
    </row>
    <row r="177" spans="1:41" s="152" customFormat="1" ht="36" customHeight="1" x14ac:dyDescent="0.9">
      <c r="A177" s="152">
        <v>1</v>
      </c>
      <c r="B177" s="90">
        <f>SUBTOTAL(103,$A$16:A177)</f>
        <v>160</v>
      </c>
      <c r="C177" s="89" t="s">
        <v>1172</v>
      </c>
      <c r="D177" s="163">
        <v>1991</v>
      </c>
      <c r="E177" s="163"/>
      <c r="F177" s="168" t="s">
        <v>290</v>
      </c>
      <c r="G177" s="163">
        <v>9</v>
      </c>
      <c r="H177" s="163">
        <v>2</v>
      </c>
      <c r="I177" s="167">
        <v>4200.6000000000004</v>
      </c>
      <c r="J177" s="167">
        <v>3780.6</v>
      </c>
      <c r="K177" s="167">
        <v>3265.6</v>
      </c>
      <c r="L177" s="165">
        <v>172</v>
      </c>
      <c r="M177" s="163" t="s">
        <v>268</v>
      </c>
      <c r="N177" s="163" t="s">
        <v>272</v>
      </c>
      <c r="O177" s="166" t="s">
        <v>325</v>
      </c>
      <c r="P177" s="167">
        <v>2712861.94</v>
      </c>
      <c r="Q177" s="167">
        <v>0</v>
      </c>
      <c r="R177" s="167">
        <v>0</v>
      </c>
      <c r="S177" s="167">
        <f t="shared" si="38"/>
        <v>2712861.94</v>
      </c>
      <c r="T177" s="167">
        <f t="shared" si="34"/>
        <v>645.82724848831117</v>
      </c>
      <c r="U177" s="167">
        <v>1170.2137789839546</v>
      </c>
      <c r="V177" s="149">
        <f t="shared" si="37"/>
        <v>524.38653049564346</v>
      </c>
      <c r="W177" s="149">
        <f t="shared" si="39"/>
        <v>1170.2137789839546</v>
      </c>
      <c r="X177" s="149">
        <v>0</v>
      </c>
      <c r="Y177" s="368">
        <v>0</v>
      </c>
      <c r="Z177" s="368">
        <v>0</v>
      </c>
      <c r="AA177" s="368">
        <v>0</v>
      </c>
      <c r="AB177" s="368">
        <v>0</v>
      </c>
      <c r="AC177" s="368">
        <v>2</v>
      </c>
      <c r="AD177" s="396">
        <f>2457800*AC177/I177</f>
        <v>1170.2137789839546</v>
      </c>
      <c r="AE177" s="368">
        <v>0</v>
      </c>
      <c r="AF177" s="396">
        <v>0</v>
      </c>
      <c r="AG177" s="368">
        <v>0</v>
      </c>
      <c r="AH177" s="396">
        <v>0</v>
      </c>
      <c r="AI177" s="368">
        <v>0</v>
      </c>
      <c r="AJ177" s="396">
        <v>0</v>
      </c>
      <c r="AK177" s="368">
        <v>0</v>
      </c>
      <c r="AL177" s="368">
        <v>0</v>
      </c>
      <c r="AM177" s="368">
        <v>0</v>
      </c>
      <c r="AN177" s="368"/>
      <c r="AO177" s="368">
        <v>0</v>
      </c>
    </row>
    <row r="178" spans="1:41" s="152" customFormat="1" ht="36" customHeight="1" x14ac:dyDescent="0.9">
      <c r="A178" s="152">
        <v>1</v>
      </c>
      <c r="B178" s="90">
        <f>SUBTOTAL(103,$A$16:A178)</f>
        <v>161</v>
      </c>
      <c r="C178" s="89" t="s">
        <v>1173</v>
      </c>
      <c r="D178" s="163">
        <v>1963</v>
      </c>
      <c r="E178" s="163"/>
      <c r="F178" s="168" t="s">
        <v>270</v>
      </c>
      <c r="G178" s="163">
        <v>4</v>
      </c>
      <c r="H178" s="163">
        <v>4</v>
      </c>
      <c r="I178" s="167">
        <v>2581.1</v>
      </c>
      <c r="J178" s="167">
        <v>2477.4</v>
      </c>
      <c r="K178" s="167">
        <v>2303.4</v>
      </c>
      <c r="L178" s="165">
        <v>110</v>
      </c>
      <c r="M178" s="163" t="s">
        <v>268</v>
      </c>
      <c r="N178" s="163" t="s">
        <v>272</v>
      </c>
      <c r="O178" s="166" t="s">
        <v>1004</v>
      </c>
      <c r="P178" s="167">
        <v>2771146.97</v>
      </c>
      <c r="Q178" s="167">
        <v>0</v>
      </c>
      <c r="R178" s="167">
        <v>0</v>
      </c>
      <c r="S178" s="167">
        <f t="shared" si="38"/>
        <v>2771146.97</v>
      </c>
      <c r="T178" s="167">
        <f t="shared" si="34"/>
        <v>1073.6302235480998</v>
      </c>
      <c r="U178" s="167">
        <v>3259.66</v>
      </c>
      <c r="V178" s="149">
        <f t="shared" si="37"/>
        <v>2186.0297764519</v>
      </c>
      <c r="W178" s="149">
        <f t="shared" si="39"/>
        <v>3259.66</v>
      </c>
      <c r="X178" s="149">
        <v>0</v>
      </c>
      <c r="Y178" s="368">
        <v>0</v>
      </c>
      <c r="Z178" s="368">
        <v>3259.66</v>
      </c>
      <c r="AA178" s="368">
        <v>0</v>
      </c>
      <c r="AB178" s="368">
        <v>0</v>
      </c>
      <c r="AC178" s="368">
        <v>0</v>
      </c>
      <c r="AD178" s="368">
        <v>0</v>
      </c>
      <c r="AE178" s="368">
        <v>0</v>
      </c>
      <c r="AF178" s="396">
        <v>0</v>
      </c>
      <c r="AG178" s="368">
        <v>0</v>
      </c>
      <c r="AH178" s="396">
        <v>0</v>
      </c>
      <c r="AI178" s="368">
        <v>0</v>
      </c>
      <c r="AJ178" s="396">
        <v>0</v>
      </c>
      <c r="AK178" s="368">
        <v>0</v>
      </c>
      <c r="AL178" s="368">
        <v>0</v>
      </c>
      <c r="AM178" s="368">
        <v>0</v>
      </c>
      <c r="AN178" s="368"/>
      <c r="AO178" s="368">
        <v>0</v>
      </c>
    </row>
    <row r="179" spans="1:41" s="152" customFormat="1" ht="36" customHeight="1" x14ac:dyDescent="0.9">
      <c r="A179" s="152">
        <v>1</v>
      </c>
      <c r="B179" s="90">
        <f>SUBTOTAL(103,$A$16:A179)</f>
        <v>162</v>
      </c>
      <c r="C179" s="89" t="s">
        <v>1174</v>
      </c>
      <c r="D179" s="163">
        <v>1959</v>
      </c>
      <c r="E179" s="163"/>
      <c r="F179" s="168" t="s">
        <v>270</v>
      </c>
      <c r="G179" s="163">
        <v>2</v>
      </c>
      <c r="H179" s="163">
        <v>2</v>
      </c>
      <c r="I179" s="167">
        <v>598.02</v>
      </c>
      <c r="J179" s="167">
        <v>552.82000000000005</v>
      </c>
      <c r="K179" s="167">
        <v>452.65</v>
      </c>
      <c r="L179" s="165">
        <v>31</v>
      </c>
      <c r="M179" s="163" t="s">
        <v>268</v>
      </c>
      <c r="N179" s="163" t="s">
        <v>272</v>
      </c>
      <c r="O179" s="166" t="s">
        <v>332</v>
      </c>
      <c r="P179" s="167">
        <v>2438759.5300000003</v>
      </c>
      <c r="Q179" s="167">
        <v>0</v>
      </c>
      <c r="R179" s="167">
        <v>0</v>
      </c>
      <c r="S179" s="167">
        <f t="shared" si="38"/>
        <v>2438759.5300000003</v>
      </c>
      <c r="T179" s="167">
        <f t="shared" si="34"/>
        <v>4078.0568041202641</v>
      </c>
      <c r="U179" s="167">
        <v>4976.3554228955554</v>
      </c>
      <c r="V179" s="149">
        <f t="shared" si="37"/>
        <v>898.29861877529129</v>
      </c>
      <c r="W179" s="149">
        <f t="shared" si="39"/>
        <v>4976.3554228955554</v>
      </c>
      <c r="X179" s="149">
        <v>0</v>
      </c>
      <c r="Y179" s="368">
        <v>0</v>
      </c>
      <c r="Z179" s="368">
        <v>0</v>
      </c>
      <c r="AA179" s="368">
        <v>0</v>
      </c>
      <c r="AB179" s="368">
        <v>0</v>
      </c>
      <c r="AC179" s="368">
        <v>0</v>
      </c>
      <c r="AD179" s="368">
        <v>0</v>
      </c>
      <c r="AE179" s="368">
        <v>477</v>
      </c>
      <c r="AF179" s="396">
        <f>6238.91*AE179/I179</f>
        <v>4976.3554228955554</v>
      </c>
      <c r="AG179" s="368">
        <v>0</v>
      </c>
      <c r="AH179" s="396">
        <v>0</v>
      </c>
      <c r="AI179" s="368">
        <v>0</v>
      </c>
      <c r="AJ179" s="396">
        <v>0</v>
      </c>
      <c r="AK179" s="368">
        <v>0</v>
      </c>
      <c r="AL179" s="368">
        <v>0</v>
      </c>
      <c r="AM179" s="368">
        <v>0</v>
      </c>
      <c r="AN179" s="368"/>
      <c r="AO179" s="368">
        <v>0</v>
      </c>
    </row>
    <row r="180" spans="1:41" s="152" customFormat="1" ht="36" customHeight="1" x14ac:dyDescent="0.9">
      <c r="A180" s="152">
        <v>1</v>
      </c>
      <c r="B180" s="90">
        <f>SUBTOTAL(103,$A$16:A180)</f>
        <v>163</v>
      </c>
      <c r="C180" s="89" t="s">
        <v>1175</v>
      </c>
      <c r="D180" s="163">
        <v>1959</v>
      </c>
      <c r="E180" s="163"/>
      <c r="F180" s="168" t="s">
        <v>270</v>
      </c>
      <c r="G180" s="163">
        <v>4</v>
      </c>
      <c r="H180" s="163">
        <v>2</v>
      </c>
      <c r="I180" s="167">
        <v>1378.3</v>
      </c>
      <c r="J180" s="167">
        <v>1280.9000000000001</v>
      </c>
      <c r="K180" s="167">
        <v>1171.7</v>
      </c>
      <c r="L180" s="165">
        <v>83</v>
      </c>
      <c r="M180" s="163" t="s">
        <v>268</v>
      </c>
      <c r="N180" s="163" t="s">
        <v>272</v>
      </c>
      <c r="O180" s="166" t="s">
        <v>332</v>
      </c>
      <c r="P180" s="167">
        <v>464475.87</v>
      </c>
      <c r="Q180" s="167">
        <v>0</v>
      </c>
      <c r="R180" s="167">
        <v>0</v>
      </c>
      <c r="S180" s="167">
        <f t="shared" si="38"/>
        <v>464475.87</v>
      </c>
      <c r="T180" s="167">
        <f t="shared" si="34"/>
        <v>336.99185228179641</v>
      </c>
      <c r="U180" s="167">
        <v>795.31</v>
      </c>
      <c r="V180" s="149">
        <f t="shared" si="37"/>
        <v>458.31814771820353</v>
      </c>
      <c r="W180" s="149">
        <f t="shared" si="39"/>
        <v>795.31</v>
      </c>
      <c r="X180" s="149">
        <v>0</v>
      </c>
      <c r="Y180" s="368">
        <v>0</v>
      </c>
      <c r="Z180" s="368">
        <v>0</v>
      </c>
      <c r="AA180" s="368">
        <v>0</v>
      </c>
      <c r="AB180" s="368">
        <v>795.31</v>
      </c>
      <c r="AC180" s="368">
        <v>0</v>
      </c>
      <c r="AD180" s="368">
        <v>0</v>
      </c>
      <c r="AE180" s="368">
        <v>0</v>
      </c>
      <c r="AF180" s="396">
        <v>0</v>
      </c>
      <c r="AG180" s="368">
        <v>0</v>
      </c>
      <c r="AH180" s="396">
        <v>0</v>
      </c>
      <c r="AI180" s="368">
        <v>0</v>
      </c>
      <c r="AJ180" s="396">
        <v>0</v>
      </c>
      <c r="AK180" s="368">
        <v>0</v>
      </c>
      <c r="AL180" s="368">
        <v>0</v>
      </c>
      <c r="AM180" s="368">
        <v>0</v>
      </c>
      <c r="AN180" s="368"/>
      <c r="AO180" s="368">
        <v>0</v>
      </c>
    </row>
    <row r="181" spans="1:41" s="152" customFormat="1" ht="36" customHeight="1" x14ac:dyDescent="0.9">
      <c r="A181" s="152">
        <v>1</v>
      </c>
      <c r="B181" s="90">
        <f>SUBTOTAL(103,$A$16:A181)</f>
        <v>164</v>
      </c>
      <c r="C181" s="89" t="s">
        <v>1176</v>
      </c>
      <c r="D181" s="163">
        <v>1963</v>
      </c>
      <c r="E181" s="163"/>
      <c r="F181" s="168" t="s">
        <v>270</v>
      </c>
      <c r="G181" s="163">
        <v>2</v>
      </c>
      <c r="H181" s="163">
        <v>2</v>
      </c>
      <c r="I181" s="167">
        <v>672.43</v>
      </c>
      <c r="J181" s="167">
        <v>623.04</v>
      </c>
      <c r="K181" s="167">
        <v>623.04</v>
      </c>
      <c r="L181" s="165">
        <v>42</v>
      </c>
      <c r="M181" s="163" t="s">
        <v>268</v>
      </c>
      <c r="N181" s="163" t="s">
        <v>272</v>
      </c>
      <c r="O181" s="166" t="s">
        <v>330</v>
      </c>
      <c r="P181" s="167">
        <v>198184.86</v>
      </c>
      <c r="Q181" s="167">
        <v>0</v>
      </c>
      <c r="R181" s="167">
        <v>0</v>
      </c>
      <c r="S181" s="167">
        <f t="shared" si="38"/>
        <v>198184.86</v>
      </c>
      <c r="T181" s="167">
        <f t="shared" si="34"/>
        <v>294.72935472837321</v>
      </c>
      <c r="U181" s="167">
        <v>795.31</v>
      </c>
      <c r="V181" s="149">
        <f t="shared" si="37"/>
        <v>500.58064527162674</v>
      </c>
      <c r="W181" s="149">
        <f t="shared" si="39"/>
        <v>795.31</v>
      </c>
      <c r="X181" s="149">
        <v>0</v>
      </c>
      <c r="Y181" s="368">
        <v>0</v>
      </c>
      <c r="Z181" s="368">
        <v>0</v>
      </c>
      <c r="AA181" s="368">
        <v>0</v>
      </c>
      <c r="AB181" s="368">
        <v>795.31</v>
      </c>
      <c r="AC181" s="368">
        <v>0</v>
      </c>
      <c r="AD181" s="368">
        <v>0</v>
      </c>
      <c r="AE181" s="368">
        <v>0</v>
      </c>
      <c r="AF181" s="396">
        <v>0</v>
      </c>
      <c r="AG181" s="368">
        <v>0</v>
      </c>
      <c r="AH181" s="396">
        <v>0</v>
      </c>
      <c r="AI181" s="368">
        <v>0</v>
      </c>
      <c r="AJ181" s="396">
        <v>0</v>
      </c>
      <c r="AK181" s="368">
        <v>0</v>
      </c>
      <c r="AL181" s="368">
        <v>0</v>
      </c>
      <c r="AM181" s="368">
        <v>0</v>
      </c>
      <c r="AN181" s="368"/>
      <c r="AO181" s="368">
        <v>0</v>
      </c>
    </row>
    <row r="182" spans="1:41" s="152" customFormat="1" ht="36" customHeight="1" x14ac:dyDescent="0.9">
      <c r="A182" s="152">
        <v>1</v>
      </c>
      <c r="B182" s="90">
        <f>SUBTOTAL(103,$A$16:A182)</f>
        <v>165</v>
      </c>
      <c r="C182" s="89" t="s">
        <v>1177</v>
      </c>
      <c r="D182" s="163">
        <v>1989</v>
      </c>
      <c r="E182" s="163"/>
      <c r="F182" s="168" t="s">
        <v>270</v>
      </c>
      <c r="G182" s="163">
        <v>9</v>
      </c>
      <c r="H182" s="163">
        <v>1</v>
      </c>
      <c r="I182" s="167">
        <v>4090.1</v>
      </c>
      <c r="J182" s="167">
        <v>3277.11</v>
      </c>
      <c r="K182" s="167">
        <v>3277.11</v>
      </c>
      <c r="L182" s="165">
        <v>159</v>
      </c>
      <c r="M182" s="163" t="s">
        <v>268</v>
      </c>
      <c r="N182" s="163" t="s">
        <v>272</v>
      </c>
      <c r="O182" s="166" t="s">
        <v>1356</v>
      </c>
      <c r="P182" s="167">
        <v>1640571.49</v>
      </c>
      <c r="Q182" s="167">
        <v>0</v>
      </c>
      <c r="R182" s="167">
        <v>0</v>
      </c>
      <c r="S182" s="167">
        <f t="shared" si="38"/>
        <v>1640571.49</v>
      </c>
      <c r="T182" s="167">
        <f t="shared" si="34"/>
        <v>401.10791667685385</v>
      </c>
      <c r="U182" s="167">
        <v>600.91440307082962</v>
      </c>
      <c r="V182" s="149">
        <f t="shared" si="37"/>
        <v>199.80648639397577</v>
      </c>
      <c r="W182" s="149">
        <f t="shared" si="39"/>
        <v>600.91440307082962</v>
      </c>
      <c r="X182" s="149">
        <v>0</v>
      </c>
      <c r="Y182" s="368">
        <v>0</v>
      </c>
      <c r="Z182" s="368">
        <v>0</v>
      </c>
      <c r="AA182" s="368">
        <v>0</v>
      </c>
      <c r="AB182" s="368">
        <v>0</v>
      </c>
      <c r="AC182" s="368">
        <v>1</v>
      </c>
      <c r="AD182" s="396">
        <f t="shared" ref="AD182:AD184" si="43">2457800*AC182/I182</f>
        <v>600.91440307082962</v>
      </c>
      <c r="AE182" s="368">
        <v>0</v>
      </c>
      <c r="AF182" s="396">
        <v>0</v>
      </c>
      <c r="AG182" s="368">
        <v>0</v>
      </c>
      <c r="AH182" s="396">
        <v>0</v>
      </c>
      <c r="AI182" s="368">
        <v>0</v>
      </c>
      <c r="AJ182" s="396">
        <v>0</v>
      </c>
      <c r="AK182" s="368">
        <v>0</v>
      </c>
      <c r="AL182" s="368">
        <v>0</v>
      </c>
      <c r="AM182" s="368">
        <v>0</v>
      </c>
      <c r="AN182" s="368"/>
      <c r="AO182" s="368">
        <v>0</v>
      </c>
    </row>
    <row r="183" spans="1:41" s="152" customFormat="1" ht="36" customHeight="1" x14ac:dyDescent="0.9">
      <c r="A183" s="152">
        <v>1</v>
      </c>
      <c r="B183" s="90">
        <f>SUBTOTAL(103,$A$16:A183)</f>
        <v>166</v>
      </c>
      <c r="C183" s="89" t="s">
        <v>1178</v>
      </c>
      <c r="D183" s="163">
        <v>1992</v>
      </c>
      <c r="E183" s="163"/>
      <c r="F183" s="168" t="s">
        <v>270</v>
      </c>
      <c r="G183" s="163">
        <v>9</v>
      </c>
      <c r="H183" s="163">
        <v>1</v>
      </c>
      <c r="I183" s="167">
        <v>3107.8</v>
      </c>
      <c r="J183" s="167">
        <v>2755.2</v>
      </c>
      <c r="K183" s="167">
        <v>2755.2</v>
      </c>
      <c r="L183" s="165">
        <v>117</v>
      </c>
      <c r="M183" s="163" t="s">
        <v>268</v>
      </c>
      <c r="N183" s="163" t="s">
        <v>272</v>
      </c>
      <c r="O183" s="166" t="s">
        <v>1357</v>
      </c>
      <c r="P183" s="167">
        <v>1784450.96</v>
      </c>
      <c r="Q183" s="167">
        <v>0</v>
      </c>
      <c r="R183" s="167">
        <v>0</v>
      </c>
      <c r="S183" s="167">
        <f t="shared" si="38"/>
        <v>1784450.96</v>
      </c>
      <c r="T183" s="167">
        <f t="shared" si="34"/>
        <v>574.18461934487414</v>
      </c>
      <c r="U183" s="167">
        <v>790.84883197116926</v>
      </c>
      <c r="V183" s="149">
        <f t="shared" si="37"/>
        <v>216.66421262629513</v>
      </c>
      <c r="W183" s="149">
        <f t="shared" si="39"/>
        <v>790.84883197116926</v>
      </c>
      <c r="X183" s="149">
        <v>0</v>
      </c>
      <c r="Y183" s="368">
        <v>0</v>
      </c>
      <c r="Z183" s="368">
        <v>0</v>
      </c>
      <c r="AA183" s="368">
        <v>0</v>
      </c>
      <c r="AB183" s="368">
        <v>0</v>
      </c>
      <c r="AC183" s="368">
        <v>1</v>
      </c>
      <c r="AD183" s="396">
        <f t="shared" si="43"/>
        <v>790.84883197116926</v>
      </c>
      <c r="AE183" s="368">
        <v>0</v>
      </c>
      <c r="AF183" s="396">
        <v>0</v>
      </c>
      <c r="AG183" s="368">
        <v>0</v>
      </c>
      <c r="AH183" s="396">
        <v>0</v>
      </c>
      <c r="AI183" s="368">
        <v>0</v>
      </c>
      <c r="AJ183" s="396">
        <v>0</v>
      </c>
      <c r="AK183" s="368">
        <v>0</v>
      </c>
      <c r="AL183" s="368">
        <v>0</v>
      </c>
      <c r="AM183" s="368">
        <v>0</v>
      </c>
      <c r="AN183" s="368"/>
      <c r="AO183" s="368">
        <v>0</v>
      </c>
    </row>
    <row r="184" spans="1:41" s="152" customFormat="1" ht="36" customHeight="1" x14ac:dyDescent="0.9">
      <c r="A184" s="152">
        <v>1</v>
      </c>
      <c r="B184" s="90">
        <f>SUBTOTAL(103,$A$16:A184)</f>
        <v>167</v>
      </c>
      <c r="C184" s="89" t="s">
        <v>1179</v>
      </c>
      <c r="D184" s="163">
        <v>1992</v>
      </c>
      <c r="E184" s="163"/>
      <c r="F184" s="168" t="s">
        <v>315</v>
      </c>
      <c r="G184" s="163">
        <v>9</v>
      </c>
      <c r="H184" s="163">
        <v>4</v>
      </c>
      <c r="I184" s="167">
        <v>8440.4</v>
      </c>
      <c r="J184" s="167">
        <v>7673.5</v>
      </c>
      <c r="K184" s="167">
        <v>7237.9</v>
      </c>
      <c r="L184" s="165">
        <v>308</v>
      </c>
      <c r="M184" s="163" t="s">
        <v>268</v>
      </c>
      <c r="N184" s="163" t="s">
        <v>272</v>
      </c>
      <c r="O184" s="166" t="s">
        <v>1358</v>
      </c>
      <c r="P184" s="167">
        <v>6364982.3099999996</v>
      </c>
      <c r="Q184" s="167">
        <v>0</v>
      </c>
      <c r="R184" s="167">
        <v>0</v>
      </c>
      <c r="S184" s="167">
        <f t="shared" si="38"/>
        <v>6364982.3099999996</v>
      </c>
      <c r="T184" s="167">
        <f t="shared" si="34"/>
        <v>754.10908369271601</v>
      </c>
      <c r="U184" s="167">
        <v>1164.7789204303115</v>
      </c>
      <c r="V184" s="149">
        <f t="shared" si="37"/>
        <v>410.66983673759546</v>
      </c>
      <c r="W184" s="149">
        <f t="shared" si="39"/>
        <v>1164.7789204303115</v>
      </c>
      <c r="X184" s="149">
        <v>0</v>
      </c>
      <c r="Y184" s="368">
        <v>0</v>
      </c>
      <c r="Z184" s="368">
        <v>0</v>
      </c>
      <c r="AA184" s="368">
        <v>0</v>
      </c>
      <c r="AB184" s="368">
        <v>0</v>
      </c>
      <c r="AC184" s="368">
        <v>4</v>
      </c>
      <c r="AD184" s="396">
        <f t="shared" si="43"/>
        <v>1164.7789204303115</v>
      </c>
      <c r="AE184" s="368">
        <v>0</v>
      </c>
      <c r="AF184" s="396">
        <v>0</v>
      </c>
      <c r="AG184" s="368">
        <v>0</v>
      </c>
      <c r="AH184" s="396">
        <v>0</v>
      </c>
      <c r="AI184" s="368">
        <v>0</v>
      </c>
      <c r="AJ184" s="396">
        <v>0</v>
      </c>
      <c r="AK184" s="368">
        <v>0</v>
      </c>
      <c r="AL184" s="368">
        <v>0</v>
      </c>
      <c r="AM184" s="368">
        <v>0</v>
      </c>
      <c r="AN184" s="368"/>
      <c r="AO184" s="368">
        <v>0</v>
      </c>
    </row>
    <row r="185" spans="1:41" s="152" customFormat="1" ht="36" customHeight="1" x14ac:dyDescent="0.9">
      <c r="A185" s="152">
        <v>1</v>
      </c>
      <c r="B185" s="90">
        <f>SUBTOTAL(103,$A$16:A185)</f>
        <v>168</v>
      </c>
      <c r="C185" s="89" t="s">
        <v>1295</v>
      </c>
      <c r="D185" s="163">
        <v>1968</v>
      </c>
      <c r="E185" s="163"/>
      <c r="F185" s="168" t="s">
        <v>270</v>
      </c>
      <c r="G185" s="163">
        <v>5</v>
      </c>
      <c r="H185" s="163">
        <v>4</v>
      </c>
      <c r="I185" s="167">
        <v>3571.09</v>
      </c>
      <c r="J185" s="167">
        <v>3241.39</v>
      </c>
      <c r="K185" s="167">
        <v>3219.99</v>
      </c>
      <c r="L185" s="165">
        <v>154</v>
      </c>
      <c r="M185" s="163" t="s">
        <v>268</v>
      </c>
      <c r="N185" s="163" t="s">
        <v>272</v>
      </c>
      <c r="O185" s="166" t="s">
        <v>331</v>
      </c>
      <c r="P185" s="167">
        <v>2620013.62</v>
      </c>
      <c r="Q185" s="167">
        <v>0</v>
      </c>
      <c r="R185" s="167">
        <v>0</v>
      </c>
      <c r="S185" s="167">
        <f t="shared" si="38"/>
        <v>2620013.62</v>
      </c>
      <c r="T185" s="167">
        <f t="shared" si="34"/>
        <v>733.6733658350812</v>
      </c>
      <c r="U185" s="167">
        <v>3259.66</v>
      </c>
      <c r="V185" s="149">
        <f t="shared" si="37"/>
        <v>2525.9866341649185</v>
      </c>
      <c r="W185" s="149">
        <f t="shared" si="39"/>
        <v>3259.66</v>
      </c>
      <c r="X185" s="149">
        <v>0</v>
      </c>
      <c r="Y185" s="368">
        <v>0</v>
      </c>
      <c r="Z185" s="368">
        <v>3259.66</v>
      </c>
      <c r="AA185" s="368">
        <v>0</v>
      </c>
      <c r="AB185" s="368">
        <v>0</v>
      </c>
      <c r="AC185" s="368">
        <v>0</v>
      </c>
      <c r="AD185" s="368">
        <v>0</v>
      </c>
      <c r="AE185" s="368">
        <v>0</v>
      </c>
      <c r="AF185" s="396">
        <v>0</v>
      </c>
      <c r="AG185" s="368">
        <v>0</v>
      </c>
      <c r="AH185" s="396">
        <v>0</v>
      </c>
      <c r="AI185" s="368">
        <v>0</v>
      </c>
      <c r="AJ185" s="396">
        <v>0</v>
      </c>
      <c r="AK185" s="368">
        <v>0</v>
      </c>
      <c r="AL185" s="368">
        <v>0</v>
      </c>
      <c r="AM185" s="368">
        <v>0</v>
      </c>
      <c r="AN185" s="368"/>
      <c r="AO185" s="368">
        <v>0</v>
      </c>
    </row>
    <row r="186" spans="1:41" s="152" customFormat="1" ht="36" customHeight="1" x14ac:dyDescent="0.9">
      <c r="A186" s="152">
        <v>1</v>
      </c>
      <c r="B186" s="90">
        <f>SUBTOTAL(103,$A$16:A186)</f>
        <v>169</v>
      </c>
      <c r="C186" s="89" t="s">
        <v>1308</v>
      </c>
      <c r="D186" s="163">
        <v>1958</v>
      </c>
      <c r="E186" s="163"/>
      <c r="F186" s="168" t="s">
        <v>270</v>
      </c>
      <c r="G186" s="163">
        <v>4</v>
      </c>
      <c r="H186" s="163">
        <v>4</v>
      </c>
      <c r="I186" s="167">
        <v>5856.4</v>
      </c>
      <c r="J186" s="167">
        <v>3235.1</v>
      </c>
      <c r="K186" s="167">
        <v>3073.4</v>
      </c>
      <c r="L186" s="165">
        <v>86</v>
      </c>
      <c r="M186" s="163" t="s">
        <v>268</v>
      </c>
      <c r="N186" s="163" t="s">
        <v>272</v>
      </c>
      <c r="O186" s="166" t="s">
        <v>1370</v>
      </c>
      <c r="P186" s="167">
        <v>131828.92000000001</v>
      </c>
      <c r="Q186" s="167">
        <v>0</v>
      </c>
      <c r="R186" s="167">
        <v>0</v>
      </c>
      <c r="S186" s="167">
        <f t="shared" si="38"/>
        <v>131828.92000000001</v>
      </c>
      <c r="T186" s="167">
        <f t="shared" si="34"/>
        <v>22.510231541561371</v>
      </c>
      <c r="U186" s="167">
        <v>22.510231541561371</v>
      </c>
      <c r="V186" s="149">
        <f t="shared" si="37"/>
        <v>0</v>
      </c>
      <c r="W186" s="149">
        <f>T186</f>
        <v>22.510231541561371</v>
      </c>
      <c r="X186" s="149">
        <v>0</v>
      </c>
      <c r="Y186" s="368">
        <v>0</v>
      </c>
      <c r="Z186" s="368">
        <v>0</v>
      </c>
      <c r="AA186" s="368">
        <v>0</v>
      </c>
      <c r="AB186" s="368">
        <v>0</v>
      </c>
      <c r="AC186" s="368">
        <v>0</v>
      </c>
      <c r="AD186" s="368">
        <v>0</v>
      </c>
      <c r="AE186" s="368">
        <v>0</v>
      </c>
      <c r="AF186" s="396">
        <v>0</v>
      </c>
      <c r="AG186" s="368">
        <v>0</v>
      </c>
      <c r="AH186" s="396">
        <v>0</v>
      </c>
      <c r="AI186" s="368">
        <v>0</v>
      </c>
      <c r="AJ186" s="396">
        <v>0</v>
      </c>
      <c r="AK186" s="368">
        <v>0</v>
      </c>
      <c r="AL186" s="368">
        <v>0</v>
      </c>
      <c r="AM186" s="368">
        <v>0</v>
      </c>
      <c r="AN186" s="368"/>
      <c r="AO186" s="368">
        <v>0</v>
      </c>
    </row>
    <row r="187" spans="1:41" s="152" customFormat="1" ht="36" customHeight="1" x14ac:dyDescent="0.9">
      <c r="A187" s="152">
        <v>1</v>
      </c>
      <c r="B187" s="90">
        <f>SUBTOTAL(103,$A$16:A187)</f>
        <v>170</v>
      </c>
      <c r="C187" s="89" t="s">
        <v>1309</v>
      </c>
      <c r="D187" s="163">
        <v>1968</v>
      </c>
      <c r="E187" s="163"/>
      <c r="F187" s="168" t="s">
        <v>270</v>
      </c>
      <c r="G187" s="163">
        <v>2</v>
      </c>
      <c r="H187" s="163">
        <v>2</v>
      </c>
      <c r="I187" s="167">
        <v>610.4</v>
      </c>
      <c r="J187" s="167">
        <v>567</v>
      </c>
      <c r="K187" s="167">
        <v>458.2</v>
      </c>
      <c r="L187" s="165">
        <v>29</v>
      </c>
      <c r="M187" s="163" t="s">
        <v>268</v>
      </c>
      <c r="N187" s="163" t="s">
        <v>272</v>
      </c>
      <c r="O187" s="166" t="s">
        <v>1370</v>
      </c>
      <c r="P187" s="167">
        <v>3218030.63</v>
      </c>
      <c r="Q187" s="167">
        <v>0</v>
      </c>
      <c r="R187" s="167">
        <v>0</v>
      </c>
      <c r="S187" s="167">
        <f t="shared" si="38"/>
        <v>3218030.63</v>
      </c>
      <c r="T187" s="167">
        <f t="shared" si="34"/>
        <v>5272.002998034076</v>
      </c>
      <c r="U187" s="167">
        <v>6030.4012123197899</v>
      </c>
      <c r="V187" s="149">
        <f t="shared" si="37"/>
        <v>758.39821428571395</v>
      </c>
      <c r="W187" s="149">
        <f t="shared" si="39"/>
        <v>6030.4012123197899</v>
      </c>
      <c r="X187" s="149">
        <v>0</v>
      </c>
      <c r="Y187" s="368">
        <v>0</v>
      </c>
      <c r="Z187" s="368">
        <v>0</v>
      </c>
      <c r="AA187" s="368">
        <v>0</v>
      </c>
      <c r="AB187" s="368">
        <v>0</v>
      </c>
      <c r="AC187" s="368">
        <v>0</v>
      </c>
      <c r="AD187" s="368">
        <v>0</v>
      </c>
      <c r="AE187" s="368">
        <v>590</v>
      </c>
      <c r="AF187" s="396">
        <f t="shared" ref="AF187:AF194" si="44">6238.91*AE187/I187</f>
        <v>6030.4012123197899</v>
      </c>
      <c r="AG187" s="368">
        <v>0</v>
      </c>
      <c r="AH187" s="396">
        <v>0</v>
      </c>
      <c r="AI187" s="368">
        <v>0</v>
      </c>
      <c r="AJ187" s="396">
        <v>0</v>
      </c>
      <c r="AK187" s="368">
        <v>0</v>
      </c>
      <c r="AL187" s="368">
        <v>0</v>
      </c>
      <c r="AM187" s="368">
        <v>0</v>
      </c>
      <c r="AN187" s="368"/>
      <c r="AO187" s="368">
        <v>0</v>
      </c>
    </row>
    <row r="188" spans="1:41" s="152" customFormat="1" ht="36" customHeight="1" x14ac:dyDescent="0.9">
      <c r="A188" s="152">
        <v>1</v>
      </c>
      <c r="B188" s="90">
        <f>SUBTOTAL(103,$A$16:A188)</f>
        <v>171</v>
      </c>
      <c r="C188" s="89" t="s">
        <v>1310</v>
      </c>
      <c r="D188" s="163">
        <v>1958</v>
      </c>
      <c r="E188" s="163"/>
      <c r="F188" s="168" t="s">
        <v>270</v>
      </c>
      <c r="G188" s="163">
        <v>2</v>
      </c>
      <c r="H188" s="163">
        <v>2</v>
      </c>
      <c r="I188" s="167">
        <v>822.2</v>
      </c>
      <c r="J188" s="167">
        <v>822.2</v>
      </c>
      <c r="K188" s="167">
        <v>771.5</v>
      </c>
      <c r="L188" s="165">
        <v>22</v>
      </c>
      <c r="M188" s="163" t="s">
        <v>268</v>
      </c>
      <c r="N188" s="163" t="s">
        <v>272</v>
      </c>
      <c r="O188" s="166" t="s">
        <v>1370</v>
      </c>
      <c r="P188" s="167">
        <v>3619449.67</v>
      </c>
      <c r="Q188" s="167">
        <v>0</v>
      </c>
      <c r="R188" s="167">
        <v>0</v>
      </c>
      <c r="S188" s="167">
        <f t="shared" si="38"/>
        <v>3619449.67</v>
      </c>
      <c r="T188" s="167">
        <f t="shared" si="34"/>
        <v>4402.1523595232302</v>
      </c>
      <c r="U188" s="167">
        <v>5046.0656166382869</v>
      </c>
      <c r="V188" s="149">
        <f t="shared" si="37"/>
        <v>643.91325711505669</v>
      </c>
      <c r="W188" s="149">
        <f t="shared" si="39"/>
        <v>5046.0656166382869</v>
      </c>
      <c r="X188" s="149">
        <v>0</v>
      </c>
      <c r="Y188" s="368">
        <v>0</v>
      </c>
      <c r="Z188" s="368">
        <v>0</v>
      </c>
      <c r="AA188" s="368">
        <v>0</v>
      </c>
      <c r="AB188" s="368">
        <v>0</v>
      </c>
      <c r="AC188" s="368">
        <v>0</v>
      </c>
      <c r="AD188" s="368">
        <v>0</v>
      </c>
      <c r="AE188" s="368">
        <v>665</v>
      </c>
      <c r="AF188" s="396">
        <f t="shared" si="44"/>
        <v>5046.0656166382869</v>
      </c>
      <c r="AG188" s="368">
        <v>0</v>
      </c>
      <c r="AH188" s="396">
        <v>0</v>
      </c>
      <c r="AI188" s="368">
        <v>0</v>
      </c>
      <c r="AJ188" s="396">
        <v>0</v>
      </c>
      <c r="AK188" s="368">
        <v>0</v>
      </c>
      <c r="AL188" s="368">
        <v>0</v>
      </c>
      <c r="AM188" s="368">
        <v>0</v>
      </c>
      <c r="AN188" s="368"/>
      <c r="AO188" s="368">
        <v>0</v>
      </c>
    </row>
    <row r="189" spans="1:41" s="152" customFormat="1" ht="36" customHeight="1" x14ac:dyDescent="0.9">
      <c r="A189" s="152">
        <v>1</v>
      </c>
      <c r="B189" s="90">
        <f>SUBTOTAL(103,$A$16:A189)</f>
        <v>172</v>
      </c>
      <c r="C189" s="89" t="s">
        <v>1311</v>
      </c>
      <c r="D189" s="163">
        <v>1959</v>
      </c>
      <c r="E189" s="163"/>
      <c r="F189" s="168" t="s">
        <v>270</v>
      </c>
      <c r="G189" s="163">
        <v>2</v>
      </c>
      <c r="H189" s="163">
        <v>1</v>
      </c>
      <c r="I189" s="167">
        <v>310.3</v>
      </c>
      <c r="J189" s="167">
        <v>310.3</v>
      </c>
      <c r="K189" s="167">
        <v>270.3</v>
      </c>
      <c r="L189" s="165">
        <v>10</v>
      </c>
      <c r="M189" s="163" t="s">
        <v>268</v>
      </c>
      <c r="N189" s="163" t="s">
        <v>272</v>
      </c>
      <c r="O189" s="166" t="s">
        <v>1370</v>
      </c>
      <c r="P189" s="167">
        <v>1298325.17</v>
      </c>
      <c r="Q189" s="167">
        <v>0</v>
      </c>
      <c r="R189" s="167">
        <v>0</v>
      </c>
      <c r="S189" s="167">
        <f t="shared" si="38"/>
        <v>1298325.17</v>
      </c>
      <c r="T189" s="167">
        <f t="shared" si="34"/>
        <v>4184.0965839510145</v>
      </c>
      <c r="U189" s="167">
        <v>4946.0904286174664</v>
      </c>
      <c r="V189" s="149">
        <f t="shared" si="37"/>
        <v>761.99384466645188</v>
      </c>
      <c r="W189" s="149">
        <f t="shared" si="39"/>
        <v>4946.0904286174664</v>
      </c>
      <c r="X189" s="149">
        <v>0</v>
      </c>
      <c r="Y189" s="368">
        <v>0</v>
      </c>
      <c r="Z189" s="368">
        <v>0</v>
      </c>
      <c r="AA189" s="368">
        <v>0</v>
      </c>
      <c r="AB189" s="368">
        <v>0</v>
      </c>
      <c r="AC189" s="368">
        <v>0</v>
      </c>
      <c r="AD189" s="368">
        <v>0</v>
      </c>
      <c r="AE189" s="368">
        <v>246</v>
      </c>
      <c r="AF189" s="396">
        <f t="shared" si="44"/>
        <v>4946.0904286174664</v>
      </c>
      <c r="AG189" s="368">
        <v>0</v>
      </c>
      <c r="AH189" s="396">
        <v>0</v>
      </c>
      <c r="AI189" s="368">
        <v>0</v>
      </c>
      <c r="AJ189" s="396">
        <v>0</v>
      </c>
      <c r="AK189" s="368">
        <v>0</v>
      </c>
      <c r="AL189" s="368">
        <v>0</v>
      </c>
      <c r="AM189" s="368">
        <v>0</v>
      </c>
      <c r="AN189" s="368"/>
      <c r="AO189" s="368">
        <v>0</v>
      </c>
    </row>
    <row r="190" spans="1:41" s="152" customFormat="1" ht="36" customHeight="1" x14ac:dyDescent="0.9">
      <c r="A190" s="152">
        <v>1</v>
      </c>
      <c r="B190" s="90">
        <f>SUBTOTAL(103,$A$16:A190)</f>
        <v>173</v>
      </c>
      <c r="C190" s="89" t="s">
        <v>1312</v>
      </c>
      <c r="D190" s="163">
        <v>1959</v>
      </c>
      <c r="E190" s="163"/>
      <c r="F190" s="168" t="s">
        <v>270</v>
      </c>
      <c r="G190" s="163">
        <v>2</v>
      </c>
      <c r="H190" s="163">
        <v>1</v>
      </c>
      <c r="I190" s="167">
        <v>287</v>
      </c>
      <c r="J190" s="167">
        <v>287</v>
      </c>
      <c r="K190" s="167">
        <v>158.19999999999999</v>
      </c>
      <c r="L190" s="165">
        <v>18</v>
      </c>
      <c r="M190" s="163" t="s">
        <v>268</v>
      </c>
      <c r="N190" s="163" t="s">
        <v>269</v>
      </c>
      <c r="O190" s="166" t="s">
        <v>271</v>
      </c>
      <c r="P190" s="167">
        <v>1338948.23</v>
      </c>
      <c r="Q190" s="167">
        <v>0</v>
      </c>
      <c r="R190" s="167">
        <v>0</v>
      </c>
      <c r="S190" s="167">
        <f t="shared" si="38"/>
        <v>1338948.23</v>
      </c>
      <c r="T190" s="167">
        <f t="shared" si="34"/>
        <v>4665.3248432055752</v>
      </c>
      <c r="U190" s="167">
        <v>5499.8056794425083</v>
      </c>
      <c r="V190" s="149">
        <f t="shared" si="37"/>
        <v>834.4808362369331</v>
      </c>
      <c r="W190" s="149">
        <f t="shared" si="39"/>
        <v>5499.8056794425083</v>
      </c>
      <c r="X190" s="149">
        <v>0</v>
      </c>
      <c r="Y190" s="368">
        <v>0</v>
      </c>
      <c r="Z190" s="368">
        <v>0</v>
      </c>
      <c r="AA190" s="368">
        <v>0</v>
      </c>
      <c r="AB190" s="368">
        <v>0</v>
      </c>
      <c r="AC190" s="368">
        <v>0</v>
      </c>
      <c r="AD190" s="368">
        <v>0</v>
      </c>
      <c r="AE190" s="368">
        <v>253</v>
      </c>
      <c r="AF190" s="396">
        <f t="shared" si="44"/>
        <v>5499.8056794425083</v>
      </c>
      <c r="AG190" s="368">
        <v>0</v>
      </c>
      <c r="AH190" s="396">
        <v>0</v>
      </c>
      <c r="AI190" s="368">
        <v>0</v>
      </c>
      <c r="AJ190" s="396">
        <v>0</v>
      </c>
      <c r="AK190" s="368">
        <v>0</v>
      </c>
      <c r="AL190" s="368">
        <v>0</v>
      </c>
      <c r="AM190" s="368">
        <v>0</v>
      </c>
      <c r="AN190" s="368"/>
      <c r="AO190" s="368">
        <v>0</v>
      </c>
    </row>
    <row r="191" spans="1:41" s="152" customFormat="1" ht="36" customHeight="1" x14ac:dyDescent="0.9">
      <c r="A191" s="152">
        <v>1</v>
      </c>
      <c r="B191" s="90">
        <f>SUBTOTAL(103,$A$16:A191)</f>
        <v>174</v>
      </c>
      <c r="C191" s="89" t="s">
        <v>1571</v>
      </c>
      <c r="D191" s="163">
        <v>1952</v>
      </c>
      <c r="E191" s="163"/>
      <c r="F191" s="168" t="s">
        <v>1359</v>
      </c>
      <c r="G191" s="163">
        <v>2</v>
      </c>
      <c r="H191" s="163">
        <v>2</v>
      </c>
      <c r="I191" s="167">
        <v>644.12</v>
      </c>
      <c r="J191" s="167">
        <v>596.87</v>
      </c>
      <c r="K191" s="167">
        <v>495.28</v>
      </c>
      <c r="L191" s="165">
        <v>30</v>
      </c>
      <c r="M191" s="163" t="s">
        <v>268</v>
      </c>
      <c r="N191" s="163" t="s">
        <v>272</v>
      </c>
      <c r="O191" s="166" t="s">
        <v>1597</v>
      </c>
      <c r="P191" s="167">
        <v>2343822.52</v>
      </c>
      <c r="Q191" s="167">
        <v>0</v>
      </c>
      <c r="R191" s="167">
        <v>0</v>
      </c>
      <c r="S191" s="167">
        <f>P191-R191-Q191</f>
        <v>2343822.52</v>
      </c>
      <c r="T191" s="167">
        <f t="shared" si="34"/>
        <v>3638.7979258523255</v>
      </c>
      <c r="U191" s="167">
        <v>7671.2673414891633</v>
      </c>
      <c r="V191" s="149">
        <f t="shared" si="37"/>
        <v>4032.4694156368378</v>
      </c>
      <c r="W191" s="149">
        <f t="shared" si="39"/>
        <v>7671.2673414891633</v>
      </c>
      <c r="X191" s="149">
        <v>0</v>
      </c>
      <c r="Y191" s="368">
        <v>0</v>
      </c>
      <c r="Z191" s="368">
        <v>0</v>
      </c>
      <c r="AA191" s="368">
        <v>0</v>
      </c>
      <c r="AB191" s="368">
        <v>0</v>
      </c>
      <c r="AC191" s="368">
        <v>0</v>
      </c>
      <c r="AD191" s="368">
        <v>0</v>
      </c>
      <c r="AE191" s="368">
        <v>792</v>
      </c>
      <c r="AF191" s="396">
        <f t="shared" si="44"/>
        <v>7671.2673414891633</v>
      </c>
      <c r="AG191" s="368">
        <v>0</v>
      </c>
      <c r="AH191" s="396">
        <v>0</v>
      </c>
      <c r="AI191" s="368">
        <v>0</v>
      </c>
      <c r="AJ191" s="396">
        <v>0</v>
      </c>
      <c r="AK191" s="368">
        <v>0</v>
      </c>
      <c r="AL191" s="368">
        <v>0</v>
      </c>
      <c r="AM191" s="368">
        <v>0</v>
      </c>
      <c r="AN191" s="368"/>
      <c r="AO191" s="368">
        <v>0</v>
      </c>
    </row>
    <row r="192" spans="1:41" s="152" customFormat="1" ht="36" customHeight="1" x14ac:dyDescent="0.9">
      <c r="A192" s="152">
        <v>1</v>
      </c>
      <c r="B192" s="90">
        <f>SUBTOTAL(103,$A$16:A192)</f>
        <v>175</v>
      </c>
      <c r="C192" s="89" t="s">
        <v>1583</v>
      </c>
      <c r="D192" s="163">
        <v>1940</v>
      </c>
      <c r="E192" s="163"/>
      <c r="F192" s="168" t="s">
        <v>315</v>
      </c>
      <c r="G192" s="163">
        <v>2</v>
      </c>
      <c r="H192" s="163">
        <v>2</v>
      </c>
      <c r="I192" s="167">
        <v>733.2</v>
      </c>
      <c r="J192" s="167">
        <v>662.54</v>
      </c>
      <c r="K192" s="167">
        <v>662.54</v>
      </c>
      <c r="L192" s="165">
        <v>22</v>
      </c>
      <c r="M192" s="163" t="s">
        <v>268</v>
      </c>
      <c r="N192" s="163" t="s">
        <v>272</v>
      </c>
      <c r="O192" s="166" t="s">
        <v>331</v>
      </c>
      <c r="P192" s="167">
        <v>2582227.59</v>
      </c>
      <c r="Q192" s="167">
        <v>0</v>
      </c>
      <c r="R192" s="167">
        <v>0</v>
      </c>
      <c r="S192" s="167">
        <f>P192-R192-Q192</f>
        <v>2582227.59</v>
      </c>
      <c r="T192" s="167">
        <f t="shared" si="34"/>
        <v>3521.8597790507361</v>
      </c>
      <c r="U192" s="167">
        <v>4288.612438625204</v>
      </c>
      <c r="V192" s="149">
        <f t="shared" si="37"/>
        <v>766.752659574468</v>
      </c>
      <c r="W192" s="149">
        <f t="shared" si="39"/>
        <v>4288.612438625204</v>
      </c>
      <c r="X192" s="149">
        <v>0</v>
      </c>
      <c r="Y192" s="368">
        <v>0</v>
      </c>
      <c r="Z192" s="368">
        <v>0</v>
      </c>
      <c r="AA192" s="368">
        <v>0</v>
      </c>
      <c r="AB192" s="368">
        <v>0</v>
      </c>
      <c r="AC192" s="368">
        <v>0</v>
      </c>
      <c r="AD192" s="368">
        <v>0</v>
      </c>
      <c r="AE192" s="368">
        <v>504</v>
      </c>
      <c r="AF192" s="396">
        <f t="shared" si="44"/>
        <v>4288.612438625204</v>
      </c>
      <c r="AG192" s="368">
        <v>0</v>
      </c>
      <c r="AH192" s="396">
        <v>0</v>
      </c>
      <c r="AI192" s="368">
        <v>0</v>
      </c>
      <c r="AJ192" s="396">
        <v>0</v>
      </c>
      <c r="AK192" s="368">
        <v>0</v>
      </c>
      <c r="AL192" s="368">
        <v>0</v>
      </c>
      <c r="AM192" s="368">
        <v>0</v>
      </c>
      <c r="AN192" s="368"/>
      <c r="AO192" s="368">
        <v>0</v>
      </c>
    </row>
    <row r="193" spans="1:41" s="152" customFormat="1" ht="36" customHeight="1" x14ac:dyDescent="0.9">
      <c r="A193" s="152">
        <v>1</v>
      </c>
      <c r="B193" s="90">
        <f>SUBTOTAL(103,$A$16:A193)</f>
        <v>176</v>
      </c>
      <c r="C193" s="89" t="s">
        <v>1584</v>
      </c>
      <c r="D193" s="163">
        <v>1968</v>
      </c>
      <c r="E193" s="163"/>
      <c r="F193" s="168" t="s">
        <v>270</v>
      </c>
      <c r="G193" s="163">
        <v>2</v>
      </c>
      <c r="H193" s="163">
        <v>2</v>
      </c>
      <c r="I193" s="164">
        <v>1033.42</v>
      </c>
      <c r="J193" s="167">
        <v>631.74</v>
      </c>
      <c r="K193" s="167">
        <v>592.34</v>
      </c>
      <c r="L193" s="165">
        <v>23</v>
      </c>
      <c r="M193" s="163" t="s">
        <v>268</v>
      </c>
      <c r="N193" s="163" t="s">
        <v>269</v>
      </c>
      <c r="O193" s="166" t="s">
        <v>271</v>
      </c>
      <c r="P193" s="167">
        <v>3239524.45</v>
      </c>
      <c r="Q193" s="167">
        <v>0</v>
      </c>
      <c r="R193" s="167">
        <v>0</v>
      </c>
      <c r="S193" s="167">
        <f>P193-R193-Q193</f>
        <v>3239524.45</v>
      </c>
      <c r="T193" s="167">
        <f t="shared" si="34"/>
        <v>3134.7607458729267</v>
      </c>
      <c r="U193" s="167">
        <v>3803.4035532503722</v>
      </c>
      <c r="V193" s="149">
        <f t="shared" si="37"/>
        <v>668.64280737744548</v>
      </c>
      <c r="W193" s="149">
        <f t="shared" si="39"/>
        <v>3803.4035532503722</v>
      </c>
      <c r="X193" s="149">
        <v>0</v>
      </c>
      <c r="Y193" s="368">
        <v>0</v>
      </c>
      <c r="Z193" s="368">
        <v>0</v>
      </c>
      <c r="AA193" s="368">
        <v>0</v>
      </c>
      <c r="AB193" s="368">
        <v>0</v>
      </c>
      <c r="AC193" s="368">
        <v>0</v>
      </c>
      <c r="AD193" s="368">
        <v>0</v>
      </c>
      <c r="AE193" s="368">
        <v>630</v>
      </c>
      <c r="AF193" s="396">
        <f t="shared" si="44"/>
        <v>3803.4035532503722</v>
      </c>
      <c r="AG193" s="368">
        <v>0</v>
      </c>
      <c r="AH193" s="396">
        <v>0</v>
      </c>
      <c r="AI193" s="368">
        <v>0</v>
      </c>
      <c r="AJ193" s="396">
        <v>0</v>
      </c>
      <c r="AK193" s="368">
        <v>0</v>
      </c>
      <c r="AL193" s="368">
        <v>0</v>
      </c>
      <c r="AM193" s="368">
        <v>0</v>
      </c>
      <c r="AN193" s="368"/>
      <c r="AO193" s="368">
        <v>0</v>
      </c>
    </row>
    <row r="194" spans="1:41" s="152" customFormat="1" ht="36" customHeight="1" x14ac:dyDescent="0.9">
      <c r="A194" s="152">
        <v>1</v>
      </c>
      <c r="B194" s="90">
        <f>SUBTOTAL(103,$A$16:A194)</f>
        <v>177</v>
      </c>
      <c r="C194" s="89" t="s">
        <v>1614</v>
      </c>
      <c r="D194" s="163">
        <v>1986</v>
      </c>
      <c r="E194" s="163"/>
      <c r="F194" s="168" t="s">
        <v>322</v>
      </c>
      <c r="G194" s="163">
        <v>5</v>
      </c>
      <c r="H194" s="163">
        <v>4</v>
      </c>
      <c r="I194" s="167">
        <v>3118.5</v>
      </c>
      <c r="J194" s="167">
        <v>3068.7</v>
      </c>
      <c r="K194" s="167">
        <f>J194</f>
        <v>3068.7</v>
      </c>
      <c r="L194" s="165">
        <v>110</v>
      </c>
      <c r="M194" s="163" t="s">
        <v>268</v>
      </c>
      <c r="N194" s="163" t="s">
        <v>272</v>
      </c>
      <c r="O194" s="166" t="s">
        <v>1370</v>
      </c>
      <c r="P194" s="167">
        <v>2057420.58</v>
      </c>
      <c r="Q194" s="167">
        <v>0</v>
      </c>
      <c r="R194" s="167">
        <v>0</v>
      </c>
      <c r="S194" s="167">
        <f>P194-Q194-R194</f>
        <v>2057420.58</v>
      </c>
      <c r="T194" s="167">
        <f t="shared" si="34"/>
        <v>659.74685906685909</v>
      </c>
      <c r="U194" s="167">
        <v>1586.4456795895464</v>
      </c>
      <c r="V194" s="149">
        <f t="shared" si="37"/>
        <v>926.69882052268736</v>
      </c>
      <c r="W194" s="149">
        <f t="shared" si="39"/>
        <v>1586.4456795895464</v>
      </c>
      <c r="X194" s="149">
        <v>0</v>
      </c>
      <c r="Y194" s="368">
        <v>0</v>
      </c>
      <c r="Z194" s="368">
        <v>0</v>
      </c>
      <c r="AA194" s="368">
        <v>0</v>
      </c>
      <c r="AB194" s="368">
        <v>0</v>
      </c>
      <c r="AC194" s="368">
        <v>0</v>
      </c>
      <c r="AD194" s="368">
        <v>0</v>
      </c>
      <c r="AE194" s="368">
        <v>792.98</v>
      </c>
      <c r="AF194" s="396">
        <f t="shared" si="44"/>
        <v>1586.4456795895464</v>
      </c>
      <c r="AG194" s="368">
        <v>0</v>
      </c>
      <c r="AH194" s="396">
        <v>0</v>
      </c>
      <c r="AI194" s="368">
        <v>0</v>
      </c>
      <c r="AJ194" s="396">
        <v>0</v>
      </c>
      <c r="AK194" s="368">
        <v>0</v>
      </c>
      <c r="AL194" s="368">
        <v>0</v>
      </c>
      <c r="AM194" s="368">
        <v>0</v>
      </c>
      <c r="AN194" s="368"/>
      <c r="AO194" s="368">
        <v>0</v>
      </c>
    </row>
    <row r="195" spans="1:41" s="152" customFormat="1" ht="36" customHeight="1" x14ac:dyDescent="0.9">
      <c r="A195" s="152">
        <v>1</v>
      </c>
      <c r="B195" s="90">
        <f>SUBTOTAL(103,$A$16:A195)</f>
        <v>178</v>
      </c>
      <c r="C195" s="89" t="s">
        <v>408</v>
      </c>
      <c r="D195" s="163" t="s">
        <v>333</v>
      </c>
      <c r="E195" s="163"/>
      <c r="F195" s="168" t="s">
        <v>270</v>
      </c>
      <c r="G195" s="163">
        <v>9</v>
      </c>
      <c r="H195" s="163">
        <v>1</v>
      </c>
      <c r="I195" s="164">
        <v>2760.5</v>
      </c>
      <c r="J195" s="164">
        <v>2756.6</v>
      </c>
      <c r="K195" s="164">
        <v>2688.2</v>
      </c>
      <c r="L195" s="165">
        <v>123</v>
      </c>
      <c r="M195" s="163" t="s">
        <v>268</v>
      </c>
      <c r="N195" s="163" t="s">
        <v>272</v>
      </c>
      <c r="O195" s="166" t="s">
        <v>326</v>
      </c>
      <c r="P195" s="167">
        <v>2015374.2400000002</v>
      </c>
      <c r="Q195" s="167">
        <v>0</v>
      </c>
      <c r="R195" s="167">
        <v>0</v>
      </c>
      <c r="S195" s="167">
        <f>P195-Q195-R195</f>
        <v>2015374.2400000002</v>
      </c>
      <c r="T195" s="167">
        <f t="shared" ref="T195:T196" si="45">P195/I195</f>
        <v>730.07579786270617</v>
      </c>
      <c r="U195" s="167">
        <v>890.3459518203224</v>
      </c>
      <c r="V195" s="149">
        <f t="shared" ref="V195:V196" si="46">U195-T195</f>
        <v>160.27015395761623</v>
      </c>
      <c r="W195" s="149">
        <f t="shared" ref="W195:W196" si="47">X195+Y195+Z195+AA195+AB195+AD195+AF195+AH195+AJ195+AL195+AN195+AO195</f>
        <v>890.3459518203224</v>
      </c>
      <c r="X195" s="149">
        <v>0</v>
      </c>
      <c r="Y195" s="368">
        <v>0</v>
      </c>
      <c r="Z195" s="368">
        <v>0</v>
      </c>
      <c r="AA195" s="368">
        <v>0</v>
      </c>
      <c r="AB195" s="368">
        <v>0</v>
      </c>
      <c r="AC195" s="368">
        <v>1</v>
      </c>
      <c r="AD195" s="396">
        <f>2457800*AC195/I195</f>
        <v>890.3459518203224</v>
      </c>
      <c r="AE195" s="368">
        <v>0</v>
      </c>
      <c r="AF195" s="396">
        <v>0</v>
      </c>
      <c r="AG195" s="368">
        <v>0</v>
      </c>
      <c r="AH195" s="396">
        <v>0</v>
      </c>
      <c r="AI195" s="368">
        <v>0</v>
      </c>
      <c r="AJ195" s="396">
        <v>0</v>
      </c>
      <c r="AK195" s="368">
        <v>0</v>
      </c>
      <c r="AL195" s="368">
        <v>0</v>
      </c>
      <c r="AM195" s="368">
        <v>0</v>
      </c>
      <c r="AN195" s="368"/>
      <c r="AO195" s="368">
        <v>0</v>
      </c>
    </row>
    <row r="196" spans="1:41" s="152" customFormat="1" ht="36" customHeight="1" x14ac:dyDescent="0.9">
      <c r="A196" s="152">
        <v>1</v>
      </c>
      <c r="B196" s="90">
        <f>SUBTOTAL(103,$A$16:A196)</f>
        <v>179</v>
      </c>
      <c r="C196" s="89" t="s">
        <v>444</v>
      </c>
      <c r="D196" s="163">
        <v>1994</v>
      </c>
      <c r="E196" s="163"/>
      <c r="F196" s="168" t="s">
        <v>315</v>
      </c>
      <c r="G196" s="163">
        <v>9</v>
      </c>
      <c r="H196" s="163">
        <v>2</v>
      </c>
      <c r="I196" s="164">
        <v>4306.3</v>
      </c>
      <c r="J196" s="164">
        <v>3871</v>
      </c>
      <c r="K196" s="164">
        <v>3511.4</v>
      </c>
      <c r="L196" s="165">
        <v>173</v>
      </c>
      <c r="M196" s="163" t="s">
        <v>268</v>
      </c>
      <c r="N196" s="163" t="s">
        <v>272</v>
      </c>
      <c r="O196" s="166" t="s">
        <v>325</v>
      </c>
      <c r="P196" s="167">
        <v>120000</v>
      </c>
      <c r="Q196" s="167">
        <v>0</v>
      </c>
      <c r="R196" s="167">
        <v>0</v>
      </c>
      <c r="S196" s="167">
        <f t="shared" ref="S196" si="48">P196-Q196-R196</f>
        <v>120000</v>
      </c>
      <c r="T196" s="167">
        <f t="shared" si="45"/>
        <v>27.866149594779738</v>
      </c>
      <c r="U196" s="167">
        <f>T196</f>
        <v>27.866149594779738</v>
      </c>
      <c r="V196" s="149">
        <f t="shared" si="46"/>
        <v>0</v>
      </c>
      <c r="W196" s="149">
        <f t="shared" si="47"/>
        <v>1141.4903745674942</v>
      </c>
      <c r="X196" s="149">
        <v>0</v>
      </c>
      <c r="Y196" s="368">
        <v>0</v>
      </c>
      <c r="Z196" s="368">
        <v>0</v>
      </c>
      <c r="AA196" s="368">
        <v>0</v>
      </c>
      <c r="AB196" s="368">
        <v>0</v>
      </c>
      <c r="AC196" s="368">
        <v>2</v>
      </c>
      <c r="AD196" s="396">
        <f>2457800*AC196/I196</f>
        <v>1141.4903745674942</v>
      </c>
      <c r="AE196" s="368">
        <v>0</v>
      </c>
      <c r="AF196" s="396">
        <v>0</v>
      </c>
      <c r="AG196" s="368">
        <v>0</v>
      </c>
      <c r="AH196" s="396">
        <v>0</v>
      </c>
      <c r="AI196" s="368">
        <v>0</v>
      </c>
      <c r="AJ196" s="396">
        <v>0</v>
      </c>
      <c r="AK196" s="368">
        <v>0</v>
      </c>
      <c r="AL196" s="368">
        <v>0</v>
      </c>
      <c r="AM196" s="368">
        <v>0</v>
      </c>
      <c r="AN196" s="368"/>
      <c r="AO196" s="368">
        <v>0</v>
      </c>
    </row>
    <row r="197" spans="1:41" s="152" customFormat="1" ht="36" customHeight="1" x14ac:dyDescent="0.9">
      <c r="B197" s="382" t="s">
        <v>773</v>
      </c>
      <c r="C197" s="388"/>
      <c r="D197" s="384" t="s">
        <v>903</v>
      </c>
      <c r="E197" s="163" t="s">
        <v>903</v>
      </c>
      <c r="F197" s="384" t="s">
        <v>903</v>
      </c>
      <c r="G197" s="384" t="s">
        <v>903</v>
      </c>
      <c r="H197" s="163" t="s">
        <v>903</v>
      </c>
      <c r="I197" s="386">
        <f>SUM(I198:I236)</f>
        <v>244071.57000000004</v>
      </c>
      <c r="J197" s="164">
        <f>SUM(J198:J236)</f>
        <v>197825.92000000007</v>
      </c>
      <c r="K197" s="164">
        <f>SUM(K198:K236)</f>
        <v>188393.16000000003</v>
      </c>
      <c r="L197" s="165">
        <f>SUM(L198:L236)</f>
        <v>8078</v>
      </c>
      <c r="M197" s="163" t="s">
        <v>903</v>
      </c>
      <c r="N197" s="163" t="s">
        <v>903</v>
      </c>
      <c r="O197" s="166" t="s">
        <v>903</v>
      </c>
      <c r="P197" s="386">
        <v>177119433.23000002</v>
      </c>
      <c r="Q197" s="164">
        <f>SUM(Q198:Q236)</f>
        <v>0</v>
      </c>
      <c r="R197" s="164">
        <f>SUM(R198:R236)</f>
        <v>0</v>
      </c>
      <c r="S197" s="164">
        <f>SUM(S198:S236)</f>
        <v>177119433.23000002</v>
      </c>
      <c r="T197" s="387">
        <f t="shared" si="34"/>
        <v>725.68645840234478</v>
      </c>
      <c r="U197" s="387">
        <f>MAX(U198:U236)</f>
        <v>10322.60319986427</v>
      </c>
      <c r="V197" s="149">
        <f t="shared" si="37"/>
        <v>9596.916741461926</v>
      </c>
      <c r="W197" s="149"/>
      <c r="X197" s="149"/>
      <c r="Y197" s="368"/>
      <c r="Z197" s="368"/>
      <c r="AA197" s="368"/>
      <c r="AB197" s="368"/>
      <c r="AC197" s="368"/>
      <c r="AD197" s="368"/>
      <c r="AE197" s="368"/>
      <c r="AF197" s="368"/>
      <c r="AG197" s="368"/>
      <c r="AH197" s="368"/>
      <c r="AI197" s="368"/>
      <c r="AJ197" s="368"/>
      <c r="AK197" s="368"/>
      <c r="AL197" s="368"/>
      <c r="AM197" s="368"/>
      <c r="AN197" s="368"/>
      <c r="AO197" s="368"/>
    </row>
    <row r="198" spans="1:41" s="152" customFormat="1" ht="36" customHeight="1" x14ac:dyDescent="0.9">
      <c r="A198" s="152">
        <v>1</v>
      </c>
      <c r="B198" s="90">
        <f>SUBTOTAL(103,$A$16:A198)</f>
        <v>180</v>
      </c>
      <c r="C198" s="89" t="s">
        <v>774</v>
      </c>
      <c r="D198" s="163">
        <v>1960</v>
      </c>
      <c r="E198" s="163"/>
      <c r="F198" s="168" t="s">
        <v>270</v>
      </c>
      <c r="G198" s="163">
        <v>4</v>
      </c>
      <c r="H198" s="163">
        <v>3</v>
      </c>
      <c r="I198" s="167">
        <v>2116.5</v>
      </c>
      <c r="J198" s="167">
        <v>1931.2</v>
      </c>
      <c r="K198" s="167">
        <v>1680.5</v>
      </c>
      <c r="L198" s="165">
        <v>73</v>
      </c>
      <c r="M198" s="163" t="s">
        <v>268</v>
      </c>
      <c r="N198" s="163" t="s">
        <v>272</v>
      </c>
      <c r="O198" s="166" t="s">
        <v>814</v>
      </c>
      <c r="P198" s="167">
        <v>8096493.6899999995</v>
      </c>
      <c r="Q198" s="167">
        <v>0</v>
      </c>
      <c r="R198" s="167">
        <v>0</v>
      </c>
      <c r="S198" s="167">
        <f t="shared" ref="S198:S226" si="49">P198-Q198-R198</f>
        <v>8096493.6899999995</v>
      </c>
      <c r="T198" s="167">
        <f t="shared" si="34"/>
        <v>3825.4163430191352</v>
      </c>
      <c r="U198" s="167">
        <v>4927.7666902905748</v>
      </c>
      <c r="V198" s="149">
        <f t="shared" si="37"/>
        <v>1102.3503472714397</v>
      </c>
      <c r="W198" s="149">
        <f t="shared" ref="W198:W236" si="50">X198+Y198+Z198+AA198+AB198+AD198+AF198+AH198+AJ198+AL198+AN198+AO198</f>
        <v>4927.7666902905748</v>
      </c>
      <c r="X198" s="149">
        <v>0</v>
      </c>
      <c r="Y198" s="368">
        <v>0</v>
      </c>
      <c r="Z198" s="368">
        <v>0</v>
      </c>
      <c r="AA198" s="368">
        <v>0</v>
      </c>
      <c r="AB198" s="368">
        <v>0</v>
      </c>
      <c r="AC198" s="368">
        <v>0</v>
      </c>
      <c r="AD198" s="368">
        <v>0</v>
      </c>
      <c r="AE198" s="368">
        <v>0</v>
      </c>
      <c r="AF198" s="396">
        <v>0</v>
      </c>
      <c r="AG198" s="368">
        <v>0</v>
      </c>
      <c r="AH198" s="396">
        <v>0</v>
      </c>
      <c r="AI198" s="368">
        <v>1402</v>
      </c>
      <c r="AJ198" s="397">
        <f>7439.1*AI198/I198</f>
        <v>4927.7666902905748</v>
      </c>
      <c r="AK198" s="368">
        <v>0</v>
      </c>
      <c r="AL198" s="368">
        <v>0</v>
      </c>
      <c r="AM198" s="368">
        <v>0</v>
      </c>
      <c r="AN198" s="368"/>
      <c r="AO198" s="368">
        <v>0</v>
      </c>
    </row>
    <row r="199" spans="1:41" s="152" customFormat="1" ht="36" customHeight="1" x14ac:dyDescent="0.9">
      <c r="A199" s="152">
        <v>1</v>
      </c>
      <c r="B199" s="90">
        <f>SUBTOTAL(103,$A$16:A199)</f>
        <v>181</v>
      </c>
      <c r="C199" s="89" t="s">
        <v>775</v>
      </c>
      <c r="D199" s="163">
        <v>1938</v>
      </c>
      <c r="E199" s="163"/>
      <c r="F199" s="168" t="s">
        <v>328</v>
      </c>
      <c r="G199" s="163">
        <v>2</v>
      </c>
      <c r="H199" s="163">
        <v>2</v>
      </c>
      <c r="I199" s="167">
        <v>692.4</v>
      </c>
      <c r="J199" s="167">
        <v>632.79999999999995</v>
      </c>
      <c r="K199" s="167">
        <v>632.79999999999995</v>
      </c>
      <c r="L199" s="165">
        <v>23</v>
      </c>
      <c r="M199" s="163" t="s">
        <v>268</v>
      </c>
      <c r="N199" s="163" t="s">
        <v>269</v>
      </c>
      <c r="O199" s="166" t="s">
        <v>271</v>
      </c>
      <c r="P199" s="167">
        <v>2194413.6799999997</v>
      </c>
      <c r="Q199" s="167">
        <v>0</v>
      </c>
      <c r="R199" s="167">
        <v>0</v>
      </c>
      <c r="S199" s="167">
        <f t="shared" si="49"/>
        <v>2194413.6799999997</v>
      </c>
      <c r="T199" s="167">
        <f t="shared" si="34"/>
        <v>3169.2860774119004</v>
      </c>
      <c r="U199" s="167">
        <v>4869.0349461294045</v>
      </c>
      <c r="V199" s="149">
        <f t="shared" si="37"/>
        <v>1699.7488687175041</v>
      </c>
      <c r="W199" s="149">
        <f t="shared" si="50"/>
        <v>4869.0349461294045</v>
      </c>
      <c r="X199" s="149">
        <v>0</v>
      </c>
      <c r="Y199" s="368">
        <v>0</v>
      </c>
      <c r="Z199" s="368">
        <v>0</v>
      </c>
      <c r="AA199" s="368">
        <v>0</v>
      </c>
      <c r="AB199" s="368">
        <v>0</v>
      </c>
      <c r="AC199" s="368">
        <v>0</v>
      </c>
      <c r="AD199" s="368">
        <v>0</v>
      </c>
      <c r="AE199" s="368">
        <v>540.37</v>
      </c>
      <c r="AF199" s="396">
        <f t="shared" ref="AF199:AF200" si="51">6238.91*AE199/I199</f>
        <v>4869.0349461294045</v>
      </c>
      <c r="AG199" s="368">
        <v>0</v>
      </c>
      <c r="AH199" s="396">
        <v>0</v>
      </c>
      <c r="AI199" s="368">
        <v>0</v>
      </c>
      <c r="AJ199" s="396">
        <v>0</v>
      </c>
      <c r="AK199" s="368">
        <v>0</v>
      </c>
      <c r="AL199" s="368">
        <v>0</v>
      </c>
      <c r="AM199" s="368">
        <v>0</v>
      </c>
      <c r="AN199" s="368"/>
      <c r="AO199" s="368">
        <v>0</v>
      </c>
    </row>
    <row r="200" spans="1:41" s="152" customFormat="1" ht="36" customHeight="1" x14ac:dyDescent="0.9">
      <c r="A200" s="152">
        <v>1</v>
      </c>
      <c r="B200" s="90">
        <f>SUBTOTAL(103,$A$16:A200)</f>
        <v>182</v>
      </c>
      <c r="C200" s="89" t="s">
        <v>776</v>
      </c>
      <c r="D200" s="163">
        <v>1961</v>
      </c>
      <c r="E200" s="163"/>
      <c r="F200" s="168" t="s">
        <v>270</v>
      </c>
      <c r="G200" s="163">
        <v>2</v>
      </c>
      <c r="H200" s="163">
        <v>1</v>
      </c>
      <c r="I200" s="167">
        <v>296.39999999999998</v>
      </c>
      <c r="J200" s="167">
        <v>275.5</v>
      </c>
      <c r="K200" s="167">
        <v>275.5</v>
      </c>
      <c r="L200" s="165">
        <v>8</v>
      </c>
      <c r="M200" s="163" t="s">
        <v>268</v>
      </c>
      <c r="N200" s="163" t="s">
        <v>272</v>
      </c>
      <c r="O200" s="166" t="s">
        <v>815</v>
      </c>
      <c r="P200" s="167">
        <v>1220001.9200000002</v>
      </c>
      <c r="Q200" s="167">
        <v>0</v>
      </c>
      <c r="R200" s="167">
        <v>0</v>
      </c>
      <c r="S200" s="167">
        <f t="shared" si="49"/>
        <v>1220001.9200000002</v>
      </c>
      <c r="T200" s="167">
        <f t="shared" si="34"/>
        <v>4116.0658569500683</v>
      </c>
      <c r="U200" s="167">
        <v>5577.9728407557359</v>
      </c>
      <c r="V200" s="149">
        <f t="shared" si="37"/>
        <v>1461.9069838056676</v>
      </c>
      <c r="W200" s="149">
        <f t="shared" si="50"/>
        <v>5577.9728407557359</v>
      </c>
      <c r="X200" s="149">
        <v>0</v>
      </c>
      <c r="Y200" s="368">
        <v>0</v>
      </c>
      <c r="Z200" s="368">
        <v>0</v>
      </c>
      <c r="AA200" s="368">
        <v>0</v>
      </c>
      <c r="AB200" s="368">
        <v>0</v>
      </c>
      <c r="AC200" s="368">
        <v>0</v>
      </c>
      <c r="AD200" s="368">
        <v>0</v>
      </c>
      <c r="AE200" s="368">
        <v>265</v>
      </c>
      <c r="AF200" s="396">
        <f t="shared" si="51"/>
        <v>5577.9728407557359</v>
      </c>
      <c r="AG200" s="368">
        <v>0</v>
      </c>
      <c r="AH200" s="396">
        <v>0</v>
      </c>
      <c r="AI200" s="368">
        <v>0</v>
      </c>
      <c r="AJ200" s="396">
        <v>0</v>
      </c>
      <c r="AK200" s="368">
        <v>0</v>
      </c>
      <c r="AL200" s="368">
        <v>0</v>
      </c>
      <c r="AM200" s="368">
        <v>0</v>
      </c>
      <c r="AN200" s="368"/>
      <c r="AO200" s="368">
        <v>0</v>
      </c>
    </row>
    <row r="201" spans="1:41" s="152" customFormat="1" ht="36" customHeight="1" x14ac:dyDescent="0.9">
      <c r="A201" s="152">
        <v>1</v>
      </c>
      <c r="B201" s="90">
        <f>SUBTOTAL(103,$A$16:A201)</f>
        <v>183</v>
      </c>
      <c r="C201" s="89" t="s">
        <v>777</v>
      </c>
      <c r="D201" s="163">
        <v>1988</v>
      </c>
      <c r="E201" s="163"/>
      <c r="F201" s="168" t="s">
        <v>322</v>
      </c>
      <c r="G201" s="163">
        <v>9</v>
      </c>
      <c r="H201" s="163">
        <v>3</v>
      </c>
      <c r="I201" s="167">
        <v>6561.4</v>
      </c>
      <c r="J201" s="167">
        <v>5844</v>
      </c>
      <c r="K201" s="167">
        <v>5844</v>
      </c>
      <c r="L201" s="165">
        <v>243</v>
      </c>
      <c r="M201" s="163" t="s">
        <v>268</v>
      </c>
      <c r="N201" s="163" t="s">
        <v>272</v>
      </c>
      <c r="O201" s="166" t="s">
        <v>816</v>
      </c>
      <c r="P201" s="167">
        <v>4940032.6899999995</v>
      </c>
      <c r="Q201" s="167">
        <v>0</v>
      </c>
      <c r="R201" s="167">
        <v>0</v>
      </c>
      <c r="S201" s="167">
        <f t="shared" si="49"/>
        <v>4940032.6899999995</v>
      </c>
      <c r="T201" s="167">
        <f t="shared" si="34"/>
        <v>752.8930853171579</v>
      </c>
      <c r="U201" s="167">
        <v>1123.7540768738379</v>
      </c>
      <c r="V201" s="149">
        <f t="shared" si="37"/>
        <v>370.86099155668001</v>
      </c>
      <c r="W201" s="149">
        <f t="shared" si="50"/>
        <v>1123.7540768738379</v>
      </c>
      <c r="X201" s="149">
        <v>0</v>
      </c>
      <c r="Y201" s="368">
        <v>0</v>
      </c>
      <c r="Z201" s="368">
        <v>0</v>
      </c>
      <c r="AA201" s="368">
        <v>0</v>
      </c>
      <c r="AB201" s="368">
        <v>0</v>
      </c>
      <c r="AC201" s="368">
        <v>3</v>
      </c>
      <c r="AD201" s="396">
        <f t="shared" ref="AD201:AD204" si="52">2457800*AC201/I201</f>
        <v>1123.7540768738379</v>
      </c>
      <c r="AE201" s="368">
        <v>0</v>
      </c>
      <c r="AF201" s="396">
        <v>0</v>
      </c>
      <c r="AG201" s="368">
        <v>0</v>
      </c>
      <c r="AH201" s="396">
        <v>0</v>
      </c>
      <c r="AI201" s="368">
        <v>0</v>
      </c>
      <c r="AJ201" s="396">
        <v>0</v>
      </c>
      <c r="AK201" s="368">
        <v>0</v>
      </c>
      <c r="AL201" s="368">
        <v>0</v>
      </c>
      <c r="AM201" s="368">
        <v>0</v>
      </c>
      <c r="AN201" s="368"/>
      <c r="AO201" s="368">
        <v>0</v>
      </c>
    </row>
    <row r="202" spans="1:41" s="152" customFormat="1" ht="36" customHeight="1" x14ac:dyDescent="0.9">
      <c r="A202" s="152">
        <v>1</v>
      </c>
      <c r="B202" s="90">
        <f>SUBTOTAL(103,$A$16:A202)</f>
        <v>184</v>
      </c>
      <c r="C202" s="89" t="s">
        <v>778</v>
      </c>
      <c r="D202" s="163">
        <v>1988</v>
      </c>
      <c r="E202" s="163"/>
      <c r="F202" s="168" t="s">
        <v>270</v>
      </c>
      <c r="G202" s="163">
        <v>9</v>
      </c>
      <c r="H202" s="163">
        <v>4</v>
      </c>
      <c r="I202" s="167">
        <v>9256.7000000000007</v>
      </c>
      <c r="J202" s="167">
        <v>8471</v>
      </c>
      <c r="K202" s="167">
        <v>8471</v>
      </c>
      <c r="L202" s="165">
        <v>452</v>
      </c>
      <c r="M202" s="163" t="s">
        <v>268</v>
      </c>
      <c r="N202" s="163" t="s">
        <v>272</v>
      </c>
      <c r="O202" s="166" t="s">
        <v>815</v>
      </c>
      <c r="P202" s="167">
        <v>8305636.5700000003</v>
      </c>
      <c r="Q202" s="167">
        <v>0</v>
      </c>
      <c r="R202" s="167">
        <v>0</v>
      </c>
      <c r="S202" s="167">
        <f t="shared" si="49"/>
        <v>8305636.5700000003</v>
      </c>
      <c r="T202" s="167">
        <f t="shared" si="34"/>
        <v>897.25675132606648</v>
      </c>
      <c r="U202" s="167">
        <v>1062.0631542558363</v>
      </c>
      <c r="V202" s="149">
        <f t="shared" si="37"/>
        <v>164.80640292976977</v>
      </c>
      <c r="W202" s="149">
        <f t="shared" si="50"/>
        <v>1062.0631542558363</v>
      </c>
      <c r="X202" s="149">
        <v>0</v>
      </c>
      <c r="Y202" s="368">
        <v>0</v>
      </c>
      <c r="Z202" s="368">
        <v>0</v>
      </c>
      <c r="AA202" s="368">
        <v>0</v>
      </c>
      <c r="AB202" s="368">
        <v>0</v>
      </c>
      <c r="AC202" s="368">
        <v>4</v>
      </c>
      <c r="AD202" s="396">
        <f t="shared" si="52"/>
        <v>1062.0631542558363</v>
      </c>
      <c r="AE202" s="368">
        <v>0</v>
      </c>
      <c r="AF202" s="396">
        <v>0</v>
      </c>
      <c r="AG202" s="368">
        <v>0</v>
      </c>
      <c r="AH202" s="396">
        <v>0</v>
      </c>
      <c r="AI202" s="368">
        <v>0</v>
      </c>
      <c r="AJ202" s="396">
        <v>0</v>
      </c>
      <c r="AK202" s="368">
        <v>0</v>
      </c>
      <c r="AL202" s="368">
        <v>0</v>
      </c>
      <c r="AM202" s="368">
        <v>0</v>
      </c>
      <c r="AN202" s="368"/>
      <c r="AO202" s="368">
        <v>0</v>
      </c>
    </row>
    <row r="203" spans="1:41" s="152" customFormat="1" ht="36" customHeight="1" x14ac:dyDescent="0.9">
      <c r="A203" s="152">
        <v>1</v>
      </c>
      <c r="B203" s="90">
        <f>SUBTOTAL(103,$A$16:A203)</f>
        <v>185</v>
      </c>
      <c r="C203" s="89" t="s">
        <v>779</v>
      </c>
      <c r="D203" s="163">
        <v>1984</v>
      </c>
      <c r="E203" s="163"/>
      <c r="F203" s="168" t="s">
        <v>322</v>
      </c>
      <c r="G203" s="163">
        <v>9</v>
      </c>
      <c r="H203" s="163">
        <v>5</v>
      </c>
      <c r="I203" s="167">
        <v>12333.3</v>
      </c>
      <c r="J203" s="167">
        <v>9670</v>
      </c>
      <c r="K203" s="167">
        <v>9670</v>
      </c>
      <c r="L203" s="165">
        <v>417</v>
      </c>
      <c r="M203" s="163" t="s">
        <v>268</v>
      </c>
      <c r="N203" s="163" t="s">
        <v>272</v>
      </c>
      <c r="O203" s="166" t="s">
        <v>817</v>
      </c>
      <c r="P203" s="167">
        <v>10305814.43</v>
      </c>
      <c r="Q203" s="167">
        <v>0</v>
      </c>
      <c r="R203" s="167">
        <v>0</v>
      </c>
      <c r="S203" s="167">
        <f t="shared" si="49"/>
        <v>10305814.43</v>
      </c>
      <c r="T203" s="167">
        <f t="shared" si="34"/>
        <v>835.60883380765893</v>
      </c>
      <c r="U203" s="167">
        <v>996.408098400266</v>
      </c>
      <c r="V203" s="149">
        <f t="shared" si="37"/>
        <v>160.79926459260707</v>
      </c>
      <c r="W203" s="149">
        <f t="shared" si="50"/>
        <v>996.408098400266</v>
      </c>
      <c r="X203" s="149">
        <v>0</v>
      </c>
      <c r="Y203" s="368">
        <v>0</v>
      </c>
      <c r="Z203" s="368">
        <v>0</v>
      </c>
      <c r="AA203" s="368">
        <v>0</v>
      </c>
      <c r="AB203" s="368">
        <v>0</v>
      </c>
      <c r="AC203" s="368">
        <v>5</v>
      </c>
      <c r="AD203" s="396">
        <f t="shared" si="52"/>
        <v>996.408098400266</v>
      </c>
      <c r="AE203" s="368">
        <v>0</v>
      </c>
      <c r="AF203" s="396">
        <v>0</v>
      </c>
      <c r="AG203" s="368">
        <v>0</v>
      </c>
      <c r="AH203" s="396">
        <v>0</v>
      </c>
      <c r="AI203" s="368">
        <v>0</v>
      </c>
      <c r="AJ203" s="396">
        <v>0</v>
      </c>
      <c r="AK203" s="368">
        <v>0</v>
      </c>
      <c r="AL203" s="368">
        <v>0</v>
      </c>
      <c r="AM203" s="368">
        <v>0</v>
      </c>
      <c r="AN203" s="368"/>
      <c r="AO203" s="368">
        <v>0</v>
      </c>
    </row>
    <row r="204" spans="1:41" s="152" customFormat="1" ht="36" customHeight="1" x14ac:dyDescent="0.9">
      <c r="A204" s="152">
        <v>1</v>
      </c>
      <c r="B204" s="90">
        <f>SUBTOTAL(103,$A$16:A204)</f>
        <v>186</v>
      </c>
      <c r="C204" s="89" t="s">
        <v>780</v>
      </c>
      <c r="D204" s="163">
        <v>1987</v>
      </c>
      <c r="E204" s="163"/>
      <c r="F204" s="168" t="s">
        <v>322</v>
      </c>
      <c r="G204" s="163">
        <v>9</v>
      </c>
      <c r="H204" s="163">
        <v>5</v>
      </c>
      <c r="I204" s="167">
        <v>12462.6</v>
      </c>
      <c r="J204" s="167">
        <v>9746.7999999999993</v>
      </c>
      <c r="K204" s="167">
        <v>9746.7999999999993</v>
      </c>
      <c r="L204" s="165">
        <v>419</v>
      </c>
      <c r="M204" s="163" t="s">
        <v>268</v>
      </c>
      <c r="N204" s="163" t="s">
        <v>272</v>
      </c>
      <c r="O204" s="166" t="s">
        <v>817</v>
      </c>
      <c r="P204" s="167">
        <v>9954095.7100000009</v>
      </c>
      <c r="Q204" s="167">
        <v>0</v>
      </c>
      <c r="R204" s="167">
        <v>0</v>
      </c>
      <c r="S204" s="167">
        <f t="shared" si="49"/>
        <v>9954095.7100000009</v>
      </c>
      <c r="T204" s="167">
        <f t="shared" si="34"/>
        <v>798.71741931860129</v>
      </c>
      <c r="U204" s="167">
        <v>986.07032240463468</v>
      </c>
      <c r="V204" s="149">
        <f t="shared" si="37"/>
        <v>187.35290308603339</v>
      </c>
      <c r="W204" s="149">
        <f t="shared" si="50"/>
        <v>986.07032240463468</v>
      </c>
      <c r="X204" s="149">
        <v>0</v>
      </c>
      <c r="Y204" s="368">
        <v>0</v>
      </c>
      <c r="Z204" s="368">
        <v>0</v>
      </c>
      <c r="AA204" s="368">
        <v>0</v>
      </c>
      <c r="AB204" s="368">
        <v>0</v>
      </c>
      <c r="AC204" s="368">
        <v>5</v>
      </c>
      <c r="AD204" s="396">
        <f t="shared" si="52"/>
        <v>986.07032240463468</v>
      </c>
      <c r="AE204" s="368">
        <v>0</v>
      </c>
      <c r="AF204" s="396">
        <v>0</v>
      </c>
      <c r="AG204" s="368">
        <v>0</v>
      </c>
      <c r="AH204" s="396">
        <v>0</v>
      </c>
      <c r="AI204" s="368">
        <v>0</v>
      </c>
      <c r="AJ204" s="396">
        <v>0</v>
      </c>
      <c r="AK204" s="368">
        <v>0</v>
      </c>
      <c r="AL204" s="368">
        <v>0</v>
      </c>
      <c r="AM204" s="368">
        <v>0</v>
      </c>
      <c r="AN204" s="368"/>
      <c r="AO204" s="368">
        <v>0</v>
      </c>
    </row>
    <row r="205" spans="1:41" s="152" customFormat="1" ht="36" customHeight="1" x14ac:dyDescent="0.9">
      <c r="A205" s="152">
        <v>1</v>
      </c>
      <c r="B205" s="90">
        <f>SUBTOTAL(103,$A$16:A205)</f>
        <v>187</v>
      </c>
      <c r="C205" s="89" t="s">
        <v>781</v>
      </c>
      <c r="D205" s="163">
        <v>1937</v>
      </c>
      <c r="E205" s="163"/>
      <c r="F205" s="168" t="s">
        <v>270</v>
      </c>
      <c r="G205" s="163">
        <v>3</v>
      </c>
      <c r="H205" s="163">
        <v>4</v>
      </c>
      <c r="I205" s="167">
        <v>2718</v>
      </c>
      <c r="J205" s="167">
        <v>2039</v>
      </c>
      <c r="K205" s="167">
        <v>2039</v>
      </c>
      <c r="L205" s="165">
        <v>62</v>
      </c>
      <c r="M205" s="163" t="s">
        <v>268</v>
      </c>
      <c r="N205" s="163" t="s">
        <v>272</v>
      </c>
      <c r="O205" s="166" t="s">
        <v>818</v>
      </c>
      <c r="P205" s="167">
        <v>9310459.7000000011</v>
      </c>
      <c r="Q205" s="167">
        <v>0</v>
      </c>
      <c r="R205" s="167">
        <v>0</v>
      </c>
      <c r="S205" s="167">
        <f t="shared" si="49"/>
        <v>9310459.7000000011</v>
      </c>
      <c r="T205" s="167">
        <f t="shared" si="34"/>
        <v>3425.4818616629877</v>
      </c>
      <c r="U205" s="167">
        <v>4341.5</v>
      </c>
      <c r="V205" s="149">
        <f t="shared" si="37"/>
        <v>916.01813833701226</v>
      </c>
      <c r="W205" s="149">
        <f t="shared" si="50"/>
        <v>4341.5</v>
      </c>
      <c r="X205" s="149">
        <v>101.55</v>
      </c>
      <c r="Y205" s="368">
        <v>0</v>
      </c>
      <c r="Z205" s="368">
        <v>3259.66</v>
      </c>
      <c r="AA205" s="368">
        <v>184.98</v>
      </c>
      <c r="AB205" s="368">
        <v>795.31</v>
      </c>
      <c r="AC205" s="368">
        <v>0</v>
      </c>
      <c r="AD205" s="368">
        <v>0</v>
      </c>
      <c r="AE205" s="368">
        <v>0</v>
      </c>
      <c r="AF205" s="396">
        <v>0</v>
      </c>
      <c r="AG205" s="368">
        <v>0</v>
      </c>
      <c r="AH205" s="396">
        <v>0</v>
      </c>
      <c r="AI205" s="368">
        <v>0</v>
      </c>
      <c r="AJ205" s="396">
        <v>0</v>
      </c>
      <c r="AK205" s="368">
        <v>0</v>
      </c>
      <c r="AL205" s="368">
        <v>0</v>
      </c>
      <c r="AM205" s="368">
        <v>0</v>
      </c>
      <c r="AN205" s="368"/>
      <c r="AO205" s="368">
        <v>0</v>
      </c>
    </row>
    <row r="206" spans="1:41" s="152" customFormat="1" ht="36" customHeight="1" x14ac:dyDescent="0.9">
      <c r="A206" s="152">
        <v>1</v>
      </c>
      <c r="B206" s="90">
        <f>SUBTOTAL(103,$A$16:A206)</f>
        <v>188</v>
      </c>
      <c r="C206" s="89" t="s">
        <v>782</v>
      </c>
      <c r="D206" s="163">
        <v>1958</v>
      </c>
      <c r="E206" s="163"/>
      <c r="F206" s="168" t="s">
        <v>270</v>
      </c>
      <c r="G206" s="163">
        <v>2</v>
      </c>
      <c r="H206" s="163">
        <v>2</v>
      </c>
      <c r="I206" s="167">
        <v>478.27</v>
      </c>
      <c r="J206" s="167">
        <v>304.72000000000003</v>
      </c>
      <c r="K206" s="167">
        <v>304.72000000000003</v>
      </c>
      <c r="L206" s="165">
        <v>20</v>
      </c>
      <c r="M206" s="163" t="s">
        <v>268</v>
      </c>
      <c r="N206" s="163" t="s">
        <v>269</v>
      </c>
      <c r="O206" s="166" t="s">
        <v>271</v>
      </c>
      <c r="P206" s="167">
        <v>1703879.76</v>
      </c>
      <c r="Q206" s="167">
        <v>0</v>
      </c>
      <c r="R206" s="167">
        <v>0</v>
      </c>
      <c r="S206" s="167">
        <f t="shared" si="49"/>
        <v>1703879.76</v>
      </c>
      <c r="T206" s="167">
        <f t="shared" si="34"/>
        <v>3562.5896669245408</v>
      </c>
      <c r="U206" s="167">
        <v>8805.2026052229921</v>
      </c>
      <c r="V206" s="149">
        <f t="shared" si="37"/>
        <v>5242.6129382984509</v>
      </c>
      <c r="W206" s="149">
        <f t="shared" si="50"/>
        <v>8805.2026052229921</v>
      </c>
      <c r="X206" s="149">
        <v>0</v>
      </c>
      <c r="Y206" s="368">
        <v>0</v>
      </c>
      <c r="Z206" s="368">
        <v>0</v>
      </c>
      <c r="AA206" s="368">
        <v>0</v>
      </c>
      <c r="AB206" s="368">
        <v>0</v>
      </c>
      <c r="AC206" s="368">
        <v>0</v>
      </c>
      <c r="AD206" s="368">
        <v>0</v>
      </c>
      <c r="AE206" s="368">
        <v>675</v>
      </c>
      <c r="AF206" s="396">
        <f>6238.91*AE206/I206</f>
        <v>8805.2026052229921</v>
      </c>
      <c r="AG206" s="368">
        <v>0</v>
      </c>
      <c r="AH206" s="396">
        <v>0</v>
      </c>
      <c r="AI206" s="368">
        <v>0</v>
      </c>
      <c r="AJ206" s="396">
        <v>0</v>
      </c>
      <c r="AK206" s="368">
        <v>0</v>
      </c>
      <c r="AL206" s="368">
        <v>0</v>
      </c>
      <c r="AM206" s="368">
        <v>0</v>
      </c>
      <c r="AN206" s="368"/>
      <c r="AO206" s="368">
        <v>0</v>
      </c>
    </row>
    <row r="207" spans="1:41" s="152" customFormat="1" ht="36" customHeight="1" x14ac:dyDescent="0.9">
      <c r="A207" s="152">
        <v>1</v>
      </c>
      <c r="B207" s="90">
        <f>SUBTOTAL(103,$A$16:A207)</f>
        <v>189</v>
      </c>
      <c r="C207" s="89" t="s">
        <v>783</v>
      </c>
      <c r="D207" s="163">
        <v>1962</v>
      </c>
      <c r="E207" s="163"/>
      <c r="F207" s="168" t="s">
        <v>270</v>
      </c>
      <c r="G207" s="163">
        <v>6</v>
      </c>
      <c r="H207" s="163">
        <v>5</v>
      </c>
      <c r="I207" s="167">
        <v>5489.1</v>
      </c>
      <c r="J207" s="167">
        <v>4498.1000000000004</v>
      </c>
      <c r="K207" s="167">
        <v>4151.8999999999996</v>
      </c>
      <c r="L207" s="165">
        <v>130</v>
      </c>
      <c r="M207" s="163" t="s">
        <v>268</v>
      </c>
      <c r="N207" s="163" t="s">
        <v>272</v>
      </c>
      <c r="O207" s="166" t="s">
        <v>819</v>
      </c>
      <c r="P207" s="167">
        <v>114842.89</v>
      </c>
      <c r="Q207" s="167">
        <v>0</v>
      </c>
      <c r="R207" s="167">
        <v>0</v>
      </c>
      <c r="S207" s="167">
        <f t="shared" si="49"/>
        <v>114842.89</v>
      </c>
      <c r="T207" s="167">
        <f t="shared" si="34"/>
        <v>20.921989032810476</v>
      </c>
      <c r="U207" s="167">
        <v>20.921989032810476</v>
      </c>
      <c r="V207" s="149">
        <f t="shared" si="37"/>
        <v>0</v>
      </c>
      <c r="W207" s="149">
        <f>T207</f>
        <v>20.921989032810476</v>
      </c>
      <c r="X207" s="149">
        <v>0</v>
      </c>
      <c r="Y207" s="368">
        <v>0</v>
      </c>
      <c r="Z207" s="368">
        <v>0</v>
      </c>
      <c r="AA207" s="368">
        <v>0</v>
      </c>
      <c r="AB207" s="368">
        <v>0</v>
      </c>
      <c r="AC207" s="368">
        <v>0</v>
      </c>
      <c r="AD207" s="368">
        <v>0</v>
      </c>
      <c r="AE207" s="368">
        <v>0</v>
      </c>
      <c r="AF207" s="396">
        <v>0</v>
      </c>
      <c r="AG207" s="368">
        <v>0</v>
      </c>
      <c r="AH207" s="396">
        <v>0</v>
      </c>
      <c r="AI207" s="368">
        <v>0</v>
      </c>
      <c r="AJ207" s="396">
        <v>0</v>
      </c>
      <c r="AK207" s="368">
        <v>0</v>
      </c>
      <c r="AL207" s="368">
        <v>0</v>
      </c>
      <c r="AM207" s="368">
        <v>0</v>
      </c>
      <c r="AN207" s="368"/>
      <c r="AO207" s="368">
        <v>0</v>
      </c>
    </row>
    <row r="208" spans="1:41" s="152" customFormat="1" ht="36" customHeight="1" x14ac:dyDescent="0.9">
      <c r="A208" s="152">
        <v>1</v>
      </c>
      <c r="B208" s="90">
        <f>SUBTOTAL(103,$A$16:A208)</f>
        <v>190</v>
      </c>
      <c r="C208" s="89" t="s">
        <v>784</v>
      </c>
      <c r="D208" s="163">
        <v>1962</v>
      </c>
      <c r="E208" s="163"/>
      <c r="F208" s="168" t="s">
        <v>270</v>
      </c>
      <c r="G208" s="163">
        <v>4</v>
      </c>
      <c r="H208" s="163">
        <v>3</v>
      </c>
      <c r="I208" s="167">
        <v>2946.2</v>
      </c>
      <c r="J208" s="167">
        <v>1810.2</v>
      </c>
      <c r="K208" s="167">
        <v>1653.1</v>
      </c>
      <c r="L208" s="165">
        <v>95</v>
      </c>
      <c r="M208" s="163" t="s">
        <v>268</v>
      </c>
      <c r="N208" s="163" t="s">
        <v>272</v>
      </c>
      <c r="O208" s="166" t="s">
        <v>816</v>
      </c>
      <c r="P208" s="167">
        <v>5123354.76</v>
      </c>
      <c r="Q208" s="167">
        <v>0</v>
      </c>
      <c r="R208" s="167">
        <v>0</v>
      </c>
      <c r="S208" s="167">
        <f t="shared" si="49"/>
        <v>5123354.76</v>
      </c>
      <c r="T208" s="167">
        <f t="shared" ref="T208:T274" si="53">P208/I208</f>
        <v>1738.9704568596837</v>
      </c>
      <c r="U208" s="167">
        <v>2287.0215192451292</v>
      </c>
      <c r="V208" s="149">
        <f t="shared" si="37"/>
        <v>548.05106238544545</v>
      </c>
      <c r="W208" s="149">
        <f t="shared" si="50"/>
        <v>2287.0215192451292</v>
      </c>
      <c r="X208" s="149">
        <v>0</v>
      </c>
      <c r="Y208" s="368">
        <v>0</v>
      </c>
      <c r="Z208" s="368">
        <v>0</v>
      </c>
      <c r="AA208" s="368">
        <v>0</v>
      </c>
      <c r="AB208" s="368">
        <v>0</v>
      </c>
      <c r="AC208" s="368">
        <v>0</v>
      </c>
      <c r="AD208" s="368">
        <v>0</v>
      </c>
      <c r="AE208" s="368">
        <v>1080</v>
      </c>
      <c r="AF208" s="396">
        <f t="shared" ref="AF208:AF209" si="54">6238.91*AE208/I208</f>
        <v>2287.0215192451292</v>
      </c>
      <c r="AG208" s="368">
        <v>0</v>
      </c>
      <c r="AH208" s="396">
        <v>0</v>
      </c>
      <c r="AI208" s="368">
        <v>0</v>
      </c>
      <c r="AJ208" s="396">
        <v>0</v>
      </c>
      <c r="AK208" s="368">
        <v>0</v>
      </c>
      <c r="AL208" s="368">
        <v>0</v>
      </c>
      <c r="AM208" s="368">
        <v>0</v>
      </c>
      <c r="AN208" s="368"/>
      <c r="AO208" s="368">
        <v>0</v>
      </c>
    </row>
    <row r="209" spans="1:41" s="152" customFormat="1" ht="36" customHeight="1" x14ac:dyDescent="0.9">
      <c r="A209" s="152">
        <v>1</v>
      </c>
      <c r="B209" s="90">
        <f>SUBTOTAL(103,$A$16:A209)</f>
        <v>191</v>
      </c>
      <c r="C209" s="89" t="s">
        <v>785</v>
      </c>
      <c r="D209" s="163">
        <v>1930</v>
      </c>
      <c r="E209" s="163"/>
      <c r="F209" s="168" t="s">
        <v>270</v>
      </c>
      <c r="G209" s="163">
        <v>4</v>
      </c>
      <c r="H209" s="163">
        <v>2</v>
      </c>
      <c r="I209" s="167">
        <v>3000</v>
      </c>
      <c r="J209" s="167">
        <v>2823.84</v>
      </c>
      <c r="K209" s="167">
        <v>1772.64</v>
      </c>
      <c r="L209" s="165">
        <v>98</v>
      </c>
      <c r="M209" s="163" t="s">
        <v>268</v>
      </c>
      <c r="N209" s="163" t="s">
        <v>269</v>
      </c>
      <c r="O209" s="166" t="s">
        <v>271</v>
      </c>
      <c r="P209" s="167">
        <v>8021093.6299999999</v>
      </c>
      <c r="Q209" s="167">
        <v>0</v>
      </c>
      <c r="R209" s="167">
        <v>0</v>
      </c>
      <c r="S209" s="167">
        <f t="shared" si="49"/>
        <v>8021093.6299999999</v>
      </c>
      <c r="T209" s="167">
        <f t="shared" si="53"/>
        <v>2673.6978766666666</v>
      </c>
      <c r="U209" s="167">
        <v>3656.6820896666673</v>
      </c>
      <c r="V209" s="149">
        <f t="shared" si="37"/>
        <v>982.98421300000064</v>
      </c>
      <c r="W209" s="149">
        <f t="shared" si="50"/>
        <v>3656.6820896666673</v>
      </c>
      <c r="X209" s="149">
        <v>0</v>
      </c>
      <c r="Y209" s="368">
        <v>0</v>
      </c>
      <c r="Z209" s="368">
        <v>0</v>
      </c>
      <c r="AA209" s="368">
        <v>0</v>
      </c>
      <c r="AB209" s="368">
        <v>795.31</v>
      </c>
      <c r="AC209" s="368">
        <v>0</v>
      </c>
      <c r="AD209" s="368">
        <v>0</v>
      </c>
      <c r="AE209" s="368">
        <v>1375.9</v>
      </c>
      <c r="AF209" s="396">
        <f t="shared" si="54"/>
        <v>2861.3720896666673</v>
      </c>
      <c r="AG209" s="368">
        <v>0</v>
      </c>
      <c r="AH209" s="396">
        <v>0</v>
      </c>
      <c r="AI209" s="368">
        <v>0</v>
      </c>
      <c r="AJ209" s="396">
        <v>0</v>
      </c>
      <c r="AK209" s="368">
        <v>0</v>
      </c>
      <c r="AL209" s="368">
        <v>0</v>
      </c>
      <c r="AM209" s="368">
        <v>0</v>
      </c>
      <c r="AN209" s="368"/>
      <c r="AO209" s="368">
        <v>0</v>
      </c>
    </row>
    <row r="210" spans="1:41" s="152" customFormat="1" ht="36" customHeight="1" x14ac:dyDescent="0.9">
      <c r="A210" s="152">
        <v>1</v>
      </c>
      <c r="B210" s="90">
        <f>SUBTOTAL(103,$A$16:A210)</f>
        <v>192</v>
      </c>
      <c r="C210" s="89" t="s">
        <v>1180</v>
      </c>
      <c r="D210" s="163">
        <v>1954</v>
      </c>
      <c r="E210" s="163"/>
      <c r="F210" s="168" t="s">
        <v>270</v>
      </c>
      <c r="G210" s="163">
        <v>2</v>
      </c>
      <c r="H210" s="163">
        <v>1</v>
      </c>
      <c r="I210" s="167">
        <v>796.2</v>
      </c>
      <c r="J210" s="167">
        <v>475.5</v>
      </c>
      <c r="K210" s="167">
        <v>475.5</v>
      </c>
      <c r="L210" s="165">
        <v>37</v>
      </c>
      <c r="M210" s="163" t="s">
        <v>268</v>
      </c>
      <c r="N210" s="163" t="s">
        <v>272</v>
      </c>
      <c r="O210" s="166" t="s">
        <v>1315</v>
      </c>
      <c r="P210" s="167">
        <v>3517276.18</v>
      </c>
      <c r="Q210" s="167">
        <v>0</v>
      </c>
      <c r="R210" s="167">
        <v>0</v>
      </c>
      <c r="S210" s="167">
        <f t="shared" si="49"/>
        <v>3517276.18</v>
      </c>
      <c r="T210" s="167">
        <f t="shared" si="53"/>
        <v>4417.5787239387091</v>
      </c>
      <c r="U210" s="167">
        <v>7620.9197513187637</v>
      </c>
      <c r="V210" s="149">
        <f t="shared" ref="V210:V236" si="55">U210-T210</f>
        <v>3203.3410273800546</v>
      </c>
      <c r="W210" s="149">
        <f t="shared" si="50"/>
        <v>7620.9197513187637</v>
      </c>
      <c r="X210" s="149">
        <v>0</v>
      </c>
      <c r="Y210" s="368">
        <v>0</v>
      </c>
      <c r="Z210" s="368">
        <v>0</v>
      </c>
      <c r="AA210" s="368">
        <v>0</v>
      </c>
      <c r="AB210" s="368">
        <v>0</v>
      </c>
      <c r="AC210" s="368">
        <v>0</v>
      </c>
      <c r="AD210" s="368">
        <v>0</v>
      </c>
      <c r="AE210" s="368">
        <v>0</v>
      </c>
      <c r="AF210" s="396">
        <v>0</v>
      </c>
      <c r="AG210" s="368">
        <v>0</v>
      </c>
      <c r="AH210" s="396">
        <v>0</v>
      </c>
      <c r="AI210" s="368">
        <v>815.66</v>
      </c>
      <c r="AJ210" s="397">
        <f>7439.1*AI210/I210</f>
        <v>7620.9197513187637</v>
      </c>
      <c r="AK210" s="368">
        <v>0</v>
      </c>
      <c r="AL210" s="368">
        <v>0</v>
      </c>
      <c r="AM210" s="368">
        <v>0</v>
      </c>
      <c r="AN210" s="368"/>
      <c r="AO210" s="368">
        <v>0</v>
      </c>
    </row>
    <row r="211" spans="1:41" s="152" customFormat="1" ht="36" customHeight="1" x14ac:dyDescent="0.9">
      <c r="A211" s="152">
        <v>1</v>
      </c>
      <c r="B211" s="90">
        <f>SUBTOTAL(103,$A$16:A211)</f>
        <v>193</v>
      </c>
      <c r="C211" s="89" t="s">
        <v>1181</v>
      </c>
      <c r="D211" s="163">
        <v>1937</v>
      </c>
      <c r="E211" s="163"/>
      <c r="F211" s="168" t="s">
        <v>270</v>
      </c>
      <c r="G211" s="163">
        <v>3</v>
      </c>
      <c r="H211" s="163">
        <v>4</v>
      </c>
      <c r="I211" s="167">
        <v>2626</v>
      </c>
      <c r="J211" s="167">
        <v>2539.62</v>
      </c>
      <c r="K211" s="167">
        <v>2422.8000000000002</v>
      </c>
      <c r="L211" s="165">
        <v>96</v>
      </c>
      <c r="M211" s="163" t="s">
        <v>268</v>
      </c>
      <c r="N211" s="163" t="s">
        <v>272</v>
      </c>
      <c r="O211" s="166" t="s">
        <v>823</v>
      </c>
      <c r="P211" s="167">
        <v>584803.79</v>
      </c>
      <c r="Q211" s="167">
        <v>0</v>
      </c>
      <c r="R211" s="167">
        <v>0</v>
      </c>
      <c r="S211" s="167">
        <f t="shared" si="49"/>
        <v>584803.79</v>
      </c>
      <c r="T211" s="167">
        <f t="shared" si="53"/>
        <v>222.6975590251333</v>
      </c>
      <c r="U211" s="167">
        <v>795.31</v>
      </c>
      <c r="V211" s="149">
        <f t="shared" si="55"/>
        <v>572.61244097486667</v>
      </c>
      <c r="W211" s="149">
        <f t="shared" si="50"/>
        <v>795.31</v>
      </c>
      <c r="X211" s="149">
        <v>0</v>
      </c>
      <c r="Y211" s="368">
        <v>0</v>
      </c>
      <c r="Z211" s="368">
        <v>0</v>
      </c>
      <c r="AA211" s="368">
        <v>0</v>
      </c>
      <c r="AB211" s="368">
        <v>795.31</v>
      </c>
      <c r="AC211" s="368">
        <v>0</v>
      </c>
      <c r="AD211" s="368">
        <v>0</v>
      </c>
      <c r="AE211" s="368">
        <v>0</v>
      </c>
      <c r="AF211" s="396">
        <v>0</v>
      </c>
      <c r="AG211" s="368">
        <v>0</v>
      </c>
      <c r="AH211" s="396">
        <v>0</v>
      </c>
      <c r="AI211" s="368">
        <v>0</v>
      </c>
      <c r="AJ211" s="396">
        <v>0</v>
      </c>
      <c r="AK211" s="368">
        <v>0</v>
      </c>
      <c r="AL211" s="368">
        <v>0</v>
      </c>
      <c r="AM211" s="368">
        <v>0</v>
      </c>
      <c r="AN211" s="368"/>
      <c r="AO211" s="368">
        <v>0</v>
      </c>
    </row>
    <row r="212" spans="1:41" s="152" customFormat="1" ht="36" customHeight="1" x14ac:dyDescent="0.9">
      <c r="A212" s="152">
        <v>1</v>
      </c>
      <c r="B212" s="90">
        <f>SUBTOTAL(103,$A$16:A212)</f>
        <v>194</v>
      </c>
      <c r="C212" s="89" t="s">
        <v>1182</v>
      </c>
      <c r="D212" s="163">
        <v>1934</v>
      </c>
      <c r="E212" s="163"/>
      <c r="F212" s="168" t="s">
        <v>270</v>
      </c>
      <c r="G212" s="163">
        <v>4</v>
      </c>
      <c r="H212" s="163">
        <v>6</v>
      </c>
      <c r="I212" s="167">
        <v>3106.06</v>
      </c>
      <c r="J212" s="167">
        <v>2975.66</v>
      </c>
      <c r="K212" s="167">
        <v>2536.1999999999998</v>
      </c>
      <c r="L212" s="165">
        <v>138</v>
      </c>
      <c r="M212" s="163" t="s">
        <v>268</v>
      </c>
      <c r="N212" s="163" t="s">
        <v>272</v>
      </c>
      <c r="O212" s="166" t="s">
        <v>1626</v>
      </c>
      <c r="P212" s="167">
        <v>5597667.4300000006</v>
      </c>
      <c r="Q212" s="167">
        <v>0</v>
      </c>
      <c r="R212" s="167">
        <v>0</v>
      </c>
      <c r="S212" s="167">
        <f t="shared" si="49"/>
        <v>5597667.4300000006</v>
      </c>
      <c r="T212" s="167">
        <f t="shared" si="53"/>
        <v>1802.1762071563332</v>
      </c>
      <c r="U212" s="167">
        <v>2422.8437377899977</v>
      </c>
      <c r="V212" s="149">
        <f t="shared" si="55"/>
        <v>620.66753063366446</v>
      </c>
      <c r="W212" s="149">
        <f t="shared" si="50"/>
        <v>2422.8437377899977</v>
      </c>
      <c r="X212" s="149">
        <v>0</v>
      </c>
      <c r="Y212" s="368">
        <v>0</v>
      </c>
      <c r="Z212" s="368">
        <v>0</v>
      </c>
      <c r="AA212" s="368">
        <v>0</v>
      </c>
      <c r="AB212" s="368">
        <v>0</v>
      </c>
      <c r="AC212" s="368">
        <v>0</v>
      </c>
      <c r="AD212" s="368">
        <v>0</v>
      </c>
      <c r="AE212" s="368">
        <v>1206.22</v>
      </c>
      <c r="AF212" s="396">
        <f>6238.91*AE212/I212</f>
        <v>2422.8437377899977</v>
      </c>
      <c r="AG212" s="368">
        <v>0</v>
      </c>
      <c r="AH212" s="396">
        <v>0</v>
      </c>
      <c r="AI212" s="368">
        <v>0</v>
      </c>
      <c r="AJ212" s="396">
        <v>0</v>
      </c>
      <c r="AK212" s="368">
        <v>0</v>
      </c>
      <c r="AL212" s="368">
        <v>0</v>
      </c>
      <c r="AM212" s="368">
        <v>0</v>
      </c>
      <c r="AN212" s="368"/>
      <c r="AO212" s="368">
        <v>0</v>
      </c>
    </row>
    <row r="213" spans="1:41" s="152" customFormat="1" ht="36" customHeight="1" x14ac:dyDescent="0.9">
      <c r="A213" s="152">
        <v>1</v>
      </c>
      <c r="B213" s="90">
        <f>SUBTOTAL(103,$A$16:A213)</f>
        <v>195</v>
      </c>
      <c r="C213" s="89" t="s">
        <v>1183</v>
      </c>
      <c r="D213" s="163">
        <v>1965</v>
      </c>
      <c r="E213" s="163"/>
      <c r="F213" s="168" t="s">
        <v>270</v>
      </c>
      <c r="G213" s="163">
        <v>4</v>
      </c>
      <c r="H213" s="163">
        <v>2</v>
      </c>
      <c r="I213" s="167">
        <v>1301</v>
      </c>
      <c r="J213" s="167">
        <v>819</v>
      </c>
      <c r="K213" s="167">
        <v>819</v>
      </c>
      <c r="L213" s="165">
        <v>55</v>
      </c>
      <c r="M213" s="163" t="s">
        <v>268</v>
      </c>
      <c r="N213" s="163" t="s">
        <v>272</v>
      </c>
      <c r="O213" s="166" t="s">
        <v>818</v>
      </c>
      <c r="P213" s="167">
        <v>958906.03</v>
      </c>
      <c r="Q213" s="167">
        <v>0</v>
      </c>
      <c r="R213" s="167">
        <v>0</v>
      </c>
      <c r="S213" s="167">
        <f t="shared" si="49"/>
        <v>958906.03</v>
      </c>
      <c r="T213" s="167">
        <f t="shared" si="53"/>
        <v>737.05305918524209</v>
      </c>
      <c r="U213" s="167">
        <v>980.29</v>
      </c>
      <c r="V213" s="149">
        <f t="shared" si="55"/>
        <v>243.23694081475787</v>
      </c>
      <c r="W213" s="149">
        <f t="shared" si="50"/>
        <v>980.29</v>
      </c>
      <c r="X213" s="149">
        <v>0</v>
      </c>
      <c r="Y213" s="368">
        <v>0</v>
      </c>
      <c r="Z213" s="368">
        <v>0</v>
      </c>
      <c r="AA213" s="368">
        <v>184.98</v>
      </c>
      <c r="AB213" s="368">
        <v>795.31</v>
      </c>
      <c r="AC213" s="368">
        <v>0</v>
      </c>
      <c r="AD213" s="368">
        <v>0</v>
      </c>
      <c r="AE213" s="368">
        <v>0</v>
      </c>
      <c r="AF213" s="396">
        <v>0</v>
      </c>
      <c r="AG213" s="368">
        <v>0</v>
      </c>
      <c r="AH213" s="396">
        <v>0</v>
      </c>
      <c r="AI213" s="368">
        <v>0</v>
      </c>
      <c r="AJ213" s="396">
        <v>0</v>
      </c>
      <c r="AK213" s="368">
        <v>0</v>
      </c>
      <c r="AL213" s="368">
        <v>0</v>
      </c>
      <c r="AM213" s="368">
        <v>0</v>
      </c>
      <c r="AN213" s="368"/>
      <c r="AO213" s="368">
        <v>0</v>
      </c>
    </row>
    <row r="214" spans="1:41" s="152" customFormat="1" ht="36" customHeight="1" x14ac:dyDescent="0.9">
      <c r="A214" s="152">
        <v>1</v>
      </c>
      <c r="B214" s="90">
        <f>SUBTOTAL(103,$A$16:A214)</f>
        <v>196</v>
      </c>
      <c r="C214" s="89" t="s">
        <v>1185</v>
      </c>
      <c r="D214" s="163">
        <v>1981</v>
      </c>
      <c r="E214" s="163"/>
      <c r="F214" s="168" t="s">
        <v>322</v>
      </c>
      <c r="G214" s="163">
        <v>5</v>
      </c>
      <c r="H214" s="163">
        <v>6</v>
      </c>
      <c r="I214" s="167">
        <v>6247.1</v>
      </c>
      <c r="J214" s="167">
        <v>4719.7</v>
      </c>
      <c r="K214" s="167">
        <v>4641.3999999999996</v>
      </c>
      <c r="L214" s="165">
        <v>201</v>
      </c>
      <c r="M214" s="163" t="s">
        <v>268</v>
      </c>
      <c r="N214" s="163" t="s">
        <v>272</v>
      </c>
      <c r="O214" s="166" t="s">
        <v>1361</v>
      </c>
      <c r="P214" s="167">
        <v>3942505.78</v>
      </c>
      <c r="Q214" s="167">
        <v>0</v>
      </c>
      <c r="R214" s="167">
        <v>0</v>
      </c>
      <c r="S214" s="167">
        <f t="shared" si="49"/>
        <v>3942505.78</v>
      </c>
      <c r="T214" s="167">
        <f t="shared" si="53"/>
        <v>631.09375230106764</v>
      </c>
      <c r="U214" s="167">
        <v>1110.4422898624962</v>
      </c>
      <c r="V214" s="149">
        <f t="shared" si="55"/>
        <v>479.34853756142854</v>
      </c>
      <c r="W214" s="149">
        <f t="shared" si="50"/>
        <v>1110.4422898624962</v>
      </c>
      <c r="X214" s="149">
        <v>0</v>
      </c>
      <c r="Y214" s="368">
        <v>0</v>
      </c>
      <c r="Z214" s="368">
        <v>0</v>
      </c>
      <c r="AA214" s="368">
        <v>0</v>
      </c>
      <c r="AB214" s="368">
        <v>0</v>
      </c>
      <c r="AC214" s="368">
        <v>0</v>
      </c>
      <c r="AD214" s="368">
        <v>0</v>
      </c>
      <c r="AE214" s="368">
        <v>1111.9000000000001</v>
      </c>
      <c r="AF214" s="396">
        <f>6238.91*AE214/I214</f>
        <v>1110.4422898624962</v>
      </c>
      <c r="AG214" s="368">
        <v>0</v>
      </c>
      <c r="AH214" s="396">
        <v>0</v>
      </c>
      <c r="AI214" s="368">
        <v>0</v>
      </c>
      <c r="AJ214" s="396">
        <v>0</v>
      </c>
      <c r="AK214" s="368">
        <v>0</v>
      </c>
      <c r="AL214" s="368">
        <v>0</v>
      </c>
      <c r="AM214" s="368">
        <v>0</v>
      </c>
      <c r="AN214" s="368"/>
      <c r="AO214" s="368">
        <v>0</v>
      </c>
    </row>
    <row r="215" spans="1:41" s="152" customFormat="1" ht="36" customHeight="1" x14ac:dyDescent="0.9">
      <c r="A215" s="152">
        <v>1</v>
      </c>
      <c r="B215" s="90">
        <f>SUBTOTAL(103,$A$16:A215)</f>
        <v>197</v>
      </c>
      <c r="C215" s="89" t="s">
        <v>1186</v>
      </c>
      <c r="D215" s="163" t="s">
        <v>1343</v>
      </c>
      <c r="E215" s="163"/>
      <c r="F215" s="168" t="s">
        <v>270</v>
      </c>
      <c r="G215" s="163" t="s">
        <v>307</v>
      </c>
      <c r="H215" s="163" t="s">
        <v>308</v>
      </c>
      <c r="I215" s="167">
        <v>286.8</v>
      </c>
      <c r="J215" s="167">
        <v>236.8</v>
      </c>
      <c r="K215" s="167">
        <v>236.8</v>
      </c>
      <c r="L215" s="165">
        <v>9</v>
      </c>
      <c r="M215" s="163" t="s">
        <v>268</v>
      </c>
      <c r="N215" s="163" t="s">
        <v>269</v>
      </c>
      <c r="O215" s="166" t="s">
        <v>271</v>
      </c>
      <c r="P215" s="167">
        <v>1625426.78</v>
      </c>
      <c r="Q215" s="167">
        <v>0</v>
      </c>
      <c r="R215" s="167">
        <v>0</v>
      </c>
      <c r="S215" s="167">
        <f t="shared" si="49"/>
        <v>1625426.78</v>
      </c>
      <c r="T215" s="167">
        <f t="shared" si="53"/>
        <v>5667.4573919107388</v>
      </c>
      <c r="U215" s="167">
        <v>9843.0602092050212</v>
      </c>
      <c r="V215" s="149">
        <f t="shared" si="55"/>
        <v>4175.6028172942824</v>
      </c>
      <c r="W215" s="149">
        <f t="shared" si="50"/>
        <v>9843.0602092050212</v>
      </c>
      <c r="X215" s="149">
        <v>0</v>
      </c>
      <c r="Y215" s="368">
        <v>0</v>
      </c>
      <c r="Z215" s="368">
        <v>0</v>
      </c>
      <c r="AA215" s="368">
        <v>0</v>
      </c>
      <c r="AB215" s="368">
        <v>0</v>
      </c>
      <c r="AC215" s="368">
        <v>0</v>
      </c>
      <c r="AD215" s="368">
        <v>0</v>
      </c>
      <c r="AE215" s="368">
        <v>0</v>
      </c>
      <c r="AF215" s="396">
        <v>0</v>
      </c>
      <c r="AG215" s="368">
        <v>0</v>
      </c>
      <c r="AH215" s="396">
        <v>0</v>
      </c>
      <c r="AI215" s="368">
        <v>379.48</v>
      </c>
      <c r="AJ215" s="397">
        <f>7439.1*AI215/I215</f>
        <v>9843.0602092050212</v>
      </c>
      <c r="AK215" s="368">
        <v>0</v>
      </c>
      <c r="AL215" s="368">
        <v>0</v>
      </c>
      <c r="AM215" s="368">
        <v>0</v>
      </c>
      <c r="AN215" s="368"/>
      <c r="AO215" s="368">
        <v>0</v>
      </c>
    </row>
    <row r="216" spans="1:41" s="152" customFormat="1" ht="36" customHeight="1" x14ac:dyDescent="0.9">
      <c r="A216" s="152">
        <v>1</v>
      </c>
      <c r="B216" s="90">
        <f>SUBTOTAL(103,$A$16:A216)</f>
        <v>198</v>
      </c>
      <c r="C216" s="89" t="s">
        <v>1187</v>
      </c>
      <c r="D216" s="163">
        <v>1979</v>
      </c>
      <c r="E216" s="163"/>
      <c r="F216" s="168" t="s">
        <v>270</v>
      </c>
      <c r="G216" s="163">
        <v>9</v>
      </c>
      <c r="H216" s="163">
        <v>12</v>
      </c>
      <c r="I216" s="167">
        <v>25677.4</v>
      </c>
      <c r="J216" s="167">
        <v>23071.200000000001</v>
      </c>
      <c r="K216" s="167">
        <v>22907.62</v>
      </c>
      <c r="L216" s="165">
        <v>888</v>
      </c>
      <c r="M216" s="163" t="s">
        <v>268</v>
      </c>
      <c r="N216" s="163" t="s">
        <v>272</v>
      </c>
      <c r="O216" s="166" t="s">
        <v>816</v>
      </c>
      <c r="P216" s="167">
        <v>4355063.8499999996</v>
      </c>
      <c r="Q216" s="167">
        <v>0</v>
      </c>
      <c r="R216" s="167">
        <v>0</v>
      </c>
      <c r="S216" s="167">
        <f t="shared" si="49"/>
        <v>4355063.8499999996</v>
      </c>
      <c r="T216" s="167">
        <f t="shared" si="53"/>
        <v>169.6068858217732</v>
      </c>
      <c r="U216" s="167">
        <v>287.15524157430269</v>
      </c>
      <c r="V216" s="149">
        <f t="shared" si="55"/>
        <v>117.54835575252949</v>
      </c>
      <c r="W216" s="149">
        <f t="shared" si="50"/>
        <v>287.15524157430269</v>
      </c>
      <c r="X216" s="149">
        <v>0</v>
      </c>
      <c r="Y216" s="368">
        <v>0</v>
      </c>
      <c r="Z216" s="368">
        <v>0</v>
      </c>
      <c r="AA216" s="368">
        <v>0</v>
      </c>
      <c r="AB216" s="368">
        <v>0</v>
      </c>
      <c r="AC216" s="368">
        <v>3</v>
      </c>
      <c r="AD216" s="396">
        <f>2457800*AC216/I216</f>
        <v>287.15524157430269</v>
      </c>
      <c r="AE216" s="368">
        <v>0</v>
      </c>
      <c r="AF216" s="396">
        <v>0</v>
      </c>
      <c r="AG216" s="368">
        <v>0</v>
      </c>
      <c r="AH216" s="396">
        <v>0</v>
      </c>
      <c r="AI216" s="368">
        <v>0</v>
      </c>
      <c r="AJ216" s="396">
        <v>0</v>
      </c>
      <c r="AK216" s="368">
        <v>0</v>
      </c>
      <c r="AL216" s="368">
        <v>0</v>
      </c>
      <c r="AM216" s="368">
        <v>0</v>
      </c>
      <c r="AN216" s="368"/>
      <c r="AO216" s="368">
        <v>0</v>
      </c>
    </row>
    <row r="217" spans="1:41" s="152" customFormat="1" ht="36" customHeight="1" x14ac:dyDescent="0.9">
      <c r="A217" s="152">
        <v>1</v>
      </c>
      <c r="B217" s="90">
        <f>SUBTOTAL(103,$A$16:A217)</f>
        <v>199</v>
      </c>
      <c r="C217" s="89" t="s">
        <v>1188</v>
      </c>
      <c r="D217" s="163">
        <v>1949</v>
      </c>
      <c r="E217" s="163"/>
      <c r="F217" s="168" t="s">
        <v>270</v>
      </c>
      <c r="G217" s="163">
        <v>2</v>
      </c>
      <c r="H217" s="163">
        <v>1</v>
      </c>
      <c r="I217" s="167">
        <v>404.4</v>
      </c>
      <c r="J217" s="167">
        <v>347.7</v>
      </c>
      <c r="K217" s="167">
        <v>374.7</v>
      </c>
      <c r="L217" s="165">
        <v>26</v>
      </c>
      <c r="M217" s="163" t="s">
        <v>268</v>
      </c>
      <c r="N217" s="163" t="s">
        <v>272</v>
      </c>
      <c r="O217" s="166" t="s">
        <v>1315</v>
      </c>
      <c r="P217" s="167">
        <v>2299678.3200000003</v>
      </c>
      <c r="Q217" s="167">
        <v>0</v>
      </c>
      <c r="R217" s="167">
        <v>0</v>
      </c>
      <c r="S217" s="167">
        <f t="shared" si="49"/>
        <v>2299678.3200000003</v>
      </c>
      <c r="T217" s="167">
        <f t="shared" si="53"/>
        <v>5686.6427299703273</v>
      </c>
      <c r="U217" s="167">
        <v>9264.6595548961432</v>
      </c>
      <c r="V217" s="149">
        <f t="shared" si="55"/>
        <v>3578.0168249258159</v>
      </c>
      <c r="W217" s="149">
        <f t="shared" si="50"/>
        <v>9264.6595548961432</v>
      </c>
      <c r="X217" s="149">
        <v>0</v>
      </c>
      <c r="Y217" s="368">
        <v>0</v>
      </c>
      <c r="Z217" s="368">
        <v>0</v>
      </c>
      <c r="AA217" s="368">
        <v>0</v>
      </c>
      <c r="AB217" s="368">
        <v>0</v>
      </c>
      <c r="AC217" s="368">
        <v>0</v>
      </c>
      <c r="AD217" s="368">
        <v>0</v>
      </c>
      <c r="AE217" s="368">
        <v>0</v>
      </c>
      <c r="AF217" s="396">
        <v>0</v>
      </c>
      <c r="AG217" s="368">
        <v>0</v>
      </c>
      <c r="AH217" s="396">
        <v>0</v>
      </c>
      <c r="AI217" s="368">
        <v>503.64</v>
      </c>
      <c r="AJ217" s="397">
        <f t="shared" ref="AJ217:AJ218" si="56">7439.1*AI217/I217</f>
        <v>9264.6595548961432</v>
      </c>
      <c r="AK217" s="368">
        <v>0</v>
      </c>
      <c r="AL217" s="368">
        <v>0</v>
      </c>
      <c r="AM217" s="368">
        <v>0</v>
      </c>
      <c r="AN217" s="368"/>
      <c r="AO217" s="368">
        <v>0</v>
      </c>
    </row>
    <row r="218" spans="1:41" s="152" customFormat="1" ht="36" customHeight="1" x14ac:dyDescent="0.9">
      <c r="A218" s="152">
        <v>1</v>
      </c>
      <c r="B218" s="90">
        <f>SUBTOTAL(103,$A$16:A218)</f>
        <v>200</v>
      </c>
      <c r="C218" s="89" t="s">
        <v>1189</v>
      </c>
      <c r="D218" s="163">
        <v>1958</v>
      </c>
      <c r="E218" s="163"/>
      <c r="F218" s="168" t="s">
        <v>270</v>
      </c>
      <c r="G218" s="163">
        <v>2</v>
      </c>
      <c r="H218" s="163">
        <v>1</v>
      </c>
      <c r="I218" s="167">
        <v>294.7</v>
      </c>
      <c r="J218" s="167">
        <v>278</v>
      </c>
      <c r="K218" s="167">
        <v>278</v>
      </c>
      <c r="L218" s="165">
        <v>13</v>
      </c>
      <c r="M218" s="163" t="s">
        <v>268</v>
      </c>
      <c r="N218" s="163" t="s">
        <v>272</v>
      </c>
      <c r="O218" s="166" t="s">
        <v>1315</v>
      </c>
      <c r="P218" s="167">
        <v>2329359.0300000003</v>
      </c>
      <c r="Q218" s="167">
        <v>0</v>
      </c>
      <c r="R218" s="167">
        <v>0</v>
      </c>
      <c r="S218" s="167">
        <f t="shared" si="49"/>
        <v>2329359.0300000003</v>
      </c>
      <c r="T218" s="167">
        <f t="shared" si="53"/>
        <v>7904.170444519852</v>
      </c>
      <c r="U218" s="167">
        <v>10322.60319986427</v>
      </c>
      <c r="V218" s="149">
        <f t="shared" si="55"/>
        <v>2418.4327553444182</v>
      </c>
      <c r="W218" s="149">
        <f t="shared" si="50"/>
        <v>10322.60319986427</v>
      </c>
      <c r="X218" s="149">
        <v>0</v>
      </c>
      <c r="Y218" s="368">
        <v>0</v>
      </c>
      <c r="Z218" s="368">
        <v>0</v>
      </c>
      <c r="AA218" s="368">
        <v>0</v>
      </c>
      <c r="AB218" s="368">
        <v>0</v>
      </c>
      <c r="AC218" s="368">
        <v>0</v>
      </c>
      <c r="AD218" s="368">
        <v>0</v>
      </c>
      <c r="AE218" s="368">
        <v>0</v>
      </c>
      <c r="AF218" s="396">
        <v>0</v>
      </c>
      <c r="AG218" s="368">
        <v>0</v>
      </c>
      <c r="AH218" s="396">
        <v>0</v>
      </c>
      <c r="AI218" s="368">
        <v>408.93</v>
      </c>
      <c r="AJ218" s="397">
        <f t="shared" si="56"/>
        <v>10322.60319986427</v>
      </c>
      <c r="AK218" s="368">
        <v>0</v>
      </c>
      <c r="AL218" s="368">
        <v>0</v>
      </c>
      <c r="AM218" s="368">
        <v>0</v>
      </c>
      <c r="AN218" s="368"/>
      <c r="AO218" s="368">
        <v>0</v>
      </c>
    </row>
    <row r="219" spans="1:41" s="152" customFormat="1" ht="36" customHeight="1" x14ac:dyDescent="0.9">
      <c r="A219" s="152">
        <v>1</v>
      </c>
      <c r="B219" s="90">
        <f>SUBTOTAL(103,$A$16:A219)</f>
        <v>201</v>
      </c>
      <c r="C219" s="89" t="s">
        <v>1190</v>
      </c>
      <c r="D219" s="163">
        <v>1993</v>
      </c>
      <c r="E219" s="163"/>
      <c r="F219" s="168" t="s">
        <v>322</v>
      </c>
      <c r="G219" s="163">
        <v>9</v>
      </c>
      <c r="H219" s="163">
        <v>4</v>
      </c>
      <c r="I219" s="167">
        <v>10873.5</v>
      </c>
      <c r="J219" s="167">
        <v>7661.3</v>
      </c>
      <c r="K219" s="167">
        <v>7661.3</v>
      </c>
      <c r="L219" s="165">
        <v>328</v>
      </c>
      <c r="M219" s="163" t="s">
        <v>268</v>
      </c>
      <c r="N219" s="163" t="s">
        <v>272</v>
      </c>
      <c r="O219" s="166" t="s">
        <v>1362</v>
      </c>
      <c r="P219" s="167">
        <v>6356844.0800000001</v>
      </c>
      <c r="Q219" s="167">
        <v>0</v>
      </c>
      <c r="R219" s="167">
        <v>0</v>
      </c>
      <c r="S219" s="167">
        <f t="shared" si="49"/>
        <v>6356844.0800000001</v>
      </c>
      <c r="T219" s="167">
        <f t="shared" si="53"/>
        <v>584.61802363544393</v>
      </c>
      <c r="U219" s="167">
        <v>904.14310019772847</v>
      </c>
      <c r="V219" s="149">
        <f t="shared" si="55"/>
        <v>319.52507656228454</v>
      </c>
      <c r="W219" s="149">
        <f t="shared" si="50"/>
        <v>904.14310019772847</v>
      </c>
      <c r="X219" s="149">
        <v>0</v>
      </c>
      <c r="Y219" s="368">
        <v>0</v>
      </c>
      <c r="Z219" s="368">
        <v>0</v>
      </c>
      <c r="AA219" s="368">
        <v>0</v>
      </c>
      <c r="AB219" s="368">
        <v>0</v>
      </c>
      <c r="AC219" s="368">
        <v>4</v>
      </c>
      <c r="AD219" s="396">
        <f>2457800*AC219/I219</f>
        <v>904.14310019772847</v>
      </c>
      <c r="AE219" s="368">
        <v>0</v>
      </c>
      <c r="AF219" s="396">
        <v>0</v>
      </c>
      <c r="AG219" s="368">
        <v>0</v>
      </c>
      <c r="AH219" s="396">
        <v>0</v>
      </c>
      <c r="AI219" s="368">
        <v>0</v>
      </c>
      <c r="AJ219" s="396">
        <v>0</v>
      </c>
      <c r="AK219" s="368">
        <v>0</v>
      </c>
      <c r="AL219" s="368">
        <v>0</v>
      </c>
      <c r="AM219" s="368">
        <v>0</v>
      </c>
      <c r="AN219" s="368"/>
      <c r="AO219" s="368">
        <v>0</v>
      </c>
    </row>
    <row r="220" spans="1:41" s="152" customFormat="1" ht="36" customHeight="1" x14ac:dyDescent="0.9">
      <c r="A220" s="152">
        <v>1</v>
      </c>
      <c r="B220" s="90">
        <f>SUBTOTAL(103,$A$16:A220)</f>
        <v>202</v>
      </c>
      <c r="C220" s="89" t="s">
        <v>1294</v>
      </c>
      <c r="D220" s="163">
        <v>1931</v>
      </c>
      <c r="E220" s="163"/>
      <c r="F220" s="168" t="s">
        <v>270</v>
      </c>
      <c r="G220" s="163">
        <v>4</v>
      </c>
      <c r="H220" s="163">
        <v>6</v>
      </c>
      <c r="I220" s="167">
        <v>4408.1000000000004</v>
      </c>
      <c r="J220" s="167">
        <v>3565.39</v>
      </c>
      <c r="K220" s="167">
        <v>2791.19</v>
      </c>
      <c r="L220" s="165">
        <v>109</v>
      </c>
      <c r="M220" s="163" t="s">
        <v>268</v>
      </c>
      <c r="N220" s="163" t="s">
        <v>272</v>
      </c>
      <c r="O220" s="166" t="s">
        <v>1371</v>
      </c>
      <c r="P220" s="167">
        <v>6395339.7400000002</v>
      </c>
      <c r="Q220" s="167">
        <v>0</v>
      </c>
      <c r="R220" s="167">
        <v>0</v>
      </c>
      <c r="S220" s="167">
        <f t="shared" si="49"/>
        <v>6395339.7400000002</v>
      </c>
      <c r="T220" s="167">
        <f t="shared" si="53"/>
        <v>1450.8154851296476</v>
      </c>
      <c r="U220" s="167">
        <v>2192.0467818107572</v>
      </c>
      <c r="V220" s="149">
        <f t="shared" si="55"/>
        <v>741.2312966811096</v>
      </c>
      <c r="W220" s="149">
        <f t="shared" si="50"/>
        <v>2192.0467818107572</v>
      </c>
      <c r="X220" s="149">
        <v>0</v>
      </c>
      <c r="Y220" s="368">
        <v>0</v>
      </c>
      <c r="Z220" s="368">
        <v>0</v>
      </c>
      <c r="AA220" s="368">
        <v>0</v>
      </c>
      <c r="AB220" s="368">
        <v>0</v>
      </c>
      <c r="AC220" s="368">
        <v>0</v>
      </c>
      <c r="AD220" s="368">
        <v>0</v>
      </c>
      <c r="AE220" s="368">
        <v>1548.79</v>
      </c>
      <c r="AF220" s="396">
        <f>6238.91*AE220/I220</f>
        <v>2192.0467818107572</v>
      </c>
      <c r="AG220" s="368">
        <v>0</v>
      </c>
      <c r="AH220" s="396">
        <v>0</v>
      </c>
      <c r="AI220" s="368">
        <v>0</v>
      </c>
      <c r="AJ220" s="396">
        <v>0</v>
      </c>
      <c r="AK220" s="368">
        <v>0</v>
      </c>
      <c r="AL220" s="368">
        <v>0</v>
      </c>
      <c r="AM220" s="368">
        <v>0</v>
      </c>
      <c r="AN220" s="368"/>
      <c r="AO220" s="368">
        <v>0</v>
      </c>
    </row>
    <row r="221" spans="1:41" s="152" customFormat="1" ht="36" customHeight="1" x14ac:dyDescent="0.9">
      <c r="A221" s="152">
        <v>1</v>
      </c>
      <c r="B221" s="90">
        <f>SUBTOTAL(103,$A$16:A221)</f>
        <v>203</v>
      </c>
      <c r="C221" s="89" t="s">
        <v>1386</v>
      </c>
      <c r="D221" s="163">
        <v>1986</v>
      </c>
      <c r="E221" s="163"/>
      <c r="F221" s="168" t="s">
        <v>270</v>
      </c>
      <c r="G221" s="163">
        <v>9</v>
      </c>
      <c r="H221" s="163">
        <v>9</v>
      </c>
      <c r="I221" s="167">
        <v>28272.12</v>
      </c>
      <c r="J221" s="167">
        <v>23513.1</v>
      </c>
      <c r="K221" s="167">
        <v>20084.3</v>
      </c>
      <c r="L221" s="165">
        <v>668</v>
      </c>
      <c r="M221" s="163" t="s">
        <v>268</v>
      </c>
      <c r="N221" s="163" t="s">
        <v>345</v>
      </c>
      <c r="O221" s="166" t="s">
        <v>1407</v>
      </c>
      <c r="P221" s="167">
        <v>13083489.59</v>
      </c>
      <c r="Q221" s="167">
        <v>0</v>
      </c>
      <c r="R221" s="167">
        <v>0</v>
      </c>
      <c r="S221" s="167">
        <f t="shared" si="49"/>
        <v>13083489.59</v>
      </c>
      <c r="T221" s="167">
        <f t="shared" si="53"/>
        <v>462.77002184484223</v>
      </c>
      <c r="U221" s="167">
        <v>782.40330049532895</v>
      </c>
      <c r="V221" s="149">
        <f t="shared" si="55"/>
        <v>319.63327865048672</v>
      </c>
      <c r="W221" s="149">
        <f t="shared" si="50"/>
        <v>782.40330049532895</v>
      </c>
      <c r="X221" s="149">
        <v>0</v>
      </c>
      <c r="Y221" s="368">
        <v>0</v>
      </c>
      <c r="Z221" s="368">
        <v>0</v>
      </c>
      <c r="AA221" s="368">
        <v>0</v>
      </c>
      <c r="AB221" s="368">
        <v>0</v>
      </c>
      <c r="AC221" s="368">
        <v>9</v>
      </c>
      <c r="AD221" s="396">
        <f t="shared" ref="AD221:AD229" si="57">2457800*AC221/I221</f>
        <v>782.40330049532895</v>
      </c>
      <c r="AE221" s="368">
        <v>0</v>
      </c>
      <c r="AF221" s="396">
        <v>0</v>
      </c>
      <c r="AG221" s="368">
        <v>0</v>
      </c>
      <c r="AH221" s="396">
        <v>0</v>
      </c>
      <c r="AI221" s="368">
        <v>0</v>
      </c>
      <c r="AJ221" s="396">
        <v>0</v>
      </c>
      <c r="AK221" s="368">
        <v>0</v>
      </c>
      <c r="AL221" s="368">
        <v>0</v>
      </c>
      <c r="AM221" s="368">
        <v>0</v>
      </c>
      <c r="AN221" s="368"/>
      <c r="AO221" s="368">
        <v>0</v>
      </c>
    </row>
    <row r="222" spans="1:41" s="152" customFormat="1" ht="36" customHeight="1" x14ac:dyDescent="0.9">
      <c r="A222" s="152">
        <v>1</v>
      </c>
      <c r="B222" s="90">
        <f>SUBTOTAL(103,$A$16:A222)</f>
        <v>204</v>
      </c>
      <c r="C222" s="89" t="s">
        <v>1402</v>
      </c>
      <c r="D222" s="163">
        <v>1986</v>
      </c>
      <c r="E222" s="163"/>
      <c r="F222" s="168" t="s">
        <v>322</v>
      </c>
      <c r="G222" s="163">
        <v>9</v>
      </c>
      <c r="H222" s="163">
        <v>3</v>
      </c>
      <c r="I222" s="167">
        <v>7745.7</v>
      </c>
      <c r="J222" s="167">
        <v>7042.6</v>
      </c>
      <c r="K222" s="167">
        <v>5847.8</v>
      </c>
      <c r="L222" s="165">
        <v>220</v>
      </c>
      <c r="M222" s="163" t="s">
        <v>268</v>
      </c>
      <c r="N222" s="163" t="s">
        <v>272</v>
      </c>
      <c r="O222" s="166" t="s">
        <v>1408</v>
      </c>
      <c r="P222" s="167">
        <v>5478127.7400000002</v>
      </c>
      <c r="Q222" s="167">
        <v>0</v>
      </c>
      <c r="R222" s="167">
        <v>0</v>
      </c>
      <c r="S222" s="167">
        <f t="shared" si="49"/>
        <v>5478127.7400000002</v>
      </c>
      <c r="T222" s="167">
        <f t="shared" si="53"/>
        <v>707.24760060420624</v>
      </c>
      <c r="U222" s="167">
        <v>951.93462179015455</v>
      </c>
      <c r="V222" s="149">
        <f t="shared" si="55"/>
        <v>244.68702118594831</v>
      </c>
      <c r="W222" s="149">
        <f t="shared" si="50"/>
        <v>951.93462179015455</v>
      </c>
      <c r="X222" s="149">
        <v>0</v>
      </c>
      <c r="Y222" s="368">
        <v>0</v>
      </c>
      <c r="Z222" s="368">
        <v>0</v>
      </c>
      <c r="AA222" s="368">
        <v>0</v>
      </c>
      <c r="AB222" s="368">
        <v>0</v>
      </c>
      <c r="AC222" s="368">
        <v>3</v>
      </c>
      <c r="AD222" s="396">
        <f t="shared" si="57"/>
        <v>951.93462179015455</v>
      </c>
      <c r="AE222" s="368">
        <v>0</v>
      </c>
      <c r="AF222" s="396">
        <v>0</v>
      </c>
      <c r="AG222" s="368">
        <v>0</v>
      </c>
      <c r="AH222" s="396">
        <v>0</v>
      </c>
      <c r="AI222" s="368">
        <v>0</v>
      </c>
      <c r="AJ222" s="396">
        <v>0</v>
      </c>
      <c r="AK222" s="368">
        <v>0</v>
      </c>
      <c r="AL222" s="368">
        <v>0</v>
      </c>
      <c r="AM222" s="368">
        <v>0</v>
      </c>
      <c r="AN222" s="368"/>
      <c r="AO222" s="368">
        <v>0</v>
      </c>
    </row>
    <row r="223" spans="1:41" s="152" customFormat="1" ht="36" customHeight="1" x14ac:dyDescent="0.9">
      <c r="A223" s="152">
        <v>1</v>
      </c>
      <c r="B223" s="90">
        <f>SUBTOTAL(103,$A$16:A223)</f>
        <v>205</v>
      </c>
      <c r="C223" s="89" t="s">
        <v>1403</v>
      </c>
      <c r="D223" s="163">
        <v>1986</v>
      </c>
      <c r="E223" s="163"/>
      <c r="F223" s="168" t="s">
        <v>322</v>
      </c>
      <c r="G223" s="163">
        <v>9</v>
      </c>
      <c r="H223" s="163">
        <v>4</v>
      </c>
      <c r="I223" s="167">
        <v>8861.6</v>
      </c>
      <c r="J223" s="167">
        <v>7955.2</v>
      </c>
      <c r="K223" s="167">
        <v>7895.7</v>
      </c>
      <c r="L223" s="165">
        <v>295</v>
      </c>
      <c r="M223" s="163" t="s">
        <v>268</v>
      </c>
      <c r="N223" s="163" t="s">
        <v>302</v>
      </c>
      <c r="O223" s="166" t="s">
        <v>1409</v>
      </c>
      <c r="P223" s="167">
        <v>7310851.2000000002</v>
      </c>
      <c r="Q223" s="167">
        <v>0</v>
      </c>
      <c r="R223" s="167">
        <v>0</v>
      </c>
      <c r="S223" s="167">
        <f t="shared" si="49"/>
        <v>7310851.2000000002</v>
      </c>
      <c r="T223" s="167">
        <f t="shared" si="53"/>
        <v>825.00352080888331</v>
      </c>
      <c r="U223" s="167">
        <v>1109.4159068339802</v>
      </c>
      <c r="V223" s="149">
        <f t="shared" si="55"/>
        <v>284.41238602509691</v>
      </c>
      <c r="W223" s="149">
        <f t="shared" si="50"/>
        <v>1109.4159068339802</v>
      </c>
      <c r="X223" s="149">
        <v>0</v>
      </c>
      <c r="Y223" s="368">
        <v>0</v>
      </c>
      <c r="Z223" s="368">
        <v>0</v>
      </c>
      <c r="AA223" s="368">
        <v>0</v>
      </c>
      <c r="AB223" s="368">
        <v>0</v>
      </c>
      <c r="AC223" s="368">
        <v>4</v>
      </c>
      <c r="AD223" s="396">
        <f t="shared" si="57"/>
        <v>1109.4159068339802</v>
      </c>
      <c r="AE223" s="368">
        <v>0</v>
      </c>
      <c r="AF223" s="396">
        <v>0</v>
      </c>
      <c r="AG223" s="368">
        <v>0</v>
      </c>
      <c r="AH223" s="396">
        <v>0</v>
      </c>
      <c r="AI223" s="368">
        <v>0</v>
      </c>
      <c r="AJ223" s="396">
        <v>0</v>
      </c>
      <c r="AK223" s="368">
        <v>0</v>
      </c>
      <c r="AL223" s="368">
        <v>0</v>
      </c>
      <c r="AM223" s="368">
        <v>0</v>
      </c>
      <c r="AN223" s="368"/>
      <c r="AO223" s="368">
        <v>0</v>
      </c>
    </row>
    <row r="224" spans="1:41" s="152" customFormat="1" ht="36" customHeight="1" x14ac:dyDescent="0.9">
      <c r="A224" s="152">
        <v>1</v>
      </c>
      <c r="B224" s="90">
        <f>SUBTOTAL(103,$A$16:A224)</f>
        <v>206</v>
      </c>
      <c r="C224" s="89" t="s">
        <v>1404</v>
      </c>
      <c r="D224" s="163">
        <v>1988</v>
      </c>
      <c r="E224" s="163"/>
      <c r="F224" s="168" t="s">
        <v>322</v>
      </c>
      <c r="G224" s="163">
        <v>9</v>
      </c>
      <c r="H224" s="163">
        <v>3</v>
      </c>
      <c r="I224" s="167">
        <v>6529.9</v>
      </c>
      <c r="J224" s="167">
        <v>5819.3</v>
      </c>
      <c r="K224" s="167">
        <v>5819.3</v>
      </c>
      <c r="L224" s="165">
        <v>281</v>
      </c>
      <c r="M224" s="163" t="s">
        <v>268</v>
      </c>
      <c r="N224" s="163" t="s">
        <v>272</v>
      </c>
      <c r="O224" s="166" t="s">
        <v>1410</v>
      </c>
      <c r="P224" s="167">
        <v>5327196</v>
      </c>
      <c r="Q224" s="167">
        <v>0</v>
      </c>
      <c r="R224" s="167">
        <v>0</v>
      </c>
      <c r="S224" s="167">
        <f t="shared" si="49"/>
        <v>5327196</v>
      </c>
      <c r="T224" s="167">
        <f t="shared" si="53"/>
        <v>815.81586241749494</v>
      </c>
      <c r="U224" s="167">
        <v>1129.175025651235</v>
      </c>
      <c r="V224" s="149">
        <f t="shared" si="55"/>
        <v>313.35916323374011</v>
      </c>
      <c r="W224" s="149">
        <f t="shared" si="50"/>
        <v>1129.175025651235</v>
      </c>
      <c r="X224" s="149">
        <v>0</v>
      </c>
      <c r="Y224" s="368">
        <v>0</v>
      </c>
      <c r="Z224" s="368">
        <v>0</v>
      </c>
      <c r="AA224" s="368">
        <v>0</v>
      </c>
      <c r="AB224" s="368">
        <v>0</v>
      </c>
      <c r="AC224" s="368">
        <v>3</v>
      </c>
      <c r="AD224" s="396">
        <f t="shared" si="57"/>
        <v>1129.175025651235</v>
      </c>
      <c r="AE224" s="368">
        <v>0</v>
      </c>
      <c r="AF224" s="396">
        <v>0</v>
      </c>
      <c r="AG224" s="368">
        <v>0</v>
      </c>
      <c r="AH224" s="396">
        <v>0</v>
      </c>
      <c r="AI224" s="368">
        <v>0</v>
      </c>
      <c r="AJ224" s="396">
        <v>0</v>
      </c>
      <c r="AK224" s="368">
        <v>0</v>
      </c>
      <c r="AL224" s="368">
        <v>0</v>
      </c>
      <c r="AM224" s="368">
        <v>0</v>
      </c>
      <c r="AN224" s="368"/>
      <c r="AO224" s="368">
        <v>0</v>
      </c>
    </row>
    <row r="225" spans="1:41" s="152" customFormat="1" ht="36" customHeight="1" x14ac:dyDescent="0.9">
      <c r="A225" s="152">
        <v>1</v>
      </c>
      <c r="B225" s="90">
        <f>SUBTOTAL(103,$A$16:A225)</f>
        <v>207</v>
      </c>
      <c r="C225" s="89" t="s">
        <v>1405</v>
      </c>
      <c r="D225" s="163">
        <v>1986</v>
      </c>
      <c r="E225" s="163"/>
      <c r="F225" s="168" t="s">
        <v>322</v>
      </c>
      <c r="G225" s="163">
        <v>9</v>
      </c>
      <c r="H225" s="163">
        <v>4</v>
      </c>
      <c r="I225" s="167">
        <v>9402.14</v>
      </c>
      <c r="J225" s="167">
        <v>7377.1</v>
      </c>
      <c r="K225" s="167">
        <v>6958.4</v>
      </c>
      <c r="L225" s="165">
        <v>323</v>
      </c>
      <c r="M225" s="163" t="s">
        <v>268</v>
      </c>
      <c r="N225" s="163" t="s">
        <v>272</v>
      </c>
      <c r="O225" s="166" t="s">
        <v>815</v>
      </c>
      <c r="P225" s="167">
        <v>7367915.9199999999</v>
      </c>
      <c r="Q225" s="167">
        <v>0</v>
      </c>
      <c r="R225" s="167">
        <v>0</v>
      </c>
      <c r="S225" s="167">
        <f t="shared" si="49"/>
        <v>7367915.9199999999</v>
      </c>
      <c r="T225" s="167">
        <f t="shared" si="53"/>
        <v>783.64243884902805</v>
      </c>
      <c r="U225" s="167">
        <v>1045.6342917676188</v>
      </c>
      <c r="V225" s="149">
        <f t="shared" si="55"/>
        <v>261.99185291859078</v>
      </c>
      <c r="W225" s="149">
        <f t="shared" si="50"/>
        <v>1045.6342917676188</v>
      </c>
      <c r="X225" s="149">
        <v>0</v>
      </c>
      <c r="Y225" s="368">
        <v>0</v>
      </c>
      <c r="Z225" s="368">
        <v>0</v>
      </c>
      <c r="AA225" s="368">
        <v>0</v>
      </c>
      <c r="AB225" s="368">
        <v>0</v>
      </c>
      <c r="AC225" s="368">
        <v>4</v>
      </c>
      <c r="AD225" s="396">
        <f t="shared" si="57"/>
        <v>1045.6342917676188</v>
      </c>
      <c r="AE225" s="368">
        <v>0</v>
      </c>
      <c r="AF225" s="396">
        <v>0</v>
      </c>
      <c r="AG225" s="368">
        <v>0</v>
      </c>
      <c r="AH225" s="396">
        <v>0</v>
      </c>
      <c r="AI225" s="368">
        <v>0</v>
      </c>
      <c r="AJ225" s="396">
        <v>0</v>
      </c>
      <c r="AK225" s="368">
        <v>0</v>
      </c>
      <c r="AL225" s="368">
        <v>0</v>
      </c>
      <c r="AM225" s="368">
        <v>0</v>
      </c>
      <c r="AN225" s="368"/>
      <c r="AO225" s="368">
        <v>0</v>
      </c>
    </row>
    <row r="226" spans="1:41" s="152" customFormat="1" ht="36" customHeight="1" x14ac:dyDescent="0.9">
      <c r="A226" s="152">
        <v>1</v>
      </c>
      <c r="B226" s="90">
        <f>SUBTOTAL(103,$A$16:A226)</f>
        <v>208</v>
      </c>
      <c r="C226" s="89" t="s">
        <v>1406</v>
      </c>
      <c r="D226" s="163">
        <v>1987</v>
      </c>
      <c r="E226" s="163"/>
      <c r="F226" s="168" t="s">
        <v>270</v>
      </c>
      <c r="G226" s="163">
        <v>9</v>
      </c>
      <c r="H226" s="163">
        <v>3</v>
      </c>
      <c r="I226" s="167">
        <v>8041.69</v>
      </c>
      <c r="J226" s="167">
        <v>5941.7</v>
      </c>
      <c r="K226" s="167">
        <v>5297.4</v>
      </c>
      <c r="L226" s="165">
        <v>206</v>
      </c>
      <c r="M226" s="163" t="s">
        <v>268</v>
      </c>
      <c r="N226" s="163" t="s">
        <v>272</v>
      </c>
      <c r="O226" s="166" t="s">
        <v>818</v>
      </c>
      <c r="P226" s="167">
        <v>5462413.6200000001</v>
      </c>
      <c r="Q226" s="167">
        <v>0</v>
      </c>
      <c r="R226" s="167">
        <v>0</v>
      </c>
      <c r="S226" s="167">
        <f t="shared" si="49"/>
        <v>5462413.6200000001</v>
      </c>
      <c r="T226" s="167">
        <f t="shared" si="53"/>
        <v>679.26189892920524</v>
      </c>
      <c r="U226" s="167">
        <v>916.89682143927462</v>
      </c>
      <c r="V226" s="149">
        <f t="shared" si="55"/>
        <v>237.63492251006937</v>
      </c>
      <c r="W226" s="149">
        <f t="shared" si="50"/>
        <v>916.89682143927462</v>
      </c>
      <c r="X226" s="149">
        <v>0</v>
      </c>
      <c r="Y226" s="368">
        <v>0</v>
      </c>
      <c r="Z226" s="368">
        <v>0</v>
      </c>
      <c r="AA226" s="368">
        <v>0</v>
      </c>
      <c r="AB226" s="368">
        <v>0</v>
      </c>
      <c r="AC226" s="368">
        <v>3</v>
      </c>
      <c r="AD226" s="396">
        <f t="shared" si="57"/>
        <v>916.89682143927462</v>
      </c>
      <c r="AE226" s="368">
        <v>0</v>
      </c>
      <c r="AF226" s="396">
        <v>0</v>
      </c>
      <c r="AG226" s="368">
        <v>0</v>
      </c>
      <c r="AH226" s="396">
        <v>0</v>
      </c>
      <c r="AI226" s="368">
        <v>0</v>
      </c>
      <c r="AJ226" s="396">
        <v>0</v>
      </c>
      <c r="AK226" s="368">
        <v>0</v>
      </c>
      <c r="AL226" s="368">
        <v>0</v>
      </c>
      <c r="AM226" s="368">
        <v>0</v>
      </c>
      <c r="AN226" s="368"/>
      <c r="AO226" s="368">
        <v>0</v>
      </c>
    </row>
    <row r="227" spans="1:41" s="152" customFormat="1" ht="36" customHeight="1" x14ac:dyDescent="0.9">
      <c r="A227" s="152">
        <v>1</v>
      </c>
      <c r="B227" s="90">
        <f>SUBTOTAL(103,$A$16:A227)</f>
        <v>209</v>
      </c>
      <c r="C227" s="89" t="s">
        <v>1557</v>
      </c>
      <c r="D227" s="163">
        <v>1986</v>
      </c>
      <c r="E227" s="163"/>
      <c r="F227" s="168" t="s">
        <v>270</v>
      </c>
      <c r="G227" s="163">
        <v>9</v>
      </c>
      <c r="H227" s="163">
        <v>1</v>
      </c>
      <c r="I227" s="167">
        <v>6210.09</v>
      </c>
      <c r="J227" s="167">
        <v>3555.69</v>
      </c>
      <c r="K227" s="167">
        <v>3353.49</v>
      </c>
      <c r="L227" s="165">
        <v>294</v>
      </c>
      <c r="M227" s="163" t="s">
        <v>268</v>
      </c>
      <c r="N227" s="163" t="s">
        <v>272</v>
      </c>
      <c r="O227" s="166" t="s">
        <v>1408</v>
      </c>
      <c r="P227" s="167">
        <v>1452147.29</v>
      </c>
      <c r="Q227" s="167">
        <v>0</v>
      </c>
      <c r="R227" s="167">
        <v>0</v>
      </c>
      <c r="S227" s="167">
        <f>P227-R227-Q227</f>
        <v>1452147.29</v>
      </c>
      <c r="T227" s="167">
        <f t="shared" si="53"/>
        <v>233.83675437876101</v>
      </c>
      <c r="U227" s="167">
        <v>395.77526251632423</v>
      </c>
      <c r="V227" s="149">
        <f t="shared" si="55"/>
        <v>161.93850813756322</v>
      </c>
      <c r="W227" s="149">
        <f t="shared" si="50"/>
        <v>395.77526251632423</v>
      </c>
      <c r="X227" s="149">
        <v>0</v>
      </c>
      <c r="Y227" s="368">
        <v>0</v>
      </c>
      <c r="Z227" s="368">
        <v>0</v>
      </c>
      <c r="AA227" s="368">
        <v>0</v>
      </c>
      <c r="AB227" s="368">
        <v>0</v>
      </c>
      <c r="AC227" s="368">
        <v>1</v>
      </c>
      <c r="AD227" s="396">
        <f t="shared" si="57"/>
        <v>395.77526251632423</v>
      </c>
      <c r="AE227" s="368">
        <v>0</v>
      </c>
      <c r="AF227" s="396">
        <v>0</v>
      </c>
      <c r="AG227" s="368">
        <v>0</v>
      </c>
      <c r="AH227" s="396">
        <v>0</v>
      </c>
      <c r="AI227" s="368">
        <v>0</v>
      </c>
      <c r="AJ227" s="396">
        <v>0</v>
      </c>
      <c r="AK227" s="368">
        <v>0</v>
      </c>
      <c r="AL227" s="368">
        <v>0</v>
      </c>
      <c r="AM227" s="368">
        <v>0</v>
      </c>
      <c r="AN227" s="368"/>
      <c r="AO227" s="368">
        <v>0</v>
      </c>
    </row>
    <row r="228" spans="1:41" s="152" customFormat="1" ht="36" customHeight="1" x14ac:dyDescent="0.9">
      <c r="A228" s="152">
        <v>1</v>
      </c>
      <c r="B228" s="90">
        <f>SUBTOTAL(103,$A$16:A228)</f>
        <v>210</v>
      </c>
      <c r="C228" s="89" t="s">
        <v>1558</v>
      </c>
      <c r="D228" s="163">
        <v>1984</v>
      </c>
      <c r="E228" s="163"/>
      <c r="F228" s="168" t="s">
        <v>322</v>
      </c>
      <c r="G228" s="163">
        <v>9</v>
      </c>
      <c r="H228" s="163">
        <v>2</v>
      </c>
      <c r="I228" s="167">
        <v>4373.8</v>
      </c>
      <c r="J228" s="167">
        <v>3897.5</v>
      </c>
      <c r="K228" s="167">
        <v>3897.5</v>
      </c>
      <c r="L228" s="165">
        <v>156</v>
      </c>
      <c r="M228" s="163" t="s">
        <v>268</v>
      </c>
      <c r="N228" s="163" t="s">
        <v>272</v>
      </c>
      <c r="O228" s="166" t="s">
        <v>1408</v>
      </c>
      <c r="P228" s="167">
        <v>2915220.6</v>
      </c>
      <c r="Q228" s="167">
        <v>0</v>
      </c>
      <c r="R228" s="167">
        <v>0</v>
      </c>
      <c r="S228" s="167">
        <f>P228-R228-Q228</f>
        <v>2915220.6</v>
      </c>
      <c r="T228" s="167">
        <f t="shared" si="53"/>
        <v>666.51895377017695</v>
      </c>
      <c r="U228" s="167">
        <v>1123.8739768622249</v>
      </c>
      <c r="V228" s="149">
        <f t="shared" si="55"/>
        <v>457.35502309204799</v>
      </c>
      <c r="W228" s="149">
        <f t="shared" si="50"/>
        <v>1123.8739768622249</v>
      </c>
      <c r="X228" s="149">
        <v>0</v>
      </c>
      <c r="Y228" s="368">
        <v>0</v>
      </c>
      <c r="Z228" s="368">
        <v>0</v>
      </c>
      <c r="AA228" s="368">
        <v>0</v>
      </c>
      <c r="AB228" s="368">
        <v>0</v>
      </c>
      <c r="AC228" s="368">
        <v>2</v>
      </c>
      <c r="AD228" s="396">
        <f t="shared" si="57"/>
        <v>1123.8739768622249</v>
      </c>
      <c r="AE228" s="368">
        <v>0</v>
      </c>
      <c r="AF228" s="396">
        <v>0</v>
      </c>
      <c r="AG228" s="368">
        <v>0</v>
      </c>
      <c r="AH228" s="396">
        <v>0</v>
      </c>
      <c r="AI228" s="368">
        <v>0</v>
      </c>
      <c r="AJ228" s="396">
        <v>0</v>
      </c>
      <c r="AK228" s="368">
        <v>0</v>
      </c>
      <c r="AL228" s="368">
        <v>0</v>
      </c>
      <c r="AM228" s="368">
        <v>0</v>
      </c>
      <c r="AN228" s="368"/>
      <c r="AO228" s="368">
        <v>0</v>
      </c>
    </row>
    <row r="229" spans="1:41" s="152" customFormat="1" ht="36" customHeight="1" x14ac:dyDescent="0.9">
      <c r="A229" s="152">
        <v>1</v>
      </c>
      <c r="B229" s="90">
        <f>SUBTOTAL(103,$A$16:A229)</f>
        <v>211</v>
      </c>
      <c r="C229" s="89" t="s">
        <v>1559</v>
      </c>
      <c r="D229" s="163">
        <v>1984</v>
      </c>
      <c r="E229" s="163"/>
      <c r="F229" s="168" t="s">
        <v>322</v>
      </c>
      <c r="G229" s="163">
        <v>9</v>
      </c>
      <c r="H229" s="163">
        <v>3</v>
      </c>
      <c r="I229" s="167">
        <v>7442.2</v>
      </c>
      <c r="J229" s="167">
        <v>5845.6</v>
      </c>
      <c r="K229" s="167">
        <v>5845.6</v>
      </c>
      <c r="L229" s="165">
        <v>233</v>
      </c>
      <c r="M229" s="163" t="s">
        <v>268</v>
      </c>
      <c r="N229" s="163" t="s">
        <v>272</v>
      </c>
      <c r="O229" s="166" t="s">
        <v>1598</v>
      </c>
      <c r="P229" s="167">
        <v>4354761.09</v>
      </c>
      <c r="Q229" s="167">
        <v>0</v>
      </c>
      <c r="R229" s="167">
        <v>0</v>
      </c>
      <c r="S229" s="167">
        <f>P229-R229-Q229</f>
        <v>4354761.09</v>
      </c>
      <c r="T229" s="167">
        <f t="shared" si="53"/>
        <v>585.14432425895563</v>
      </c>
      <c r="U229" s="167">
        <v>990.75542178388116</v>
      </c>
      <c r="V229" s="149">
        <f t="shared" si="55"/>
        <v>405.61109752492553</v>
      </c>
      <c r="W229" s="149">
        <f t="shared" si="50"/>
        <v>990.75542178388116</v>
      </c>
      <c r="X229" s="149">
        <v>0</v>
      </c>
      <c r="Y229" s="368">
        <v>0</v>
      </c>
      <c r="Z229" s="368">
        <v>0</v>
      </c>
      <c r="AA229" s="368">
        <v>0</v>
      </c>
      <c r="AB229" s="368">
        <v>0</v>
      </c>
      <c r="AC229" s="368">
        <v>3</v>
      </c>
      <c r="AD229" s="396">
        <f t="shared" si="57"/>
        <v>990.75542178388116</v>
      </c>
      <c r="AE229" s="368">
        <v>0</v>
      </c>
      <c r="AF229" s="396">
        <v>0</v>
      </c>
      <c r="AG229" s="368">
        <v>0</v>
      </c>
      <c r="AH229" s="396">
        <v>0</v>
      </c>
      <c r="AI229" s="368">
        <v>0</v>
      </c>
      <c r="AJ229" s="396">
        <v>0</v>
      </c>
      <c r="AK229" s="368">
        <v>0</v>
      </c>
      <c r="AL229" s="368">
        <v>0</v>
      </c>
      <c r="AM229" s="368">
        <v>0</v>
      </c>
      <c r="AN229" s="368"/>
      <c r="AO229" s="368">
        <v>0</v>
      </c>
    </row>
    <row r="230" spans="1:41" s="152" customFormat="1" ht="36" customHeight="1" x14ac:dyDescent="0.9">
      <c r="A230" s="152">
        <v>1</v>
      </c>
      <c r="B230" s="90">
        <f>SUBTOTAL(103,$A$16:A230)</f>
        <v>212</v>
      </c>
      <c r="C230" s="89" t="s">
        <v>1695</v>
      </c>
      <c r="D230" s="163">
        <v>1955</v>
      </c>
      <c r="E230" s="163"/>
      <c r="F230" s="168" t="s">
        <v>270</v>
      </c>
      <c r="G230" s="163">
        <v>3</v>
      </c>
      <c r="H230" s="163">
        <v>4</v>
      </c>
      <c r="I230" s="167">
        <v>2958.2</v>
      </c>
      <c r="J230" s="167">
        <v>1836.6</v>
      </c>
      <c r="K230" s="167">
        <v>1702.7</v>
      </c>
      <c r="L230" s="165">
        <v>73</v>
      </c>
      <c r="M230" s="163" t="s">
        <v>268</v>
      </c>
      <c r="N230" s="163" t="s">
        <v>272</v>
      </c>
      <c r="O230" s="166" t="s">
        <v>1315</v>
      </c>
      <c r="P230" s="167">
        <v>213150</v>
      </c>
      <c r="Q230" s="167">
        <v>0</v>
      </c>
      <c r="R230" s="167">
        <v>0</v>
      </c>
      <c r="S230" s="167">
        <f>P230-R230-Q230</f>
        <v>213150</v>
      </c>
      <c r="T230" s="167">
        <f t="shared" si="53"/>
        <v>72.05395172740181</v>
      </c>
      <c r="U230" s="167">
        <v>712.1</v>
      </c>
      <c r="V230" s="149">
        <f t="shared" si="55"/>
        <v>640.04604827259823</v>
      </c>
      <c r="W230" s="149">
        <f>X230+Y230+Z230+AA230+AB230+AD230+AF230+AH230+AJ230+AL230+AN230+AO230</f>
        <v>712.1</v>
      </c>
      <c r="X230" s="149">
        <v>0</v>
      </c>
      <c r="Y230" s="368">
        <v>0</v>
      </c>
      <c r="Z230" s="368">
        <v>0</v>
      </c>
      <c r="AA230" s="368">
        <v>0</v>
      </c>
      <c r="AB230" s="368">
        <v>0</v>
      </c>
      <c r="AC230" s="368">
        <v>0</v>
      </c>
      <c r="AD230" s="368">
        <v>0</v>
      </c>
      <c r="AE230" s="368">
        <v>0</v>
      </c>
      <c r="AF230" s="396">
        <v>0</v>
      </c>
      <c r="AG230" s="368">
        <v>0</v>
      </c>
      <c r="AH230" s="396">
        <v>0</v>
      </c>
      <c r="AI230" s="368">
        <v>0</v>
      </c>
      <c r="AJ230" s="396">
        <v>0</v>
      </c>
      <c r="AK230" s="368">
        <v>0</v>
      </c>
      <c r="AL230" s="368">
        <v>0</v>
      </c>
      <c r="AM230" s="368">
        <v>0</v>
      </c>
      <c r="AN230" s="368"/>
      <c r="AO230" s="368">
        <v>712.1</v>
      </c>
    </row>
    <row r="231" spans="1:41" s="152" customFormat="1" ht="36" customHeight="1" x14ac:dyDescent="0.9">
      <c r="A231" s="152">
        <v>1</v>
      </c>
      <c r="B231" s="90">
        <f>SUBTOTAL(103,$A$16:A231)</f>
        <v>213</v>
      </c>
      <c r="C231" s="89" t="s">
        <v>787</v>
      </c>
      <c r="D231" s="163">
        <v>1992</v>
      </c>
      <c r="E231" s="163"/>
      <c r="F231" s="168" t="s">
        <v>322</v>
      </c>
      <c r="G231" s="163">
        <v>9</v>
      </c>
      <c r="H231" s="163">
        <v>3</v>
      </c>
      <c r="I231" s="164">
        <v>8073.1</v>
      </c>
      <c r="J231" s="164">
        <v>5829</v>
      </c>
      <c r="K231" s="164">
        <v>5829</v>
      </c>
      <c r="L231" s="165">
        <v>241</v>
      </c>
      <c r="M231" s="163" t="s">
        <v>268</v>
      </c>
      <c r="N231" s="163" t="s">
        <v>272</v>
      </c>
      <c r="O231" s="166" t="s">
        <v>814</v>
      </c>
      <c r="P231" s="167">
        <v>6862081.1600000001</v>
      </c>
      <c r="Q231" s="167">
        <v>0</v>
      </c>
      <c r="R231" s="167">
        <v>0</v>
      </c>
      <c r="S231" s="167">
        <f>P231-Q231-R231</f>
        <v>6862081.1600000001</v>
      </c>
      <c r="T231" s="167">
        <f t="shared" si="53"/>
        <v>849.99333093854898</v>
      </c>
      <c r="U231" s="167">
        <v>913.32945213115158</v>
      </c>
      <c r="V231" s="149">
        <f t="shared" si="55"/>
        <v>63.336121192602604</v>
      </c>
      <c r="W231" s="149">
        <f t="shared" si="50"/>
        <v>913.32945213115158</v>
      </c>
      <c r="X231" s="149">
        <v>0</v>
      </c>
      <c r="Y231" s="368">
        <v>0</v>
      </c>
      <c r="Z231" s="368">
        <v>0</v>
      </c>
      <c r="AA231" s="368">
        <v>0</v>
      </c>
      <c r="AB231" s="368">
        <v>0</v>
      </c>
      <c r="AC231" s="368">
        <v>3</v>
      </c>
      <c r="AD231" s="396">
        <f t="shared" ref="AD231:AD232" si="58">2457800*AC231/I231</f>
        <v>913.32945213115158</v>
      </c>
      <c r="AE231" s="368">
        <v>0</v>
      </c>
      <c r="AF231" s="396">
        <v>0</v>
      </c>
      <c r="AG231" s="368">
        <v>0</v>
      </c>
      <c r="AH231" s="396">
        <v>0</v>
      </c>
      <c r="AI231" s="368">
        <v>0</v>
      </c>
      <c r="AJ231" s="396">
        <v>0</v>
      </c>
      <c r="AK231" s="368">
        <v>0</v>
      </c>
      <c r="AL231" s="368">
        <v>0</v>
      </c>
      <c r="AM231" s="368">
        <v>0</v>
      </c>
      <c r="AN231" s="368"/>
      <c r="AO231" s="368">
        <v>0</v>
      </c>
    </row>
    <row r="232" spans="1:41" s="152" customFormat="1" ht="36" customHeight="1" x14ac:dyDescent="0.9">
      <c r="A232" s="152">
        <v>1</v>
      </c>
      <c r="B232" s="90">
        <f>SUBTOTAL(103,$A$16:A232)</f>
        <v>214</v>
      </c>
      <c r="C232" s="89" t="s">
        <v>790</v>
      </c>
      <c r="D232" s="163">
        <v>1994</v>
      </c>
      <c r="E232" s="163"/>
      <c r="F232" s="168" t="s">
        <v>322</v>
      </c>
      <c r="G232" s="163">
        <v>9</v>
      </c>
      <c r="H232" s="163">
        <v>2</v>
      </c>
      <c r="I232" s="164">
        <v>4866.8599999999997</v>
      </c>
      <c r="J232" s="164">
        <v>3886.2</v>
      </c>
      <c r="K232" s="164">
        <v>3886.2</v>
      </c>
      <c r="L232" s="165">
        <v>159</v>
      </c>
      <c r="M232" s="163" t="s">
        <v>268</v>
      </c>
      <c r="N232" s="163" t="s">
        <v>272</v>
      </c>
      <c r="O232" s="166" t="s">
        <v>816</v>
      </c>
      <c r="P232" s="167">
        <v>4848740.71</v>
      </c>
      <c r="Q232" s="167">
        <v>0</v>
      </c>
      <c r="R232" s="167">
        <v>0</v>
      </c>
      <c r="S232" s="167">
        <f>P232-Q232-R232</f>
        <v>4848740.71</v>
      </c>
      <c r="T232" s="167">
        <f t="shared" si="53"/>
        <v>996.27700611893511</v>
      </c>
      <c r="U232" s="167">
        <v>1010.0146706500701</v>
      </c>
      <c r="V232" s="149">
        <f t="shared" si="55"/>
        <v>13.73766453113501</v>
      </c>
      <c r="W232" s="149">
        <f t="shared" si="50"/>
        <v>1010.0146706500701</v>
      </c>
      <c r="X232" s="149">
        <v>0</v>
      </c>
      <c r="Y232" s="368">
        <v>0</v>
      </c>
      <c r="Z232" s="368">
        <v>0</v>
      </c>
      <c r="AA232" s="368">
        <v>0</v>
      </c>
      <c r="AB232" s="368">
        <v>0</v>
      </c>
      <c r="AC232" s="368">
        <v>2</v>
      </c>
      <c r="AD232" s="396">
        <f t="shared" si="58"/>
        <v>1010.0146706500701</v>
      </c>
      <c r="AE232" s="368">
        <v>0</v>
      </c>
      <c r="AF232" s="396">
        <v>0</v>
      </c>
      <c r="AG232" s="368">
        <v>0</v>
      </c>
      <c r="AH232" s="396">
        <v>0</v>
      </c>
      <c r="AI232" s="368">
        <v>0</v>
      </c>
      <c r="AJ232" s="396">
        <v>0</v>
      </c>
      <c r="AK232" s="368">
        <v>0</v>
      </c>
      <c r="AL232" s="368">
        <v>0</v>
      </c>
      <c r="AM232" s="368">
        <v>0</v>
      </c>
      <c r="AN232" s="368"/>
      <c r="AO232" s="368">
        <v>0</v>
      </c>
    </row>
    <row r="233" spans="1:41" s="152" customFormat="1" ht="36" customHeight="1" x14ac:dyDescent="0.9">
      <c r="A233" s="152">
        <v>1</v>
      </c>
      <c r="B233" s="90">
        <f>SUBTOTAL(103,$A$16:A233)</f>
        <v>215</v>
      </c>
      <c r="C233" s="89" t="s">
        <v>792</v>
      </c>
      <c r="D233" s="163">
        <v>1992</v>
      </c>
      <c r="E233" s="163"/>
      <c r="F233" s="168" t="s">
        <v>322</v>
      </c>
      <c r="G233" s="163">
        <v>9</v>
      </c>
      <c r="H233" s="163">
        <v>2</v>
      </c>
      <c r="I233" s="164">
        <v>4929.04</v>
      </c>
      <c r="J233" s="164">
        <v>3924.5</v>
      </c>
      <c r="K233" s="164">
        <v>3924.5</v>
      </c>
      <c r="L233" s="165">
        <v>180</v>
      </c>
      <c r="M233" s="163" t="s">
        <v>268</v>
      </c>
      <c r="N233" s="163" t="s">
        <v>272</v>
      </c>
      <c r="O233" s="166" t="s">
        <v>821</v>
      </c>
      <c r="P233" s="167">
        <v>4848888.49</v>
      </c>
      <c r="Q233" s="167">
        <v>0</v>
      </c>
      <c r="R233" s="167">
        <v>0</v>
      </c>
      <c r="S233" s="167">
        <f>P233-Q233-R233</f>
        <v>4848888.49</v>
      </c>
      <c r="T233" s="167">
        <f t="shared" ref="T233" si="59">P233/I233</f>
        <v>983.73892076347533</v>
      </c>
      <c r="U233" s="167">
        <v>997.27330271208996</v>
      </c>
      <c r="V233" s="149">
        <f t="shared" ref="V233" si="60">U233-T233</f>
        <v>13.534381948614623</v>
      </c>
      <c r="W233" s="149">
        <f t="shared" ref="W233" si="61">X233+Y233+Z233+AA233+AB233+AD233+AF233+AH233+AJ233+AL233+AN233+AO233</f>
        <v>997.27330271208996</v>
      </c>
      <c r="X233" s="149">
        <v>0</v>
      </c>
      <c r="Y233" s="368">
        <v>0</v>
      </c>
      <c r="Z233" s="368">
        <v>0</v>
      </c>
      <c r="AA233" s="368">
        <v>0</v>
      </c>
      <c r="AB233" s="368">
        <v>0</v>
      </c>
      <c r="AC233" s="368">
        <v>2</v>
      </c>
      <c r="AD233" s="396">
        <f t="shared" ref="AD233" si="62">2457800*AC233/I233</f>
        <v>997.27330271208996</v>
      </c>
      <c r="AE233" s="368">
        <v>0</v>
      </c>
      <c r="AF233" s="396">
        <v>0</v>
      </c>
      <c r="AG233" s="368">
        <v>0</v>
      </c>
      <c r="AH233" s="396">
        <v>0</v>
      </c>
      <c r="AI233" s="368">
        <v>0</v>
      </c>
      <c r="AJ233" s="396">
        <v>0</v>
      </c>
      <c r="AK233" s="368">
        <v>0</v>
      </c>
      <c r="AL233" s="368">
        <v>0</v>
      </c>
      <c r="AM233" s="368">
        <v>0</v>
      </c>
      <c r="AN233" s="368"/>
      <c r="AO233" s="368">
        <v>0</v>
      </c>
    </row>
    <row r="234" spans="1:41" s="152" customFormat="1" ht="36" customHeight="1" x14ac:dyDescent="0.9">
      <c r="A234" s="152">
        <v>1</v>
      </c>
      <c r="B234" s="90">
        <f>SUBTOTAL(103,$A$16:A234)</f>
        <v>216</v>
      </c>
      <c r="C234" s="89" t="s">
        <v>788</v>
      </c>
      <c r="D234" s="163">
        <v>1993</v>
      </c>
      <c r="E234" s="163"/>
      <c r="F234" s="168" t="s">
        <v>322</v>
      </c>
      <c r="G234" s="163">
        <v>9</v>
      </c>
      <c r="H234" s="163">
        <v>4</v>
      </c>
      <c r="I234" s="164">
        <v>11047.1</v>
      </c>
      <c r="J234" s="164">
        <v>7851.2</v>
      </c>
      <c r="K234" s="164">
        <v>7851.2</v>
      </c>
      <c r="L234" s="165">
        <v>267</v>
      </c>
      <c r="M234" s="163" t="s">
        <v>268</v>
      </c>
      <c r="N234" s="163" t="s">
        <v>272</v>
      </c>
      <c r="O234" s="166" t="s">
        <v>820</v>
      </c>
      <c r="P234" s="167">
        <v>123350.33</v>
      </c>
      <c r="Q234" s="167">
        <v>0</v>
      </c>
      <c r="R234" s="167">
        <v>0</v>
      </c>
      <c r="S234" s="167">
        <f t="shared" ref="S234:S236" si="63">P234-Q234-R234</f>
        <v>123350.33</v>
      </c>
      <c r="T234" s="167">
        <f t="shared" si="53"/>
        <v>11.16585619755411</v>
      </c>
      <c r="U234" s="167">
        <f t="shared" ref="U234:U236" si="64">T234</f>
        <v>11.16585619755411</v>
      </c>
      <c r="V234" s="149">
        <f t="shared" si="55"/>
        <v>0</v>
      </c>
      <c r="W234" s="149">
        <f t="shared" si="50"/>
        <v>889.93491504557755</v>
      </c>
      <c r="X234" s="149">
        <v>0</v>
      </c>
      <c r="Y234" s="368">
        <v>0</v>
      </c>
      <c r="Z234" s="368">
        <v>0</v>
      </c>
      <c r="AA234" s="368">
        <v>0</v>
      </c>
      <c r="AB234" s="368">
        <v>0</v>
      </c>
      <c r="AC234" s="368">
        <v>4</v>
      </c>
      <c r="AD234" s="396">
        <f>2457800*AC234/I234</f>
        <v>889.93491504557755</v>
      </c>
      <c r="AE234" s="368">
        <v>0</v>
      </c>
      <c r="AF234" s="396">
        <v>0</v>
      </c>
      <c r="AG234" s="368">
        <v>0</v>
      </c>
      <c r="AH234" s="396">
        <v>0</v>
      </c>
      <c r="AI234" s="368">
        <v>0</v>
      </c>
      <c r="AJ234" s="396">
        <v>0</v>
      </c>
      <c r="AK234" s="368">
        <v>0</v>
      </c>
      <c r="AL234" s="368">
        <v>0</v>
      </c>
      <c r="AM234" s="368">
        <v>0</v>
      </c>
      <c r="AN234" s="368"/>
      <c r="AO234" s="368">
        <v>0</v>
      </c>
    </row>
    <row r="235" spans="1:41" s="152" customFormat="1" ht="36" customHeight="1" x14ac:dyDescent="0.9">
      <c r="A235" s="152">
        <v>1</v>
      </c>
      <c r="B235" s="90">
        <f>SUBTOTAL(103,$A$16:A235)</f>
        <v>217</v>
      </c>
      <c r="C235" s="89" t="s">
        <v>793</v>
      </c>
      <c r="D235" s="163">
        <v>1990</v>
      </c>
      <c r="E235" s="163"/>
      <c r="F235" s="168" t="s">
        <v>270</v>
      </c>
      <c r="G235" s="163">
        <v>9</v>
      </c>
      <c r="H235" s="163">
        <v>1</v>
      </c>
      <c r="I235" s="164">
        <v>5846.4</v>
      </c>
      <c r="J235" s="164">
        <v>4863.8999999999996</v>
      </c>
      <c r="K235" s="164">
        <v>4863.8999999999996</v>
      </c>
      <c r="L235" s="165">
        <v>374</v>
      </c>
      <c r="M235" s="163" t="s">
        <v>268</v>
      </c>
      <c r="N235" s="163" t="s">
        <v>272</v>
      </c>
      <c r="O235" s="166" t="s">
        <v>822</v>
      </c>
      <c r="P235" s="167">
        <v>111937.75</v>
      </c>
      <c r="Q235" s="167">
        <v>0</v>
      </c>
      <c r="R235" s="167">
        <v>0</v>
      </c>
      <c r="S235" s="167">
        <f t="shared" si="63"/>
        <v>111937.75</v>
      </c>
      <c r="T235" s="167">
        <f t="shared" si="53"/>
        <v>19.146440544608648</v>
      </c>
      <c r="U235" s="167">
        <f t="shared" si="64"/>
        <v>19.146440544608648</v>
      </c>
      <c r="V235" s="149">
        <f t="shared" si="55"/>
        <v>0</v>
      </c>
      <c r="W235" s="149">
        <f t="shared" si="50"/>
        <v>420.39545703338808</v>
      </c>
      <c r="X235" s="149">
        <v>0</v>
      </c>
      <c r="Y235" s="368">
        <v>0</v>
      </c>
      <c r="Z235" s="368">
        <v>0</v>
      </c>
      <c r="AA235" s="368">
        <v>0</v>
      </c>
      <c r="AB235" s="368">
        <v>0</v>
      </c>
      <c r="AC235" s="368">
        <v>1</v>
      </c>
      <c r="AD235" s="396">
        <f>2457800*AC235/I235</f>
        <v>420.39545703338808</v>
      </c>
      <c r="AE235" s="368">
        <v>0</v>
      </c>
      <c r="AF235" s="396">
        <v>0</v>
      </c>
      <c r="AG235" s="368">
        <v>0</v>
      </c>
      <c r="AH235" s="396">
        <v>0</v>
      </c>
      <c r="AI235" s="368">
        <v>0</v>
      </c>
      <c r="AJ235" s="396">
        <v>0</v>
      </c>
      <c r="AK235" s="368">
        <v>0</v>
      </c>
      <c r="AL235" s="368">
        <v>0</v>
      </c>
      <c r="AM235" s="368">
        <v>0</v>
      </c>
      <c r="AN235" s="368"/>
      <c r="AO235" s="368">
        <v>0</v>
      </c>
    </row>
    <row r="236" spans="1:41" s="152" customFormat="1" ht="36" customHeight="1" x14ac:dyDescent="0.9">
      <c r="A236" s="152">
        <v>1</v>
      </c>
      <c r="B236" s="90">
        <f>SUBTOTAL(103,$A$16:A236)</f>
        <v>218</v>
      </c>
      <c r="C236" s="89" t="s">
        <v>1699</v>
      </c>
      <c r="D236" s="163">
        <v>1991</v>
      </c>
      <c r="E236" s="163"/>
      <c r="F236" s="168" t="s">
        <v>322</v>
      </c>
      <c r="G236" s="163">
        <v>9</v>
      </c>
      <c r="H236" s="163">
        <v>2</v>
      </c>
      <c r="I236" s="167">
        <v>5099.5</v>
      </c>
      <c r="J236" s="167">
        <v>3949.7</v>
      </c>
      <c r="K236" s="167">
        <v>3949.7</v>
      </c>
      <c r="L236" s="165">
        <v>168</v>
      </c>
      <c r="M236" s="163" t="s">
        <v>268</v>
      </c>
      <c r="N236" s="163" t="s">
        <v>272</v>
      </c>
      <c r="O236" s="166" t="s">
        <v>1700</v>
      </c>
      <c r="P236" s="167">
        <v>106171.3</v>
      </c>
      <c r="Q236" s="167">
        <v>0</v>
      </c>
      <c r="R236" s="167">
        <v>0</v>
      </c>
      <c r="S236" s="167">
        <f t="shared" si="63"/>
        <v>106171.3</v>
      </c>
      <c r="T236" s="167">
        <f t="shared" si="53"/>
        <v>20.819943131679576</v>
      </c>
      <c r="U236" s="167">
        <f t="shared" si="64"/>
        <v>20.819943131679576</v>
      </c>
      <c r="V236" s="149">
        <f t="shared" si="55"/>
        <v>0</v>
      </c>
      <c r="W236" s="149">
        <f t="shared" si="50"/>
        <v>963.93764094519065</v>
      </c>
      <c r="X236" s="149">
        <v>0</v>
      </c>
      <c r="Y236" s="368">
        <v>0</v>
      </c>
      <c r="Z236" s="368">
        <v>0</v>
      </c>
      <c r="AA236" s="368">
        <v>0</v>
      </c>
      <c r="AB236" s="368">
        <v>0</v>
      </c>
      <c r="AC236" s="368">
        <v>2</v>
      </c>
      <c r="AD236" s="396">
        <f>2457800*AC236/I236</f>
        <v>963.93764094519065</v>
      </c>
      <c r="AE236" s="368">
        <v>0</v>
      </c>
      <c r="AF236" s="396">
        <v>0</v>
      </c>
      <c r="AG236" s="368">
        <v>0</v>
      </c>
      <c r="AH236" s="396">
        <v>0</v>
      </c>
      <c r="AI236" s="368">
        <v>0</v>
      </c>
      <c r="AJ236" s="396">
        <v>0</v>
      </c>
      <c r="AK236" s="368">
        <v>0</v>
      </c>
      <c r="AL236" s="368">
        <v>0</v>
      </c>
      <c r="AM236" s="368">
        <v>0</v>
      </c>
      <c r="AN236" s="368"/>
      <c r="AO236" s="368">
        <v>0</v>
      </c>
    </row>
    <row r="237" spans="1:41" s="152" customFormat="1" ht="36" customHeight="1" x14ac:dyDescent="0.9">
      <c r="B237" s="382" t="s">
        <v>771</v>
      </c>
      <c r="C237" s="388"/>
      <c r="D237" s="384" t="s">
        <v>903</v>
      </c>
      <c r="E237" s="163" t="s">
        <v>903</v>
      </c>
      <c r="F237" s="384" t="s">
        <v>903</v>
      </c>
      <c r="G237" s="384" t="s">
        <v>903</v>
      </c>
      <c r="H237" s="163" t="s">
        <v>903</v>
      </c>
      <c r="I237" s="386">
        <f>SUM(I238:I243)</f>
        <v>42084.039999999994</v>
      </c>
      <c r="J237" s="164">
        <f>SUM(J238:J243)</f>
        <v>37181.1</v>
      </c>
      <c r="K237" s="164">
        <f>SUM(K238:K243)</f>
        <v>32818.75</v>
      </c>
      <c r="L237" s="165">
        <f>SUM(L238:L243)</f>
        <v>1883</v>
      </c>
      <c r="M237" s="163" t="s">
        <v>903</v>
      </c>
      <c r="N237" s="163" t="s">
        <v>903</v>
      </c>
      <c r="O237" s="166" t="s">
        <v>903</v>
      </c>
      <c r="P237" s="386">
        <v>26597638.940000001</v>
      </c>
      <c r="Q237" s="164">
        <f>SUM(Q238:Q243)</f>
        <v>0</v>
      </c>
      <c r="R237" s="164">
        <f>SUM(R238:R243)</f>
        <v>0</v>
      </c>
      <c r="S237" s="164">
        <f>SUM(S238:S243)</f>
        <v>26597638.940000001</v>
      </c>
      <c r="T237" s="387">
        <f t="shared" si="53"/>
        <v>632.01249072094799</v>
      </c>
      <c r="U237" s="387">
        <f>MAX(U238:U243)</f>
        <v>5973.5866551671261</v>
      </c>
      <c r="V237" s="149">
        <f t="shared" ref="V237:V276" si="65">U237-T237</f>
        <v>5341.5741644461777</v>
      </c>
      <c r="W237" s="149"/>
      <c r="X237" s="149"/>
      <c r="Y237" s="368"/>
      <c r="Z237" s="368"/>
      <c r="AA237" s="368"/>
      <c r="AB237" s="368"/>
      <c r="AC237" s="368"/>
      <c r="AD237" s="368"/>
      <c r="AE237" s="368"/>
      <c r="AF237" s="368"/>
      <c r="AG237" s="368"/>
      <c r="AH237" s="368"/>
      <c r="AI237" s="368"/>
      <c r="AJ237" s="368"/>
      <c r="AK237" s="368"/>
      <c r="AL237" s="368"/>
      <c r="AM237" s="368"/>
      <c r="AN237" s="368"/>
      <c r="AO237" s="368"/>
    </row>
    <row r="238" spans="1:41" s="152" customFormat="1" ht="36" customHeight="1" x14ac:dyDescent="0.9">
      <c r="A238" s="152">
        <v>1</v>
      </c>
      <c r="B238" s="90">
        <f>SUBTOTAL(103,$A$16:A238)</f>
        <v>219</v>
      </c>
      <c r="C238" s="89" t="s">
        <v>385</v>
      </c>
      <c r="D238" s="163">
        <v>1976</v>
      </c>
      <c r="E238" s="163">
        <v>2016</v>
      </c>
      <c r="F238" s="168" t="s">
        <v>315</v>
      </c>
      <c r="G238" s="163">
        <v>14</v>
      </c>
      <c r="H238" s="163">
        <v>1</v>
      </c>
      <c r="I238" s="167">
        <v>4634.7</v>
      </c>
      <c r="J238" s="167">
        <v>4158.8</v>
      </c>
      <c r="K238" s="167">
        <v>3879.6</v>
      </c>
      <c r="L238" s="165">
        <v>198</v>
      </c>
      <c r="M238" s="163" t="s">
        <v>268</v>
      </c>
      <c r="N238" s="163" t="s">
        <v>272</v>
      </c>
      <c r="O238" s="166" t="s">
        <v>323</v>
      </c>
      <c r="P238" s="167">
        <v>2106413.2999999998</v>
      </c>
      <c r="Q238" s="167">
        <v>0</v>
      </c>
      <c r="R238" s="167">
        <v>0</v>
      </c>
      <c r="S238" s="167">
        <f>P238-Q238-R238</f>
        <v>2106413.2999999998</v>
      </c>
      <c r="T238" s="167">
        <f t="shared" si="53"/>
        <v>454.48751807020949</v>
      </c>
      <c r="U238" s="167">
        <v>519.87551340971368</v>
      </c>
      <c r="V238" s="149">
        <f t="shared" si="65"/>
        <v>65.387995339504187</v>
      </c>
      <c r="W238" s="149">
        <f t="shared" ref="W238:W243" si="66">X238+Y238+Z238+AA238+AB238+AD238+AF238+AH238+AJ238+AL238+AN238+AO238</f>
        <v>519.87551340971368</v>
      </c>
      <c r="X238" s="149">
        <v>0</v>
      </c>
      <c r="Y238" s="368">
        <v>0</v>
      </c>
      <c r="Z238" s="368">
        <v>0</v>
      </c>
      <c r="AA238" s="368">
        <v>0</v>
      </c>
      <c r="AB238" s="368">
        <v>0</v>
      </c>
      <c r="AC238" s="368">
        <v>0</v>
      </c>
      <c r="AD238" s="368">
        <v>0</v>
      </c>
      <c r="AE238" s="368">
        <v>386.2</v>
      </c>
      <c r="AF238" s="396">
        <f>6238.91*AE238/I238</f>
        <v>519.87551340971368</v>
      </c>
      <c r="AG238" s="368">
        <v>0</v>
      </c>
      <c r="AH238" s="396">
        <v>0</v>
      </c>
      <c r="AI238" s="368">
        <v>0</v>
      </c>
      <c r="AJ238" s="396">
        <v>0</v>
      </c>
      <c r="AK238" s="368">
        <v>0</v>
      </c>
      <c r="AL238" s="368">
        <v>0</v>
      </c>
      <c r="AM238" s="368">
        <v>0</v>
      </c>
      <c r="AN238" s="368"/>
      <c r="AO238" s="368">
        <v>0</v>
      </c>
    </row>
    <row r="239" spans="1:41" s="152" customFormat="1" ht="36" customHeight="1" x14ac:dyDescent="0.9">
      <c r="A239" s="152">
        <v>1</v>
      </c>
      <c r="B239" s="90">
        <f>SUBTOTAL(103,$A$16:A239)</f>
        <v>220</v>
      </c>
      <c r="C239" s="89" t="s">
        <v>386</v>
      </c>
      <c r="D239" s="163">
        <v>1983</v>
      </c>
      <c r="E239" s="163">
        <v>2016</v>
      </c>
      <c r="F239" s="168" t="s">
        <v>315</v>
      </c>
      <c r="G239" s="163">
        <v>5</v>
      </c>
      <c r="H239" s="163">
        <v>5</v>
      </c>
      <c r="I239" s="167">
        <v>3913.2000000000003</v>
      </c>
      <c r="J239" s="167">
        <v>3443.4</v>
      </c>
      <c r="K239" s="167">
        <v>3334.1</v>
      </c>
      <c r="L239" s="165">
        <v>163</v>
      </c>
      <c r="M239" s="163" t="s">
        <v>268</v>
      </c>
      <c r="N239" s="163" t="s">
        <v>272</v>
      </c>
      <c r="O239" s="166" t="s">
        <v>323</v>
      </c>
      <c r="P239" s="167">
        <v>7038670.4199999999</v>
      </c>
      <c r="Q239" s="167">
        <v>0</v>
      </c>
      <c r="R239" s="167">
        <v>0</v>
      </c>
      <c r="S239" s="167">
        <f>P239-Q239-R239</f>
        <v>7038670.4199999999</v>
      </c>
      <c r="T239" s="167">
        <f t="shared" si="53"/>
        <v>1798.6993815802923</v>
      </c>
      <c r="U239" s="167">
        <v>5973.5866551671261</v>
      </c>
      <c r="V239" s="149">
        <f t="shared" si="65"/>
        <v>4174.8872735868335</v>
      </c>
      <c r="W239" s="149">
        <f t="shared" si="66"/>
        <v>5973.5866551671261</v>
      </c>
      <c r="X239" s="149">
        <v>0</v>
      </c>
      <c r="Y239" s="368">
        <v>0</v>
      </c>
      <c r="Z239" s="368">
        <v>0</v>
      </c>
      <c r="AA239" s="368">
        <v>0</v>
      </c>
      <c r="AB239" s="368">
        <v>0</v>
      </c>
      <c r="AC239" s="368">
        <v>0</v>
      </c>
      <c r="AD239" s="368">
        <v>0</v>
      </c>
      <c r="AE239" s="368">
        <v>0</v>
      </c>
      <c r="AF239" s="396">
        <v>0</v>
      </c>
      <c r="AG239" s="368">
        <v>0</v>
      </c>
      <c r="AH239" s="396">
        <v>0</v>
      </c>
      <c r="AI239" s="368">
        <v>2995.9</v>
      </c>
      <c r="AJ239" s="397">
        <f>7802.61*AI239/I239</f>
        <v>5973.5866551671261</v>
      </c>
      <c r="AK239" s="368">
        <v>0</v>
      </c>
      <c r="AL239" s="368">
        <v>0</v>
      </c>
      <c r="AM239" s="368">
        <v>0</v>
      </c>
      <c r="AN239" s="368"/>
      <c r="AO239" s="368">
        <v>0</v>
      </c>
    </row>
    <row r="240" spans="1:41" s="152" customFormat="1" ht="36" customHeight="1" x14ac:dyDescent="0.9">
      <c r="A240" s="152">
        <v>1</v>
      </c>
      <c r="B240" s="90">
        <f>SUBTOTAL(103,$A$16:A240)</f>
        <v>221</v>
      </c>
      <c r="C240" s="89" t="s">
        <v>387</v>
      </c>
      <c r="D240" s="163">
        <v>1980</v>
      </c>
      <c r="E240" s="163">
        <v>2015</v>
      </c>
      <c r="F240" s="168" t="s">
        <v>315</v>
      </c>
      <c r="G240" s="163">
        <v>9</v>
      </c>
      <c r="H240" s="163">
        <v>5</v>
      </c>
      <c r="I240" s="167">
        <v>12180.699999999999</v>
      </c>
      <c r="J240" s="167">
        <v>10849.3</v>
      </c>
      <c r="K240" s="167">
        <v>10778.1</v>
      </c>
      <c r="L240" s="165">
        <v>498</v>
      </c>
      <c r="M240" s="163" t="s">
        <v>268</v>
      </c>
      <c r="N240" s="163" t="s">
        <v>272</v>
      </c>
      <c r="O240" s="166" t="s">
        <v>323</v>
      </c>
      <c r="P240" s="167">
        <v>174120.8</v>
      </c>
      <c r="Q240" s="167">
        <v>0</v>
      </c>
      <c r="R240" s="167">
        <v>0</v>
      </c>
      <c r="S240" s="167">
        <f>P240-Q240-R240</f>
        <v>174120.8</v>
      </c>
      <c r="T240" s="167">
        <f t="shared" si="53"/>
        <v>14.294810643066491</v>
      </c>
      <c r="U240" s="167">
        <v>14.294810643066491</v>
      </c>
      <c r="V240" s="149">
        <f t="shared" si="65"/>
        <v>0</v>
      </c>
      <c r="W240" s="149">
        <f>T240</f>
        <v>14.294810643066491</v>
      </c>
      <c r="X240" s="149">
        <v>0</v>
      </c>
      <c r="Y240" s="368">
        <v>0</v>
      </c>
      <c r="Z240" s="368">
        <v>0</v>
      </c>
      <c r="AA240" s="368">
        <v>0</v>
      </c>
      <c r="AB240" s="368">
        <v>0</v>
      </c>
      <c r="AC240" s="368">
        <v>0</v>
      </c>
      <c r="AD240" s="368">
        <v>0</v>
      </c>
      <c r="AE240" s="368">
        <v>0</v>
      </c>
      <c r="AF240" s="396">
        <v>0</v>
      </c>
      <c r="AG240" s="368">
        <v>0</v>
      </c>
      <c r="AH240" s="396">
        <v>0</v>
      </c>
      <c r="AI240" s="368">
        <v>0</v>
      </c>
      <c r="AJ240" s="396">
        <v>0</v>
      </c>
      <c r="AK240" s="368">
        <v>0</v>
      </c>
      <c r="AL240" s="368">
        <v>0</v>
      </c>
      <c r="AM240" s="368">
        <v>0</v>
      </c>
      <c r="AN240" s="368"/>
      <c r="AO240" s="368">
        <v>0</v>
      </c>
    </row>
    <row r="241" spans="1:41" s="152" customFormat="1" ht="36" customHeight="1" x14ac:dyDescent="0.9">
      <c r="A241" s="152">
        <v>1</v>
      </c>
      <c r="B241" s="90">
        <f>SUBTOTAL(103,$A$16:A241)</f>
        <v>222</v>
      </c>
      <c r="C241" s="89" t="s">
        <v>1191</v>
      </c>
      <c r="D241" s="163">
        <v>1979</v>
      </c>
      <c r="E241" s="163">
        <v>2016</v>
      </c>
      <c r="F241" s="168" t="s">
        <v>322</v>
      </c>
      <c r="G241" s="163">
        <v>9</v>
      </c>
      <c r="H241" s="163">
        <v>4</v>
      </c>
      <c r="I241" s="167">
        <v>7780.54</v>
      </c>
      <c r="J241" s="167">
        <v>7022.3</v>
      </c>
      <c r="K241" s="167">
        <v>6468.65</v>
      </c>
      <c r="L241" s="165">
        <v>388</v>
      </c>
      <c r="M241" s="163" t="s">
        <v>268</v>
      </c>
      <c r="N241" s="163" t="s">
        <v>272</v>
      </c>
      <c r="O241" s="166" t="s">
        <v>323</v>
      </c>
      <c r="P241" s="167">
        <v>4574796.58</v>
      </c>
      <c r="Q241" s="167">
        <v>0</v>
      </c>
      <c r="R241" s="167">
        <v>0</v>
      </c>
      <c r="S241" s="167">
        <f>P241-Q241-R241</f>
        <v>4574796.58</v>
      </c>
      <c r="T241" s="167">
        <f t="shared" si="53"/>
        <v>587.97931506039424</v>
      </c>
      <c r="U241" s="167">
        <v>795.31</v>
      </c>
      <c r="V241" s="149">
        <f t="shared" si="65"/>
        <v>207.3306849396057</v>
      </c>
      <c r="W241" s="149">
        <f t="shared" si="66"/>
        <v>795.31</v>
      </c>
      <c r="X241" s="149">
        <v>0</v>
      </c>
      <c r="Y241" s="368">
        <v>0</v>
      </c>
      <c r="Z241" s="368">
        <v>0</v>
      </c>
      <c r="AA241" s="368">
        <v>0</v>
      </c>
      <c r="AB241" s="368">
        <v>795.31</v>
      </c>
      <c r="AC241" s="368">
        <v>0</v>
      </c>
      <c r="AD241" s="368">
        <v>0</v>
      </c>
      <c r="AE241" s="368">
        <v>0</v>
      </c>
      <c r="AF241" s="396">
        <v>0</v>
      </c>
      <c r="AG241" s="368">
        <v>0</v>
      </c>
      <c r="AH241" s="396">
        <v>0</v>
      </c>
      <c r="AI241" s="368">
        <v>0</v>
      </c>
      <c r="AJ241" s="396">
        <v>0</v>
      </c>
      <c r="AK241" s="368">
        <v>0</v>
      </c>
      <c r="AL241" s="368">
        <v>0</v>
      </c>
      <c r="AM241" s="368">
        <v>0</v>
      </c>
      <c r="AN241" s="368"/>
      <c r="AO241" s="368">
        <v>0</v>
      </c>
    </row>
    <row r="242" spans="1:41" s="152" customFormat="1" ht="36" customHeight="1" x14ac:dyDescent="0.9">
      <c r="A242" s="152">
        <v>1</v>
      </c>
      <c r="B242" s="90">
        <f>SUBTOTAL(103,$A$16:A242)</f>
        <v>223</v>
      </c>
      <c r="C242" s="89" t="s">
        <v>1192</v>
      </c>
      <c r="D242" s="163">
        <v>1985</v>
      </c>
      <c r="E242" s="163">
        <v>2018</v>
      </c>
      <c r="F242" s="168" t="s">
        <v>270</v>
      </c>
      <c r="G242" s="163">
        <v>9</v>
      </c>
      <c r="H242" s="163">
        <v>1</v>
      </c>
      <c r="I242" s="167">
        <v>4711.6000000000004</v>
      </c>
      <c r="J242" s="167">
        <v>3875.8</v>
      </c>
      <c r="K242" s="167">
        <v>955.8</v>
      </c>
      <c r="L242" s="165">
        <v>354</v>
      </c>
      <c r="M242" s="163" t="s">
        <v>268</v>
      </c>
      <c r="N242" s="163" t="s">
        <v>272</v>
      </c>
      <c r="O242" s="166" t="s">
        <v>1363</v>
      </c>
      <c r="P242" s="167">
        <v>4570000</v>
      </c>
      <c r="Q242" s="167">
        <v>0</v>
      </c>
      <c r="R242" s="167">
        <v>0</v>
      </c>
      <c r="S242" s="167">
        <f>P242-Q242-R242</f>
        <v>4570000</v>
      </c>
      <c r="T242" s="167">
        <f t="shared" si="53"/>
        <v>969.94651498429403</v>
      </c>
      <c r="U242" s="167">
        <v>1043.2973936666949</v>
      </c>
      <c r="V242" s="149">
        <f t="shared" si="65"/>
        <v>73.350878682400889</v>
      </c>
      <c r="W242" s="149">
        <f t="shared" si="66"/>
        <v>1043.2973936666949</v>
      </c>
      <c r="X242" s="149">
        <v>0</v>
      </c>
      <c r="Y242" s="368">
        <v>0</v>
      </c>
      <c r="Z242" s="368">
        <v>0</v>
      </c>
      <c r="AA242" s="368">
        <v>0</v>
      </c>
      <c r="AB242" s="368">
        <v>0</v>
      </c>
      <c r="AC242" s="368">
        <v>2</v>
      </c>
      <c r="AD242" s="396">
        <f t="shared" ref="AD242:AD243" si="67">2457800*AC242/I242</f>
        <v>1043.2973936666949</v>
      </c>
      <c r="AE242" s="368">
        <v>0</v>
      </c>
      <c r="AF242" s="396">
        <v>0</v>
      </c>
      <c r="AG242" s="368">
        <v>0</v>
      </c>
      <c r="AH242" s="396">
        <v>0</v>
      </c>
      <c r="AI242" s="368">
        <v>0</v>
      </c>
      <c r="AJ242" s="396">
        <v>0</v>
      </c>
      <c r="AK242" s="368">
        <v>0</v>
      </c>
      <c r="AL242" s="368">
        <v>0</v>
      </c>
      <c r="AM242" s="368">
        <v>0</v>
      </c>
      <c r="AN242" s="368"/>
      <c r="AO242" s="368">
        <v>0</v>
      </c>
    </row>
    <row r="243" spans="1:41" s="152" customFormat="1" ht="36" customHeight="1" x14ac:dyDescent="0.9">
      <c r="A243" s="152">
        <v>1</v>
      </c>
      <c r="B243" s="90">
        <f>SUBTOTAL(103,$A$16:A243)</f>
        <v>224</v>
      </c>
      <c r="C243" s="89" t="s">
        <v>1576</v>
      </c>
      <c r="D243" s="163">
        <v>1971</v>
      </c>
      <c r="E243" s="163">
        <v>2015</v>
      </c>
      <c r="F243" s="168" t="s">
        <v>270</v>
      </c>
      <c r="G243" s="163">
        <v>9</v>
      </c>
      <c r="H243" s="163">
        <v>4</v>
      </c>
      <c r="I243" s="167">
        <v>8863.2999999999993</v>
      </c>
      <c r="J243" s="167">
        <v>7831.5</v>
      </c>
      <c r="K243" s="167">
        <v>7402.5</v>
      </c>
      <c r="L243" s="165">
        <v>282</v>
      </c>
      <c r="M243" s="163" t="s">
        <v>268</v>
      </c>
      <c r="N243" s="163" t="s">
        <v>272</v>
      </c>
      <c r="O243" s="166" t="s">
        <v>1363</v>
      </c>
      <c r="P243" s="167">
        <v>8133637.8399999999</v>
      </c>
      <c r="Q243" s="167">
        <v>0</v>
      </c>
      <c r="R243" s="167">
        <v>0</v>
      </c>
      <c r="S243" s="167">
        <f>P243-R243-Q243</f>
        <v>8133637.8399999999</v>
      </c>
      <c r="T243" s="167">
        <f t="shared" si="53"/>
        <v>917.67601683345936</v>
      </c>
      <c r="U243" s="167">
        <v>1109.2031184773166</v>
      </c>
      <c r="V243" s="149">
        <f t="shared" si="65"/>
        <v>191.52710164385724</v>
      </c>
      <c r="W243" s="149">
        <f t="shared" si="66"/>
        <v>1109.2031184773166</v>
      </c>
      <c r="X243" s="149">
        <v>0</v>
      </c>
      <c r="Y243" s="368">
        <v>0</v>
      </c>
      <c r="Z243" s="368">
        <v>0</v>
      </c>
      <c r="AA243" s="368">
        <v>0</v>
      </c>
      <c r="AB243" s="368">
        <v>0</v>
      </c>
      <c r="AC243" s="368">
        <v>4</v>
      </c>
      <c r="AD243" s="396">
        <f t="shared" si="67"/>
        <v>1109.2031184773166</v>
      </c>
      <c r="AE243" s="368">
        <v>0</v>
      </c>
      <c r="AF243" s="396">
        <v>0</v>
      </c>
      <c r="AG243" s="368">
        <v>0</v>
      </c>
      <c r="AH243" s="396">
        <v>0</v>
      </c>
      <c r="AI243" s="368">
        <v>0</v>
      </c>
      <c r="AJ243" s="396">
        <v>0</v>
      </c>
      <c r="AK243" s="368">
        <v>0</v>
      </c>
      <c r="AL243" s="368">
        <v>0</v>
      </c>
      <c r="AM243" s="368">
        <v>0</v>
      </c>
      <c r="AN243" s="368"/>
      <c r="AO243" s="368">
        <v>0</v>
      </c>
    </row>
    <row r="244" spans="1:41" s="152" customFormat="1" ht="36" customHeight="1" x14ac:dyDescent="0.9">
      <c r="B244" s="382" t="s">
        <v>828</v>
      </c>
      <c r="C244" s="388"/>
      <c r="D244" s="384" t="s">
        <v>903</v>
      </c>
      <c r="E244" s="163" t="s">
        <v>903</v>
      </c>
      <c r="F244" s="384" t="s">
        <v>903</v>
      </c>
      <c r="G244" s="384" t="s">
        <v>903</v>
      </c>
      <c r="H244" s="163" t="s">
        <v>903</v>
      </c>
      <c r="I244" s="386">
        <f>SUM(I245:I270)</f>
        <v>87528.61</v>
      </c>
      <c r="J244" s="164">
        <f>SUM(J245:J270)</f>
        <v>70022.880000000005</v>
      </c>
      <c r="K244" s="164">
        <f>SUM(K245:K270)</f>
        <v>68036.10000000002</v>
      </c>
      <c r="L244" s="165">
        <f>SUM(L245:L270)</f>
        <v>3340</v>
      </c>
      <c r="M244" s="163" t="s">
        <v>903</v>
      </c>
      <c r="N244" s="163" t="s">
        <v>903</v>
      </c>
      <c r="O244" s="166" t="s">
        <v>903</v>
      </c>
      <c r="P244" s="386">
        <v>88215847.820000023</v>
      </c>
      <c r="Q244" s="164">
        <f>SUM(Q245:Q270)</f>
        <v>0</v>
      </c>
      <c r="R244" s="164">
        <f>SUM(R245:R270)</f>
        <v>0</v>
      </c>
      <c r="S244" s="164">
        <f>SUM(S245:S270)</f>
        <v>88215847.820000023</v>
      </c>
      <c r="T244" s="387">
        <f t="shared" si="53"/>
        <v>1007.8515792721948</v>
      </c>
      <c r="U244" s="387">
        <f>MAX(U245:U270)</f>
        <v>10095.876349946977</v>
      </c>
      <c r="V244" s="149">
        <f t="shared" si="65"/>
        <v>9088.0247706747814</v>
      </c>
      <c r="W244" s="149"/>
      <c r="X244" s="149"/>
      <c r="Y244" s="368"/>
      <c r="Z244" s="368"/>
      <c r="AA244" s="368"/>
      <c r="AB244" s="368"/>
      <c r="AC244" s="368"/>
      <c r="AD244" s="368"/>
      <c r="AE244" s="368"/>
      <c r="AF244" s="368"/>
      <c r="AG244" s="368"/>
      <c r="AH244" s="368"/>
      <c r="AI244" s="368"/>
      <c r="AJ244" s="368"/>
      <c r="AK244" s="368"/>
      <c r="AL244" s="368"/>
      <c r="AM244" s="368"/>
      <c r="AN244" s="368"/>
      <c r="AO244" s="368"/>
    </row>
    <row r="245" spans="1:41" s="152" customFormat="1" ht="36" customHeight="1" x14ac:dyDescent="0.9">
      <c r="A245" s="152">
        <v>1</v>
      </c>
      <c r="B245" s="90">
        <f>SUBTOTAL(103,$A$16:A245)</f>
        <v>225</v>
      </c>
      <c r="C245" s="89" t="s">
        <v>623</v>
      </c>
      <c r="D245" s="163">
        <v>1987</v>
      </c>
      <c r="E245" s="163"/>
      <c r="F245" s="168" t="s">
        <v>270</v>
      </c>
      <c r="G245" s="163">
        <v>10</v>
      </c>
      <c r="H245" s="163">
        <v>1</v>
      </c>
      <c r="I245" s="167">
        <v>3669.9</v>
      </c>
      <c r="J245" s="167">
        <v>1997.7</v>
      </c>
      <c r="K245" s="167">
        <v>1997.7</v>
      </c>
      <c r="L245" s="165">
        <v>156</v>
      </c>
      <c r="M245" s="163" t="s">
        <v>268</v>
      </c>
      <c r="N245" s="163" t="s">
        <v>345</v>
      </c>
      <c r="O245" s="166" t="s">
        <v>715</v>
      </c>
      <c r="P245" s="167">
        <v>4514092.07</v>
      </c>
      <c r="Q245" s="167">
        <v>0</v>
      </c>
      <c r="R245" s="167">
        <v>0</v>
      </c>
      <c r="S245" s="167">
        <f t="shared" ref="S245:S269" si="68">P245-Q245-R245</f>
        <v>4514092.07</v>
      </c>
      <c r="T245" s="167">
        <f t="shared" si="53"/>
        <v>1230.0313550777951</v>
      </c>
      <c r="U245" s="167">
        <v>1450.6438867544075</v>
      </c>
      <c r="V245" s="149">
        <f t="shared" si="65"/>
        <v>220.61253167661243</v>
      </c>
      <c r="W245" s="149">
        <f t="shared" ref="W245:W270" si="69">X245+Y245+Z245+AA245+AB245+AD245+AF245+AH245+AJ245+AL245+AN245+AO245</f>
        <v>1450.6438867544075</v>
      </c>
      <c r="X245" s="149">
        <v>0</v>
      </c>
      <c r="Y245" s="368">
        <v>0</v>
      </c>
      <c r="Z245" s="368">
        <v>0</v>
      </c>
      <c r="AA245" s="368">
        <v>0</v>
      </c>
      <c r="AB245" s="368">
        <v>0</v>
      </c>
      <c r="AC245" s="368">
        <v>2</v>
      </c>
      <c r="AD245" s="396">
        <f>2661859*AC245/I245</f>
        <v>1450.6438867544075</v>
      </c>
      <c r="AE245" s="368">
        <v>0</v>
      </c>
      <c r="AF245" s="396">
        <v>0</v>
      </c>
      <c r="AG245" s="368">
        <v>0</v>
      </c>
      <c r="AH245" s="396">
        <v>0</v>
      </c>
      <c r="AI245" s="368">
        <v>0</v>
      </c>
      <c r="AJ245" s="396">
        <v>0</v>
      </c>
      <c r="AK245" s="368">
        <v>0</v>
      </c>
      <c r="AL245" s="368">
        <v>0</v>
      </c>
      <c r="AM245" s="368">
        <v>0</v>
      </c>
      <c r="AN245" s="368"/>
      <c r="AO245" s="368">
        <v>0</v>
      </c>
    </row>
    <row r="246" spans="1:41" s="152" customFormat="1" ht="36" customHeight="1" x14ac:dyDescent="0.9">
      <c r="A246" s="152">
        <v>1</v>
      </c>
      <c r="B246" s="90">
        <f>SUBTOTAL(103,$A$16:A246)</f>
        <v>226</v>
      </c>
      <c r="C246" s="89" t="s">
        <v>627</v>
      </c>
      <c r="D246" s="163">
        <v>1967</v>
      </c>
      <c r="E246" s="163"/>
      <c r="F246" s="168" t="s">
        <v>270</v>
      </c>
      <c r="G246" s="163">
        <v>5</v>
      </c>
      <c r="H246" s="163">
        <v>4</v>
      </c>
      <c r="I246" s="167">
        <v>3578.24</v>
      </c>
      <c r="J246" s="167">
        <v>3578.24</v>
      </c>
      <c r="K246" s="167">
        <v>3012.01</v>
      </c>
      <c r="L246" s="165">
        <v>120</v>
      </c>
      <c r="M246" s="163" t="s">
        <v>268</v>
      </c>
      <c r="N246" s="163" t="s">
        <v>272</v>
      </c>
      <c r="O246" s="166" t="s">
        <v>716</v>
      </c>
      <c r="P246" s="167">
        <v>6392534.7800000003</v>
      </c>
      <c r="Q246" s="167">
        <v>0</v>
      </c>
      <c r="R246" s="167">
        <v>0</v>
      </c>
      <c r="S246" s="167">
        <f t="shared" si="68"/>
        <v>6392534.7800000003</v>
      </c>
      <c r="T246" s="167">
        <f t="shared" si="53"/>
        <v>1786.502520792345</v>
      </c>
      <c r="U246" s="167">
        <v>1883.4686992487927</v>
      </c>
      <c r="V246" s="149">
        <f t="shared" si="65"/>
        <v>96.966178456447778</v>
      </c>
      <c r="W246" s="149">
        <f t="shared" si="69"/>
        <v>1883.4686992487927</v>
      </c>
      <c r="X246" s="149">
        <v>0</v>
      </c>
      <c r="Y246" s="368">
        <v>0</v>
      </c>
      <c r="Z246" s="368">
        <v>0</v>
      </c>
      <c r="AA246" s="368">
        <v>0</v>
      </c>
      <c r="AB246" s="368">
        <v>0</v>
      </c>
      <c r="AC246" s="368">
        <v>0</v>
      </c>
      <c r="AD246" s="368">
        <v>0</v>
      </c>
      <c r="AE246" s="368">
        <v>0</v>
      </c>
      <c r="AF246" s="396">
        <v>0</v>
      </c>
      <c r="AG246" s="368">
        <v>0</v>
      </c>
      <c r="AH246" s="396">
        <v>0</v>
      </c>
      <c r="AI246" s="368">
        <v>0</v>
      </c>
      <c r="AJ246" s="396">
        <v>0</v>
      </c>
      <c r="AK246" s="368">
        <v>0</v>
      </c>
      <c r="AL246" s="368">
        <v>0</v>
      </c>
      <c r="AM246" s="368">
        <v>964.92</v>
      </c>
      <c r="AN246" s="368">
        <f>6984.52*AM246/I246</f>
        <v>1883.4686992487927</v>
      </c>
      <c r="AO246" s="368">
        <v>0</v>
      </c>
    </row>
    <row r="247" spans="1:41" s="152" customFormat="1" ht="36" customHeight="1" x14ac:dyDescent="0.9">
      <c r="A247" s="152">
        <v>1</v>
      </c>
      <c r="B247" s="90">
        <f>SUBTOTAL(103,$A$16:A247)</f>
        <v>227</v>
      </c>
      <c r="C247" s="89" t="s">
        <v>628</v>
      </c>
      <c r="D247" s="163">
        <v>1965</v>
      </c>
      <c r="E247" s="163"/>
      <c r="F247" s="168" t="s">
        <v>270</v>
      </c>
      <c r="G247" s="163">
        <v>5</v>
      </c>
      <c r="H247" s="163">
        <v>2</v>
      </c>
      <c r="I247" s="167">
        <v>4985.66</v>
      </c>
      <c r="J247" s="167">
        <v>2300.6799999999998</v>
      </c>
      <c r="K247" s="167">
        <v>2300.6799999999998</v>
      </c>
      <c r="L247" s="165">
        <v>202</v>
      </c>
      <c r="M247" s="163" t="s">
        <v>268</v>
      </c>
      <c r="N247" s="163" t="s">
        <v>272</v>
      </c>
      <c r="O247" s="166" t="s">
        <v>717</v>
      </c>
      <c r="P247" s="167">
        <v>372359.35</v>
      </c>
      <c r="Q247" s="167">
        <v>0</v>
      </c>
      <c r="R247" s="167">
        <v>0</v>
      </c>
      <c r="S247" s="167">
        <f t="shared" si="68"/>
        <v>372359.35</v>
      </c>
      <c r="T247" s="167">
        <f t="shared" si="53"/>
        <v>74.686069647749747</v>
      </c>
      <c r="U247" s="167">
        <v>74.686069647749747</v>
      </c>
      <c r="V247" s="149">
        <f t="shared" si="65"/>
        <v>0</v>
      </c>
      <c r="W247" s="149">
        <f>T247</f>
        <v>74.686069647749747</v>
      </c>
      <c r="X247" s="149">
        <v>0</v>
      </c>
      <c r="Y247" s="368">
        <v>0</v>
      </c>
      <c r="Z247" s="368">
        <v>0</v>
      </c>
      <c r="AA247" s="368">
        <v>0</v>
      </c>
      <c r="AB247" s="368">
        <v>0</v>
      </c>
      <c r="AC247" s="368">
        <v>0</v>
      </c>
      <c r="AD247" s="368">
        <v>0</v>
      </c>
      <c r="AE247" s="368">
        <v>0</v>
      </c>
      <c r="AF247" s="396">
        <v>0</v>
      </c>
      <c r="AG247" s="368">
        <v>0</v>
      </c>
      <c r="AH247" s="396">
        <v>0</v>
      </c>
      <c r="AI247" s="368">
        <v>0</v>
      </c>
      <c r="AJ247" s="396">
        <v>0</v>
      </c>
      <c r="AK247" s="368">
        <v>0</v>
      </c>
      <c r="AL247" s="368">
        <v>0</v>
      </c>
      <c r="AM247" s="368">
        <v>0</v>
      </c>
      <c r="AN247" s="368"/>
      <c r="AO247" s="368">
        <v>0</v>
      </c>
    </row>
    <row r="248" spans="1:41" s="152" customFormat="1" ht="36" customHeight="1" x14ac:dyDescent="0.9">
      <c r="A248" s="152">
        <v>1</v>
      </c>
      <c r="B248" s="90">
        <f>SUBTOTAL(103,$A$16:A248)</f>
        <v>228</v>
      </c>
      <c r="C248" s="89" t="s">
        <v>631</v>
      </c>
      <c r="D248" s="163">
        <v>1993</v>
      </c>
      <c r="E248" s="163"/>
      <c r="F248" s="168" t="s">
        <v>315</v>
      </c>
      <c r="G248" s="163">
        <v>9</v>
      </c>
      <c r="H248" s="163">
        <v>2</v>
      </c>
      <c r="I248" s="167">
        <v>5060.3</v>
      </c>
      <c r="J248" s="167">
        <v>2946.8</v>
      </c>
      <c r="K248" s="167">
        <v>2946.8</v>
      </c>
      <c r="L248" s="165">
        <v>281</v>
      </c>
      <c r="M248" s="163" t="s">
        <v>268</v>
      </c>
      <c r="N248" s="163" t="s">
        <v>272</v>
      </c>
      <c r="O248" s="166" t="s">
        <v>718</v>
      </c>
      <c r="P248" s="167">
        <v>3407945.42</v>
      </c>
      <c r="Q248" s="167">
        <v>0</v>
      </c>
      <c r="R248" s="167">
        <v>0</v>
      </c>
      <c r="S248" s="167">
        <f t="shared" si="68"/>
        <v>3407945.42</v>
      </c>
      <c r="T248" s="167">
        <f t="shared" si="53"/>
        <v>673.46707112226545</v>
      </c>
      <c r="U248" s="167">
        <v>971.40485741952057</v>
      </c>
      <c r="V248" s="149">
        <f t="shared" si="65"/>
        <v>297.93778629725512</v>
      </c>
      <c r="W248" s="149">
        <f t="shared" si="69"/>
        <v>971.40485741952057</v>
      </c>
      <c r="X248" s="149">
        <v>0</v>
      </c>
      <c r="Y248" s="368">
        <v>0</v>
      </c>
      <c r="Z248" s="368">
        <v>0</v>
      </c>
      <c r="AA248" s="368">
        <v>0</v>
      </c>
      <c r="AB248" s="368">
        <v>0</v>
      </c>
      <c r="AC248" s="368">
        <v>2</v>
      </c>
      <c r="AD248" s="396">
        <f>2457800*AC248/I248</f>
        <v>971.40485741952057</v>
      </c>
      <c r="AE248" s="368">
        <v>0</v>
      </c>
      <c r="AF248" s="396">
        <v>0</v>
      </c>
      <c r="AG248" s="368">
        <v>0</v>
      </c>
      <c r="AH248" s="396">
        <v>0</v>
      </c>
      <c r="AI248" s="368">
        <v>0</v>
      </c>
      <c r="AJ248" s="396">
        <v>0</v>
      </c>
      <c r="AK248" s="368">
        <v>0</v>
      </c>
      <c r="AL248" s="368">
        <v>0</v>
      </c>
      <c r="AM248" s="368">
        <v>0</v>
      </c>
      <c r="AN248" s="368"/>
      <c r="AO248" s="368">
        <v>0</v>
      </c>
    </row>
    <row r="249" spans="1:41" s="152" customFormat="1" ht="36" customHeight="1" x14ac:dyDescent="0.9">
      <c r="A249" s="152">
        <v>1</v>
      </c>
      <c r="B249" s="90">
        <f>SUBTOTAL(103,$A$16:A249)</f>
        <v>229</v>
      </c>
      <c r="C249" s="89" t="s">
        <v>633</v>
      </c>
      <c r="D249" s="163">
        <v>1959</v>
      </c>
      <c r="E249" s="163"/>
      <c r="F249" s="168" t="s">
        <v>270</v>
      </c>
      <c r="G249" s="163">
        <v>2</v>
      </c>
      <c r="H249" s="163">
        <v>2</v>
      </c>
      <c r="I249" s="167">
        <v>606.79999999999995</v>
      </c>
      <c r="J249" s="167">
        <v>525.79999999999995</v>
      </c>
      <c r="K249" s="167">
        <v>525.79999999999995</v>
      </c>
      <c r="L249" s="165">
        <v>29</v>
      </c>
      <c r="M249" s="163" t="s">
        <v>268</v>
      </c>
      <c r="N249" s="163" t="s">
        <v>272</v>
      </c>
      <c r="O249" s="166" t="s">
        <v>716</v>
      </c>
      <c r="P249" s="167">
        <v>2597044.75</v>
      </c>
      <c r="Q249" s="167">
        <v>0</v>
      </c>
      <c r="R249" s="167">
        <v>0</v>
      </c>
      <c r="S249" s="167">
        <f t="shared" si="68"/>
        <v>2597044.75</v>
      </c>
      <c r="T249" s="167">
        <f t="shared" si="53"/>
        <v>4279.902356624918</v>
      </c>
      <c r="U249" s="167">
        <v>5140.8289386947927</v>
      </c>
      <c r="V249" s="149">
        <f t="shared" si="65"/>
        <v>860.92658206987471</v>
      </c>
      <c r="W249" s="149">
        <f t="shared" si="69"/>
        <v>5140.8289386947927</v>
      </c>
      <c r="X249" s="149">
        <v>0</v>
      </c>
      <c r="Y249" s="368">
        <v>0</v>
      </c>
      <c r="Z249" s="368">
        <v>0</v>
      </c>
      <c r="AA249" s="368">
        <v>0</v>
      </c>
      <c r="AB249" s="368">
        <v>0</v>
      </c>
      <c r="AC249" s="368">
        <v>0</v>
      </c>
      <c r="AD249" s="368">
        <v>0</v>
      </c>
      <c r="AE249" s="368">
        <v>500</v>
      </c>
      <c r="AF249" s="396">
        <f t="shared" ref="AF249:AF251" si="70">6238.91*AE249/I249</f>
        <v>5140.8289386947927</v>
      </c>
      <c r="AG249" s="368">
        <v>0</v>
      </c>
      <c r="AH249" s="396">
        <v>0</v>
      </c>
      <c r="AI249" s="368">
        <v>0</v>
      </c>
      <c r="AJ249" s="396">
        <v>0</v>
      </c>
      <c r="AK249" s="368">
        <v>0</v>
      </c>
      <c r="AL249" s="368">
        <v>0</v>
      </c>
      <c r="AM249" s="368">
        <v>0</v>
      </c>
      <c r="AN249" s="368"/>
      <c r="AO249" s="368">
        <v>0</v>
      </c>
    </row>
    <row r="250" spans="1:41" s="152" customFormat="1" ht="36" customHeight="1" x14ac:dyDescent="0.9">
      <c r="A250" s="152">
        <v>1</v>
      </c>
      <c r="B250" s="90">
        <f>SUBTOTAL(103,$A$16:A250)</f>
        <v>230</v>
      </c>
      <c r="C250" s="89" t="s">
        <v>636</v>
      </c>
      <c r="D250" s="163">
        <v>1965</v>
      </c>
      <c r="E250" s="163"/>
      <c r="F250" s="168" t="s">
        <v>270</v>
      </c>
      <c r="G250" s="163">
        <v>5</v>
      </c>
      <c r="H250" s="163">
        <v>2</v>
      </c>
      <c r="I250" s="167">
        <v>2026.2</v>
      </c>
      <c r="J250" s="167">
        <v>1565.4</v>
      </c>
      <c r="K250" s="167">
        <v>1565.4</v>
      </c>
      <c r="L250" s="165">
        <v>104</v>
      </c>
      <c r="M250" s="163" t="s">
        <v>268</v>
      </c>
      <c r="N250" s="163" t="s">
        <v>272</v>
      </c>
      <c r="O250" s="166" t="s">
        <v>718</v>
      </c>
      <c r="P250" s="167">
        <v>2424926.64</v>
      </c>
      <c r="Q250" s="167">
        <v>0</v>
      </c>
      <c r="R250" s="167">
        <v>0</v>
      </c>
      <c r="S250" s="167">
        <f t="shared" si="68"/>
        <v>2424926.64</v>
      </c>
      <c r="T250" s="167">
        <f t="shared" si="53"/>
        <v>1196.7854308557892</v>
      </c>
      <c r="U250" s="167">
        <v>1667.6506050735366</v>
      </c>
      <c r="V250" s="149">
        <f t="shared" si="65"/>
        <v>470.86517421774738</v>
      </c>
      <c r="W250" s="149">
        <f t="shared" si="69"/>
        <v>1667.6506050735366</v>
      </c>
      <c r="X250" s="149">
        <v>0</v>
      </c>
      <c r="Y250" s="368">
        <v>0</v>
      </c>
      <c r="Z250" s="368">
        <v>0</v>
      </c>
      <c r="AA250" s="368">
        <v>0</v>
      </c>
      <c r="AB250" s="368">
        <v>0</v>
      </c>
      <c r="AC250" s="368">
        <v>0</v>
      </c>
      <c r="AD250" s="368">
        <v>0</v>
      </c>
      <c r="AE250" s="368">
        <v>541.6</v>
      </c>
      <c r="AF250" s="396">
        <f t="shared" si="70"/>
        <v>1667.6506050735366</v>
      </c>
      <c r="AG250" s="368">
        <v>0</v>
      </c>
      <c r="AH250" s="396">
        <v>0</v>
      </c>
      <c r="AI250" s="368">
        <v>0</v>
      </c>
      <c r="AJ250" s="396">
        <v>0</v>
      </c>
      <c r="AK250" s="368">
        <v>0</v>
      </c>
      <c r="AL250" s="368">
        <v>0</v>
      </c>
      <c r="AM250" s="368">
        <v>0</v>
      </c>
      <c r="AN250" s="368"/>
      <c r="AO250" s="368">
        <v>0</v>
      </c>
    </row>
    <row r="251" spans="1:41" s="152" customFormat="1" ht="36" customHeight="1" x14ac:dyDescent="0.9">
      <c r="A251" s="152">
        <v>1</v>
      </c>
      <c r="B251" s="90">
        <f>SUBTOTAL(103,$A$16:A251)</f>
        <v>231</v>
      </c>
      <c r="C251" s="89" t="s">
        <v>637</v>
      </c>
      <c r="D251" s="163">
        <v>1963</v>
      </c>
      <c r="E251" s="163"/>
      <c r="F251" s="168" t="s">
        <v>270</v>
      </c>
      <c r="G251" s="163">
        <v>2</v>
      </c>
      <c r="H251" s="163">
        <v>1</v>
      </c>
      <c r="I251" s="167">
        <v>429.2</v>
      </c>
      <c r="J251" s="167">
        <v>388.96</v>
      </c>
      <c r="K251" s="167">
        <v>388.96</v>
      </c>
      <c r="L251" s="165">
        <v>13</v>
      </c>
      <c r="M251" s="163" t="s">
        <v>268</v>
      </c>
      <c r="N251" s="163" t="s">
        <v>272</v>
      </c>
      <c r="O251" s="166" t="s">
        <v>719</v>
      </c>
      <c r="P251" s="167">
        <v>1334609.25</v>
      </c>
      <c r="Q251" s="167">
        <v>0</v>
      </c>
      <c r="R251" s="167">
        <v>0</v>
      </c>
      <c r="S251" s="167">
        <f t="shared" si="68"/>
        <v>1334609.25</v>
      </c>
      <c r="T251" s="167">
        <f t="shared" si="53"/>
        <v>3109.5276095060581</v>
      </c>
      <c r="U251" s="167">
        <v>5686.5367940354145</v>
      </c>
      <c r="V251" s="149">
        <f t="shared" si="65"/>
        <v>2577.0091845293564</v>
      </c>
      <c r="W251" s="149">
        <f t="shared" si="69"/>
        <v>5686.5367940354145</v>
      </c>
      <c r="X251" s="149">
        <v>0</v>
      </c>
      <c r="Y251" s="368">
        <v>0</v>
      </c>
      <c r="Z251" s="368">
        <v>0</v>
      </c>
      <c r="AA251" s="368">
        <v>0</v>
      </c>
      <c r="AB251" s="368">
        <v>0</v>
      </c>
      <c r="AC251" s="368">
        <v>0</v>
      </c>
      <c r="AD251" s="368">
        <v>0</v>
      </c>
      <c r="AE251" s="368">
        <v>391.2</v>
      </c>
      <c r="AF251" s="396">
        <f t="shared" si="70"/>
        <v>5686.5367940354145</v>
      </c>
      <c r="AG251" s="368">
        <v>0</v>
      </c>
      <c r="AH251" s="396">
        <v>0</v>
      </c>
      <c r="AI251" s="368">
        <v>0</v>
      </c>
      <c r="AJ251" s="396">
        <v>0</v>
      </c>
      <c r="AK251" s="368">
        <v>0</v>
      </c>
      <c r="AL251" s="368">
        <v>0</v>
      </c>
      <c r="AM251" s="368">
        <v>0</v>
      </c>
      <c r="AN251" s="368"/>
      <c r="AO251" s="368">
        <v>0</v>
      </c>
    </row>
    <row r="252" spans="1:41" s="152" customFormat="1" ht="36" customHeight="1" x14ac:dyDescent="0.9">
      <c r="A252" s="152">
        <v>1</v>
      </c>
      <c r="B252" s="90">
        <f>SUBTOTAL(103,$A$16:A252)</f>
        <v>232</v>
      </c>
      <c r="C252" s="89" t="s">
        <v>638</v>
      </c>
      <c r="D252" s="163">
        <v>1987</v>
      </c>
      <c r="E252" s="163"/>
      <c r="F252" s="168" t="s">
        <v>270</v>
      </c>
      <c r="G252" s="163">
        <v>9</v>
      </c>
      <c r="H252" s="163">
        <v>2</v>
      </c>
      <c r="I252" s="167">
        <v>7472.7</v>
      </c>
      <c r="J252" s="167">
        <v>7472.7</v>
      </c>
      <c r="K252" s="167">
        <v>7472.7</v>
      </c>
      <c r="L252" s="165">
        <v>180</v>
      </c>
      <c r="M252" s="163" t="s">
        <v>268</v>
      </c>
      <c r="N252" s="163" t="s">
        <v>286</v>
      </c>
      <c r="O252" s="166" t="s">
        <v>271</v>
      </c>
      <c r="P252" s="167">
        <v>1623216.35</v>
      </c>
      <c r="Q252" s="167">
        <v>0</v>
      </c>
      <c r="R252" s="167">
        <v>0</v>
      </c>
      <c r="S252" s="167">
        <f t="shared" si="68"/>
        <v>1623216.35</v>
      </c>
      <c r="T252" s="167">
        <f t="shared" si="53"/>
        <v>217.2195257403616</v>
      </c>
      <c r="U252" s="167">
        <v>328.90387677813908</v>
      </c>
      <c r="V252" s="149">
        <f t="shared" si="65"/>
        <v>111.68435103777747</v>
      </c>
      <c r="W252" s="149">
        <f t="shared" si="69"/>
        <v>328.90387677813908</v>
      </c>
      <c r="X252" s="149">
        <v>0</v>
      </c>
      <c r="Y252" s="368">
        <v>0</v>
      </c>
      <c r="Z252" s="368">
        <v>0</v>
      </c>
      <c r="AA252" s="368">
        <v>0</v>
      </c>
      <c r="AB252" s="368">
        <v>0</v>
      </c>
      <c r="AC252" s="368">
        <v>1</v>
      </c>
      <c r="AD252" s="396">
        <f>2457800*AC252/I252</f>
        <v>328.90387677813908</v>
      </c>
      <c r="AE252" s="368">
        <v>0</v>
      </c>
      <c r="AF252" s="396">
        <v>0</v>
      </c>
      <c r="AG252" s="368">
        <v>0</v>
      </c>
      <c r="AH252" s="396">
        <v>0</v>
      </c>
      <c r="AI252" s="368">
        <v>0</v>
      </c>
      <c r="AJ252" s="396">
        <v>0</v>
      </c>
      <c r="AK252" s="368">
        <v>0</v>
      </c>
      <c r="AL252" s="368">
        <v>0</v>
      </c>
      <c r="AM252" s="368">
        <v>0</v>
      </c>
      <c r="AN252" s="368"/>
      <c r="AO252" s="368">
        <v>0</v>
      </c>
    </row>
    <row r="253" spans="1:41" s="152" customFormat="1" ht="36" customHeight="1" x14ac:dyDescent="0.9">
      <c r="A253" s="152">
        <v>1</v>
      </c>
      <c r="B253" s="90">
        <f>SUBTOTAL(103,$A$16:A253)</f>
        <v>233</v>
      </c>
      <c r="C253" s="89" t="s">
        <v>640</v>
      </c>
      <c r="D253" s="163">
        <v>1917</v>
      </c>
      <c r="E253" s="163"/>
      <c r="F253" s="168" t="s">
        <v>270</v>
      </c>
      <c r="G253" s="163">
        <v>2</v>
      </c>
      <c r="H253" s="163">
        <v>1</v>
      </c>
      <c r="I253" s="167">
        <v>237.3</v>
      </c>
      <c r="J253" s="167">
        <v>207.2</v>
      </c>
      <c r="K253" s="167">
        <v>207.2</v>
      </c>
      <c r="L253" s="165">
        <v>13</v>
      </c>
      <c r="M253" s="163" t="s">
        <v>268</v>
      </c>
      <c r="N253" s="163" t="s">
        <v>269</v>
      </c>
      <c r="O253" s="166" t="s">
        <v>271</v>
      </c>
      <c r="P253" s="167">
        <v>1208400.48</v>
      </c>
      <c r="Q253" s="167">
        <v>0</v>
      </c>
      <c r="R253" s="167">
        <v>0</v>
      </c>
      <c r="S253" s="167">
        <f t="shared" si="68"/>
        <v>1208400.48</v>
      </c>
      <c r="T253" s="167">
        <f t="shared" si="53"/>
        <v>5092.2902654867257</v>
      </c>
      <c r="U253" s="167">
        <v>6309.8963337547402</v>
      </c>
      <c r="V253" s="149">
        <f t="shared" si="65"/>
        <v>1217.6060682680145</v>
      </c>
      <c r="W253" s="149">
        <f t="shared" si="69"/>
        <v>6309.8963337547402</v>
      </c>
      <c r="X253" s="149">
        <v>0</v>
      </c>
      <c r="Y253" s="368">
        <v>0</v>
      </c>
      <c r="Z253" s="368">
        <v>0</v>
      </c>
      <c r="AA253" s="368">
        <v>0</v>
      </c>
      <c r="AB253" s="368">
        <v>0</v>
      </c>
      <c r="AC253" s="368">
        <v>0</v>
      </c>
      <c r="AD253" s="368">
        <v>0</v>
      </c>
      <c r="AE253" s="368">
        <v>240</v>
      </c>
      <c r="AF253" s="396">
        <f t="shared" ref="AF253:AF258" si="71">6238.91*AE253/I253</f>
        <v>6309.8963337547402</v>
      </c>
      <c r="AG253" s="368">
        <v>0</v>
      </c>
      <c r="AH253" s="396">
        <v>0</v>
      </c>
      <c r="AI253" s="368">
        <v>0</v>
      </c>
      <c r="AJ253" s="396">
        <v>0</v>
      </c>
      <c r="AK253" s="368">
        <v>0</v>
      </c>
      <c r="AL253" s="368">
        <v>0</v>
      </c>
      <c r="AM253" s="368">
        <v>0</v>
      </c>
      <c r="AN253" s="368"/>
      <c r="AO253" s="368">
        <v>0</v>
      </c>
    </row>
    <row r="254" spans="1:41" s="152" customFormat="1" ht="36" customHeight="1" x14ac:dyDescent="0.9">
      <c r="A254" s="152">
        <v>1</v>
      </c>
      <c r="B254" s="90">
        <f>SUBTOTAL(103,$A$16:A254)</f>
        <v>234</v>
      </c>
      <c r="C254" s="89" t="s">
        <v>644</v>
      </c>
      <c r="D254" s="163">
        <v>1972</v>
      </c>
      <c r="E254" s="163"/>
      <c r="F254" s="168" t="s">
        <v>270</v>
      </c>
      <c r="G254" s="163">
        <v>5</v>
      </c>
      <c r="H254" s="163">
        <v>1</v>
      </c>
      <c r="I254" s="167">
        <v>1651.99</v>
      </c>
      <c r="J254" s="167">
        <v>1219.19</v>
      </c>
      <c r="K254" s="167">
        <v>1219.19</v>
      </c>
      <c r="L254" s="165">
        <v>231</v>
      </c>
      <c r="M254" s="163" t="s">
        <v>268</v>
      </c>
      <c r="N254" s="163" t="s">
        <v>345</v>
      </c>
      <c r="O254" s="166" t="s">
        <v>720</v>
      </c>
      <c r="P254" s="167">
        <v>2151206.1800000002</v>
      </c>
      <c r="Q254" s="167">
        <v>0</v>
      </c>
      <c r="R254" s="167">
        <v>0</v>
      </c>
      <c r="S254" s="167">
        <f t="shared" si="68"/>
        <v>2151206.1800000002</v>
      </c>
      <c r="T254" s="167">
        <f t="shared" si="53"/>
        <v>1302.1908001864419</v>
      </c>
      <c r="U254" s="167">
        <v>2126.6050163741911</v>
      </c>
      <c r="V254" s="149">
        <f t="shared" si="65"/>
        <v>824.41421618774916</v>
      </c>
      <c r="W254" s="149">
        <f t="shared" si="69"/>
        <v>2126.6050163741911</v>
      </c>
      <c r="X254" s="149">
        <v>0</v>
      </c>
      <c r="Y254" s="368">
        <v>0</v>
      </c>
      <c r="Z254" s="368">
        <v>0</v>
      </c>
      <c r="AA254" s="368">
        <v>0</v>
      </c>
      <c r="AB254" s="368">
        <v>0</v>
      </c>
      <c r="AC254" s="368">
        <v>0</v>
      </c>
      <c r="AD254" s="368">
        <v>0</v>
      </c>
      <c r="AE254" s="368">
        <v>563.1</v>
      </c>
      <c r="AF254" s="396">
        <f t="shared" si="71"/>
        <v>2126.6050163741911</v>
      </c>
      <c r="AG254" s="368">
        <v>0</v>
      </c>
      <c r="AH254" s="396">
        <v>0</v>
      </c>
      <c r="AI254" s="368">
        <v>0</v>
      </c>
      <c r="AJ254" s="396">
        <v>0</v>
      </c>
      <c r="AK254" s="368">
        <v>0</v>
      </c>
      <c r="AL254" s="368">
        <v>0</v>
      </c>
      <c r="AM254" s="368">
        <v>0</v>
      </c>
      <c r="AN254" s="368"/>
      <c r="AO254" s="368">
        <v>0</v>
      </c>
    </row>
    <row r="255" spans="1:41" s="152" customFormat="1" ht="36" customHeight="1" x14ac:dyDescent="0.9">
      <c r="A255" s="152">
        <v>1</v>
      </c>
      <c r="B255" s="90">
        <f>SUBTOTAL(103,$A$16:A255)</f>
        <v>235</v>
      </c>
      <c r="C255" s="89" t="s">
        <v>1107</v>
      </c>
      <c r="D255" s="163">
        <v>1965</v>
      </c>
      <c r="E255" s="163"/>
      <c r="F255" s="168" t="s">
        <v>270</v>
      </c>
      <c r="G255" s="163">
        <v>5</v>
      </c>
      <c r="H255" s="163">
        <v>4</v>
      </c>
      <c r="I255" s="167">
        <v>3471.4</v>
      </c>
      <c r="J255" s="167">
        <v>3417.4</v>
      </c>
      <c r="K255" s="167">
        <v>3143.9</v>
      </c>
      <c r="L255" s="165">
        <v>208</v>
      </c>
      <c r="M255" s="163" t="s">
        <v>268</v>
      </c>
      <c r="N255" s="163" t="s">
        <v>272</v>
      </c>
      <c r="O255" s="166" t="s">
        <v>718</v>
      </c>
      <c r="P255" s="167">
        <v>6477322.9000000004</v>
      </c>
      <c r="Q255" s="167">
        <v>0</v>
      </c>
      <c r="R255" s="167">
        <v>0</v>
      </c>
      <c r="S255" s="167">
        <f t="shared" si="68"/>
        <v>6477322.9000000004</v>
      </c>
      <c r="T255" s="167">
        <f t="shared" si="53"/>
        <v>1865.9108428875959</v>
      </c>
      <c r="U255" s="167">
        <v>1926.4526211326843</v>
      </c>
      <c r="V255" s="149">
        <f t="shared" si="65"/>
        <v>60.541778245088381</v>
      </c>
      <c r="W255" s="149">
        <f t="shared" si="69"/>
        <v>1926.4526211326843</v>
      </c>
      <c r="X255" s="149">
        <v>0</v>
      </c>
      <c r="Y255" s="368">
        <v>0</v>
      </c>
      <c r="Z255" s="368">
        <v>0</v>
      </c>
      <c r="AA255" s="368">
        <v>0</v>
      </c>
      <c r="AB255" s="368">
        <v>0</v>
      </c>
      <c r="AC255" s="368">
        <v>0</v>
      </c>
      <c r="AD255" s="368">
        <v>0</v>
      </c>
      <c r="AE255" s="368">
        <v>1071.9000000000001</v>
      </c>
      <c r="AF255" s="396">
        <f t="shared" si="71"/>
        <v>1926.4526211326843</v>
      </c>
      <c r="AG255" s="368">
        <v>0</v>
      </c>
      <c r="AH255" s="396">
        <v>0</v>
      </c>
      <c r="AI255" s="368">
        <v>0</v>
      </c>
      <c r="AJ255" s="396">
        <v>0</v>
      </c>
      <c r="AK255" s="368">
        <v>0</v>
      </c>
      <c r="AL255" s="368">
        <v>0</v>
      </c>
      <c r="AM255" s="368">
        <v>0</v>
      </c>
      <c r="AN255" s="368"/>
      <c r="AO255" s="368">
        <v>0</v>
      </c>
    </row>
    <row r="256" spans="1:41" s="152" customFormat="1" ht="36" customHeight="1" x14ac:dyDescent="0.9">
      <c r="A256" s="152">
        <v>1</v>
      </c>
      <c r="B256" s="90">
        <f>SUBTOTAL(103,$A$16:A256)</f>
        <v>236</v>
      </c>
      <c r="C256" s="89" t="s">
        <v>1193</v>
      </c>
      <c r="D256" s="163" t="s">
        <v>1329</v>
      </c>
      <c r="E256" s="163"/>
      <c r="F256" s="168" t="s">
        <v>315</v>
      </c>
      <c r="G256" s="163" t="s">
        <v>362</v>
      </c>
      <c r="H256" s="163" t="s">
        <v>307</v>
      </c>
      <c r="I256" s="167">
        <v>4238.3</v>
      </c>
      <c r="J256" s="167">
        <v>3715.7</v>
      </c>
      <c r="K256" s="167">
        <v>3797</v>
      </c>
      <c r="L256" s="165">
        <v>139</v>
      </c>
      <c r="M256" s="163" t="s">
        <v>268</v>
      </c>
      <c r="N256" s="163" t="s">
        <v>272</v>
      </c>
      <c r="O256" s="166" t="s">
        <v>1330</v>
      </c>
      <c r="P256" s="167">
        <v>978774.53</v>
      </c>
      <c r="Q256" s="167">
        <v>0</v>
      </c>
      <c r="R256" s="167">
        <v>0</v>
      </c>
      <c r="S256" s="167">
        <f t="shared" si="68"/>
        <v>978774.53</v>
      </c>
      <c r="T256" s="167">
        <f t="shared" si="53"/>
        <v>230.93564164877426</v>
      </c>
      <c r="U256" s="167">
        <v>795.63288464714617</v>
      </c>
      <c r="V256" s="149">
        <f t="shared" si="65"/>
        <v>564.69724299837185</v>
      </c>
      <c r="W256" s="149">
        <f t="shared" si="69"/>
        <v>795.63288464714617</v>
      </c>
      <c r="X256" s="149">
        <v>0</v>
      </c>
      <c r="Y256" s="368">
        <v>0</v>
      </c>
      <c r="Z256" s="368">
        <v>0</v>
      </c>
      <c r="AA256" s="368">
        <v>0</v>
      </c>
      <c r="AB256" s="368">
        <v>0</v>
      </c>
      <c r="AC256" s="368">
        <v>0</v>
      </c>
      <c r="AD256" s="368">
        <v>0</v>
      </c>
      <c r="AE256" s="368">
        <v>540.5</v>
      </c>
      <c r="AF256" s="396">
        <f t="shared" si="71"/>
        <v>795.63288464714617</v>
      </c>
      <c r="AG256" s="368">
        <v>0</v>
      </c>
      <c r="AH256" s="396">
        <v>0</v>
      </c>
      <c r="AI256" s="368">
        <v>0</v>
      </c>
      <c r="AJ256" s="396">
        <v>0</v>
      </c>
      <c r="AK256" s="368">
        <v>0</v>
      </c>
      <c r="AL256" s="368">
        <v>0</v>
      </c>
      <c r="AM256" s="368">
        <v>0</v>
      </c>
      <c r="AN256" s="368"/>
      <c r="AO256" s="368">
        <v>0</v>
      </c>
    </row>
    <row r="257" spans="1:41" s="152" customFormat="1" ht="36" customHeight="1" x14ac:dyDescent="0.9">
      <c r="A257" s="152">
        <v>1</v>
      </c>
      <c r="B257" s="90">
        <f>SUBTOTAL(103,$A$16:A257)</f>
        <v>237</v>
      </c>
      <c r="C257" s="89" t="s">
        <v>1194</v>
      </c>
      <c r="D257" s="163" t="s">
        <v>313</v>
      </c>
      <c r="E257" s="163"/>
      <c r="F257" s="168" t="s">
        <v>270</v>
      </c>
      <c r="G257" s="163" t="s">
        <v>316</v>
      </c>
      <c r="H257" s="163" t="s">
        <v>307</v>
      </c>
      <c r="I257" s="167">
        <v>1681.3</v>
      </c>
      <c r="J257" s="167">
        <v>1080.3</v>
      </c>
      <c r="K257" s="167">
        <v>880.4</v>
      </c>
      <c r="L257" s="165">
        <v>62</v>
      </c>
      <c r="M257" s="163" t="s">
        <v>268</v>
      </c>
      <c r="N257" s="163" t="s">
        <v>272</v>
      </c>
      <c r="O257" s="166" t="s">
        <v>1331</v>
      </c>
      <c r="P257" s="167">
        <v>3629545.11</v>
      </c>
      <c r="Q257" s="167">
        <v>0</v>
      </c>
      <c r="R257" s="167">
        <v>0</v>
      </c>
      <c r="S257" s="167">
        <f t="shared" si="68"/>
        <v>3629545.11</v>
      </c>
      <c r="T257" s="167">
        <f t="shared" si="53"/>
        <v>2158.7730387200381</v>
      </c>
      <c r="U257" s="167">
        <v>2239.4469666329628</v>
      </c>
      <c r="V257" s="149">
        <f t="shared" si="65"/>
        <v>80.673927912924682</v>
      </c>
      <c r="W257" s="149">
        <f t="shared" si="69"/>
        <v>2239.4469666329628</v>
      </c>
      <c r="X257" s="149">
        <v>0</v>
      </c>
      <c r="Y257" s="368">
        <v>0</v>
      </c>
      <c r="Z257" s="368">
        <v>0</v>
      </c>
      <c r="AA257" s="368">
        <v>0</v>
      </c>
      <c r="AB257" s="368">
        <v>0</v>
      </c>
      <c r="AC257" s="368">
        <v>0</v>
      </c>
      <c r="AD257" s="368">
        <v>0</v>
      </c>
      <c r="AE257" s="368">
        <v>603.5</v>
      </c>
      <c r="AF257" s="396">
        <f t="shared" si="71"/>
        <v>2239.4469666329628</v>
      </c>
      <c r="AG257" s="368">
        <v>0</v>
      </c>
      <c r="AH257" s="396">
        <v>0</v>
      </c>
      <c r="AI257" s="368">
        <v>0</v>
      </c>
      <c r="AJ257" s="396">
        <v>0</v>
      </c>
      <c r="AK257" s="368">
        <v>0</v>
      </c>
      <c r="AL257" s="368">
        <v>0</v>
      </c>
      <c r="AM257" s="368">
        <v>0</v>
      </c>
      <c r="AN257" s="368"/>
      <c r="AO257" s="368">
        <v>0</v>
      </c>
    </row>
    <row r="258" spans="1:41" s="152" customFormat="1" ht="36" customHeight="1" x14ac:dyDescent="0.9">
      <c r="A258" s="152">
        <v>1</v>
      </c>
      <c r="B258" s="90">
        <f>SUBTOTAL(103,$A$16:A258)</f>
        <v>238</v>
      </c>
      <c r="C258" s="89" t="s">
        <v>1195</v>
      </c>
      <c r="D258" s="163">
        <v>1959</v>
      </c>
      <c r="E258" s="163"/>
      <c r="F258" s="168" t="s">
        <v>270</v>
      </c>
      <c r="G258" s="163">
        <v>5</v>
      </c>
      <c r="H258" s="163">
        <v>5</v>
      </c>
      <c r="I258" s="167">
        <v>4642.6499999999996</v>
      </c>
      <c r="J258" s="167">
        <v>4206.49</v>
      </c>
      <c r="K258" s="167">
        <v>3767.59</v>
      </c>
      <c r="L258" s="165">
        <v>111</v>
      </c>
      <c r="M258" s="163" t="s">
        <v>268</v>
      </c>
      <c r="N258" s="163" t="s">
        <v>272</v>
      </c>
      <c r="O258" s="166" t="s">
        <v>1332</v>
      </c>
      <c r="P258" s="167">
        <v>9211816.4199999999</v>
      </c>
      <c r="Q258" s="167">
        <v>0</v>
      </c>
      <c r="R258" s="167">
        <v>0</v>
      </c>
      <c r="S258" s="167">
        <f t="shared" si="68"/>
        <v>9211816.4199999999</v>
      </c>
      <c r="T258" s="167">
        <f t="shared" si="53"/>
        <v>1984.1720612150389</v>
      </c>
      <c r="U258" s="167">
        <v>2217.3115569771576</v>
      </c>
      <c r="V258" s="149">
        <f t="shared" si="65"/>
        <v>233.13949576211871</v>
      </c>
      <c r="W258" s="149">
        <f t="shared" si="69"/>
        <v>2217.3115569771576</v>
      </c>
      <c r="X258" s="149">
        <v>0</v>
      </c>
      <c r="Y258" s="368">
        <v>0</v>
      </c>
      <c r="Z258" s="368">
        <v>0</v>
      </c>
      <c r="AA258" s="368">
        <v>0</v>
      </c>
      <c r="AB258" s="368">
        <v>0</v>
      </c>
      <c r="AC258" s="368">
        <v>0</v>
      </c>
      <c r="AD258" s="368">
        <v>0</v>
      </c>
      <c r="AE258" s="368">
        <v>1650</v>
      </c>
      <c r="AF258" s="396">
        <f t="shared" si="71"/>
        <v>2217.3115569771576</v>
      </c>
      <c r="AG258" s="368">
        <v>0</v>
      </c>
      <c r="AH258" s="396">
        <v>0</v>
      </c>
      <c r="AI258" s="368">
        <v>0</v>
      </c>
      <c r="AJ258" s="396">
        <v>0</v>
      </c>
      <c r="AK258" s="368">
        <v>0</v>
      </c>
      <c r="AL258" s="368">
        <v>0</v>
      </c>
      <c r="AM258" s="368">
        <v>0</v>
      </c>
      <c r="AN258" s="368"/>
      <c r="AO258" s="368">
        <v>0</v>
      </c>
    </row>
    <row r="259" spans="1:41" s="152" customFormat="1" ht="36" customHeight="1" x14ac:dyDescent="0.9">
      <c r="A259" s="152">
        <v>1</v>
      </c>
      <c r="B259" s="90">
        <f>SUBTOTAL(103,$A$16:A259)</f>
        <v>239</v>
      </c>
      <c r="C259" s="89" t="s">
        <v>1196</v>
      </c>
      <c r="D259" s="163">
        <v>1956</v>
      </c>
      <c r="E259" s="163"/>
      <c r="F259" s="168" t="s">
        <v>270</v>
      </c>
      <c r="G259" s="163">
        <v>2</v>
      </c>
      <c r="H259" s="163">
        <v>2</v>
      </c>
      <c r="I259" s="167">
        <v>471.5</v>
      </c>
      <c r="J259" s="167">
        <v>326.5</v>
      </c>
      <c r="K259" s="167">
        <v>326.5</v>
      </c>
      <c r="L259" s="165">
        <v>24</v>
      </c>
      <c r="M259" s="163" t="s">
        <v>268</v>
      </c>
      <c r="N259" s="163" t="s">
        <v>272</v>
      </c>
      <c r="O259" s="166" t="s">
        <v>719</v>
      </c>
      <c r="P259" s="167">
        <v>1815587.49</v>
      </c>
      <c r="Q259" s="167">
        <v>0</v>
      </c>
      <c r="R259" s="167">
        <v>0</v>
      </c>
      <c r="S259" s="167">
        <f t="shared" si="68"/>
        <v>1815587.49</v>
      </c>
      <c r="T259" s="167">
        <f t="shared" si="53"/>
        <v>3850.6627571580061</v>
      </c>
      <c r="U259" s="167">
        <v>10095.876349946977</v>
      </c>
      <c r="V259" s="149">
        <f t="shared" si="65"/>
        <v>6245.2135927889703</v>
      </c>
      <c r="W259" s="149">
        <f t="shared" si="69"/>
        <v>10095.876349946977</v>
      </c>
      <c r="X259" s="149">
        <v>0</v>
      </c>
      <c r="Y259" s="368">
        <v>0</v>
      </c>
      <c r="Z259" s="368">
        <v>0</v>
      </c>
      <c r="AA259" s="368">
        <v>0</v>
      </c>
      <c r="AB259" s="368">
        <v>0</v>
      </c>
      <c r="AC259" s="368">
        <v>0</v>
      </c>
      <c r="AD259" s="368">
        <v>0</v>
      </c>
      <c r="AE259" s="368">
        <v>0</v>
      </c>
      <c r="AF259" s="396">
        <v>0</v>
      </c>
      <c r="AG259" s="368">
        <v>0</v>
      </c>
      <c r="AH259" s="396">
        <v>0</v>
      </c>
      <c r="AI259" s="368">
        <v>639.89</v>
      </c>
      <c r="AJ259" s="397">
        <f>7439.1*AI259/I259</f>
        <v>10095.876349946977</v>
      </c>
      <c r="AK259" s="368">
        <v>0</v>
      </c>
      <c r="AL259" s="368">
        <v>0</v>
      </c>
      <c r="AM259" s="368">
        <v>0</v>
      </c>
      <c r="AN259" s="368"/>
      <c r="AO259" s="368">
        <v>0</v>
      </c>
    </row>
    <row r="260" spans="1:41" s="152" customFormat="1" ht="36" customHeight="1" x14ac:dyDescent="0.9">
      <c r="A260" s="152">
        <v>1</v>
      </c>
      <c r="B260" s="90">
        <f>SUBTOTAL(103,$A$16:A260)</f>
        <v>240</v>
      </c>
      <c r="C260" s="89" t="s">
        <v>1197</v>
      </c>
      <c r="D260" s="163">
        <v>1978</v>
      </c>
      <c r="E260" s="163"/>
      <c r="F260" s="168" t="s">
        <v>270</v>
      </c>
      <c r="G260" s="163">
        <v>9</v>
      </c>
      <c r="H260" s="163">
        <v>7</v>
      </c>
      <c r="I260" s="167">
        <v>12895.2</v>
      </c>
      <c r="J260" s="167">
        <v>12862.3</v>
      </c>
      <c r="K260" s="167">
        <v>12862.3</v>
      </c>
      <c r="L260" s="165">
        <v>495</v>
      </c>
      <c r="M260" s="163" t="s">
        <v>268</v>
      </c>
      <c r="N260" s="163" t="s">
        <v>272</v>
      </c>
      <c r="O260" s="166" t="s">
        <v>1332</v>
      </c>
      <c r="P260" s="167">
        <v>3785513.5</v>
      </c>
      <c r="Q260" s="167">
        <v>0</v>
      </c>
      <c r="R260" s="167">
        <v>0</v>
      </c>
      <c r="S260" s="167">
        <f t="shared" si="68"/>
        <v>3785513.5</v>
      </c>
      <c r="T260" s="167">
        <f t="shared" si="53"/>
        <v>293.55989050189214</v>
      </c>
      <c r="U260" s="167">
        <v>925.54088575594017</v>
      </c>
      <c r="V260" s="149">
        <f t="shared" si="65"/>
        <v>631.98099525404803</v>
      </c>
      <c r="W260" s="149">
        <f t="shared" si="69"/>
        <v>925.54088575594017</v>
      </c>
      <c r="X260" s="149">
        <v>0</v>
      </c>
      <c r="Y260" s="368">
        <v>0</v>
      </c>
      <c r="Z260" s="368">
        <v>0</v>
      </c>
      <c r="AA260" s="368">
        <v>0</v>
      </c>
      <c r="AB260" s="368">
        <v>0</v>
      </c>
      <c r="AC260" s="368">
        <v>0</v>
      </c>
      <c r="AD260" s="368">
        <v>0</v>
      </c>
      <c r="AE260" s="368">
        <v>1913</v>
      </c>
      <c r="AF260" s="396">
        <f>6238.91*AE260/I260</f>
        <v>925.54088575594017</v>
      </c>
      <c r="AG260" s="368">
        <v>0</v>
      </c>
      <c r="AH260" s="396">
        <v>0</v>
      </c>
      <c r="AI260" s="368">
        <v>0</v>
      </c>
      <c r="AJ260" s="396">
        <v>0</v>
      </c>
      <c r="AK260" s="368">
        <v>0</v>
      </c>
      <c r="AL260" s="368">
        <v>0</v>
      </c>
      <c r="AM260" s="368">
        <v>0</v>
      </c>
      <c r="AN260" s="368"/>
      <c r="AO260" s="368">
        <v>0</v>
      </c>
    </row>
    <row r="261" spans="1:41" s="152" customFormat="1" ht="36" customHeight="1" x14ac:dyDescent="0.9">
      <c r="A261" s="152">
        <v>1</v>
      </c>
      <c r="B261" s="90">
        <f>SUBTOTAL(103,$A$16:A261)</f>
        <v>241</v>
      </c>
      <c r="C261" s="89" t="s">
        <v>1201</v>
      </c>
      <c r="D261" s="163">
        <v>1982</v>
      </c>
      <c r="E261" s="163"/>
      <c r="F261" s="168" t="s">
        <v>270</v>
      </c>
      <c r="G261" s="163">
        <v>9</v>
      </c>
      <c r="H261" s="163">
        <v>2</v>
      </c>
      <c r="I261" s="167">
        <v>5661.18</v>
      </c>
      <c r="J261" s="167">
        <v>4065</v>
      </c>
      <c r="K261" s="167">
        <v>4064.58</v>
      </c>
      <c r="L261" s="165">
        <v>149</v>
      </c>
      <c r="M261" s="163" t="s">
        <v>268</v>
      </c>
      <c r="N261" s="163" t="s">
        <v>272</v>
      </c>
      <c r="O261" s="166" t="s">
        <v>718</v>
      </c>
      <c r="P261" s="167">
        <v>2296405.6799999997</v>
      </c>
      <c r="Q261" s="167">
        <v>0</v>
      </c>
      <c r="R261" s="167">
        <v>0</v>
      </c>
      <c r="S261" s="167">
        <f t="shared" si="68"/>
        <v>2296405.6799999997</v>
      </c>
      <c r="T261" s="167">
        <f t="shared" si="53"/>
        <v>405.64081693215894</v>
      </c>
      <c r="U261" s="167">
        <v>531.97</v>
      </c>
      <c r="V261" s="149">
        <f t="shared" si="65"/>
        <v>126.32918306784109</v>
      </c>
      <c r="W261" s="149">
        <f t="shared" si="69"/>
        <v>531.97</v>
      </c>
      <c r="X261" s="149">
        <v>101.55</v>
      </c>
      <c r="Y261" s="368">
        <v>245.44</v>
      </c>
      <c r="Z261" s="368">
        <v>0</v>
      </c>
      <c r="AA261" s="368">
        <v>184.98</v>
      </c>
      <c r="AB261" s="368">
        <v>0</v>
      </c>
      <c r="AC261" s="368">
        <v>0</v>
      </c>
      <c r="AD261" s="368">
        <v>0</v>
      </c>
      <c r="AE261" s="368">
        <v>0</v>
      </c>
      <c r="AF261" s="396">
        <v>0</v>
      </c>
      <c r="AG261" s="368">
        <v>0</v>
      </c>
      <c r="AH261" s="396">
        <v>0</v>
      </c>
      <c r="AI261" s="368">
        <v>0</v>
      </c>
      <c r="AJ261" s="396">
        <v>0</v>
      </c>
      <c r="AK261" s="368">
        <v>0</v>
      </c>
      <c r="AL261" s="368">
        <v>0</v>
      </c>
      <c r="AM261" s="368">
        <v>0</v>
      </c>
      <c r="AN261" s="368"/>
      <c r="AO261" s="368">
        <v>0</v>
      </c>
    </row>
    <row r="262" spans="1:41" s="152" customFormat="1" ht="36" customHeight="1" x14ac:dyDescent="0.9">
      <c r="A262" s="152">
        <v>1</v>
      </c>
      <c r="B262" s="90">
        <f>SUBTOTAL(103,$A$16:A262)</f>
        <v>242</v>
      </c>
      <c r="C262" s="89" t="s">
        <v>1202</v>
      </c>
      <c r="D262" s="163">
        <v>1978</v>
      </c>
      <c r="E262" s="163"/>
      <c r="F262" s="168" t="s">
        <v>270</v>
      </c>
      <c r="G262" s="163">
        <v>5</v>
      </c>
      <c r="H262" s="163">
        <v>6</v>
      </c>
      <c r="I262" s="167">
        <v>6106.27</v>
      </c>
      <c r="J262" s="167">
        <v>4494</v>
      </c>
      <c r="K262" s="167">
        <v>4493.7700000000004</v>
      </c>
      <c r="L262" s="165">
        <v>207</v>
      </c>
      <c r="M262" s="163" t="s">
        <v>268</v>
      </c>
      <c r="N262" s="163" t="s">
        <v>272</v>
      </c>
      <c r="O262" s="166" t="s">
        <v>718</v>
      </c>
      <c r="P262" s="167">
        <v>4766824.05</v>
      </c>
      <c r="Q262" s="167">
        <v>0</v>
      </c>
      <c r="R262" s="167">
        <v>0</v>
      </c>
      <c r="S262" s="167">
        <f t="shared" si="68"/>
        <v>4766824.05</v>
      </c>
      <c r="T262" s="167">
        <f t="shared" si="53"/>
        <v>780.64416575094117</v>
      </c>
      <c r="U262" s="167">
        <v>1292.4373788908777</v>
      </c>
      <c r="V262" s="149">
        <f t="shared" si="65"/>
        <v>511.79321313993648</v>
      </c>
      <c r="W262" s="149">
        <f t="shared" si="69"/>
        <v>1292.4373788908777</v>
      </c>
      <c r="X262" s="149">
        <v>0</v>
      </c>
      <c r="Y262" s="368">
        <v>0</v>
      </c>
      <c r="Z262" s="368">
        <v>0</v>
      </c>
      <c r="AA262" s="368">
        <v>0</v>
      </c>
      <c r="AB262" s="368">
        <v>0</v>
      </c>
      <c r="AC262" s="368">
        <v>0</v>
      </c>
      <c r="AD262" s="368">
        <v>0</v>
      </c>
      <c r="AE262" s="368">
        <v>1264.96</v>
      </c>
      <c r="AF262" s="396">
        <f t="shared" ref="AF262:AF264" si="72">6238.91*AE262/I262</f>
        <v>1292.4373788908777</v>
      </c>
      <c r="AG262" s="368">
        <v>0</v>
      </c>
      <c r="AH262" s="396">
        <v>0</v>
      </c>
      <c r="AI262" s="368">
        <v>0</v>
      </c>
      <c r="AJ262" s="396">
        <v>0</v>
      </c>
      <c r="AK262" s="368">
        <v>0</v>
      </c>
      <c r="AL262" s="368">
        <v>0</v>
      </c>
      <c r="AM262" s="368">
        <v>0</v>
      </c>
      <c r="AN262" s="368"/>
      <c r="AO262" s="368">
        <v>0</v>
      </c>
    </row>
    <row r="263" spans="1:41" s="152" customFormat="1" ht="36" customHeight="1" x14ac:dyDescent="0.9">
      <c r="A263" s="152">
        <v>1</v>
      </c>
      <c r="B263" s="90">
        <f>SUBTOTAL(103,$A$16:A263)</f>
        <v>243</v>
      </c>
      <c r="C263" s="89" t="s">
        <v>1204</v>
      </c>
      <c r="D263" s="163">
        <v>1937</v>
      </c>
      <c r="E263" s="163"/>
      <c r="F263" s="168" t="s">
        <v>270</v>
      </c>
      <c r="G263" s="163">
        <v>3</v>
      </c>
      <c r="H263" s="163">
        <v>2</v>
      </c>
      <c r="I263" s="167">
        <v>1633.4</v>
      </c>
      <c r="J263" s="167">
        <v>1633.4</v>
      </c>
      <c r="K263" s="167">
        <v>1485.5</v>
      </c>
      <c r="L263" s="165">
        <v>51</v>
      </c>
      <c r="M263" s="163" t="s">
        <v>268</v>
      </c>
      <c r="N263" s="163" t="s">
        <v>286</v>
      </c>
      <c r="O263" s="166" t="s">
        <v>271</v>
      </c>
      <c r="P263" s="167">
        <v>3558655.89</v>
      </c>
      <c r="Q263" s="167">
        <v>0</v>
      </c>
      <c r="R263" s="167">
        <v>0</v>
      </c>
      <c r="S263" s="167">
        <f t="shared" si="68"/>
        <v>3558655.89</v>
      </c>
      <c r="T263" s="167">
        <f t="shared" si="53"/>
        <v>2178.6799865311618</v>
      </c>
      <c r="U263" s="167">
        <v>3203.7532390718743</v>
      </c>
      <c r="V263" s="149">
        <f t="shared" si="65"/>
        <v>1025.0732525407125</v>
      </c>
      <c r="W263" s="149">
        <f t="shared" si="69"/>
        <v>3203.7532390718743</v>
      </c>
      <c r="X263" s="149">
        <v>0</v>
      </c>
      <c r="Y263" s="368">
        <v>0</v>
      </c>
      <c r="Z263" s="368">
        <v>0</v>
      </c>
      <c r="AA263" s="368">
        <v>0</v>
      </c>
      <c r="AB263" s="368">
        <v>0</v>
      </c>
      <c r="AC263" s="368">
        <v>0</v>
      </c>
      <c r="AD263" s="368">
        <v>0</v>
      </c>
      <c r="AE263" s="368">
        <v>838.77</v>
      </c>
      <c r="AF263" s="396">
        <f t="shared" si="72"/>
        <v>3203.7532390718743</v>
      </c>
      <c r="AG263" s="368">
        <v>0</v>
      </c>
      <c r="AH263" s="396">
        <v>0</v>
      </c>
      <c r="AI263" s="368">
        <v>0</v>
      </c>
      <c r="AJ263" s="396">
        <v>0</v>
      </c>
      <c r="AK263" s="368">
        <v>0</v>
      </c>
      <c r="AL263" s="368">
        <v>0</v>
      </c>
      <c r="AM263" s="368">
        <v>0</v>
      </c>
      <c r="AN263" s="368"/>
      <c r="AO263" s="368">
        <v>0</v>
      </c>
    </row>
    <row r="264" spans="1:41" s="152" customFormat="1" ht="36" customHeight="1" x14ac:dyDescent="0.9">
      <c r="A264" s="152">
        <v>1</v>
      </c>
      <c r="B264" s="90">
        <f>SUBTOTAL(103,$A$16:A264)</f>
        <v>244</v>
      </c>
      <c r="C264" s="89" t="s">
        <v>1205</v>
      </c>
      <c r="D264" s="163">
        <v>1973</v>
      </c>
      <c r="E264" s="163"/>
      <c r="F264" s="168" t="s">
        <v>270</v>
      </c>
      <c r="G264" s="163">
        <v>5</v>
      </c>
      <c r="H264" s="163">
        <v>6</v>
      </c>
      <c r="I264" s="167">
        <v>4829.54</v>
      </c>
      <c r="J264" s="167">
        <v>4363.6400000000003</v>
      </c>
      <c r="K264" s="167">
        <v>4363.6400000000003</v>
      </c>
      <c r="L264" s="165">
        <v>198</v>
      </c>
      <c r="M264" s="163" t="s">
        <v>268</v>
      </c>
      <c r="N264" s="163" t="s">
        <v>272</v>
      </c>
      <c r="O264" s="166" t="s">
        <v>716</v>
      </c>
      <c r="P264" s="167">
        <v>6209520.0999999996</v>
      </c>
      <c r="Q264" s="167">
        <v>0</v>
      </c>
      <c r="R264" s="167">
        <v>0</v>
      </c>
      <c r="S264" s="167">
        <f t="shared" si="68"/>
        <v>6209520.0999999996</v>
      </c>
      <c r="T264" s="167">
        <f t="shared" si="53"/>
        <v>1285.7373787151571</v>
      </c>
      <c r="U264" s="167">
        <v>2679.1113540834117</v>
      </c>
      <c r="V264" s="149">
        <f t="shared" si="65"/>
        <v>1393.3739753682546</v>
      </c>
      <c r="W264" s="149">
        <f t="shared" si="69"/>
        <v>2679.1113540834117</v>
      </c>
      <c r="X264" s="149">
        <v>0</v>
      </c>
      <c r="Y264" s="368">
        <v>0</v>
      </c>
      <c r="Z264" s="368">
        <v>0</v>
      </c>
      <c r="AA264" s="368">
        <v>0</v>
      </c>
      <c r="AB264" s="368">
        <v>0</v>
      </c>
      <c r="AC264" s="368">
        <v>0</v>
      </c>
      <c r="AD264" s="368">
        <v>0</v>
      </c>
      <c r="AE264" s="368">
        <v>2073.9</v>
      </c>
      <c r="AF264" s="396">
        <f t="shared" si="72"/>
        <v>2679.1113540834117</v>
      </c>
      <c r="AG264" s="368">
        <v>0</v>
      </c>
      <c r="AH264" s="396">
        <v>0</v>
      </c>
      <c r="AI264" s="368">
        <v>0</v>
      </c>
      <c r="AJ264" s="396">
        <v>0</v>
      </c>
      <c r="AK264" s="368">
        <v>0</v>
      </c>
      <c r="AL264" s="368">
        <v>0</v>
      </c>
      <c r="AM264" s="368">
        <v>0</v>
      </c>
      <c r="AN264" s="368"/>
      <c r="AO264" s="368">
        <v>0</v>
      </c>
    </row>
    <row r="265" spans="1:41" s="152" customFormat="1" ht="36" customHeight="1" x14ac:dyDescent="0.9">
      <c r="A265" s="152">
        <v>1</v>
      </c>
      <c r="B265" s="90">
        <f>SUBTOTAL(103,$A$16:A265)</f>
        <v>245</v>
      </c>
      <c r="C265" s="89" t="s">
        <v>1206</v>
      </c>
      <c r="D265" s="163">
        <v>1957</v>
      </c>
      <c r="E265" s="163"/>
      <c r="F265" s="168" t="s">
        <v>270</v>
      </c>
      <c r="G265" s="163">
        <v>2</v>
      </c>
      <c r="H265" s="163">
        <v>2</v>
      </c>
      <c r="I265" s="167">
        <v>497.1</v>
      </c>
      <c r="J265" s="167">
        <v>442.9</v>
      </c>
      <c r="K265" s="167">
        <v>442.9</v>
      </c>
      <c r="L265" s="165">
        <v>20</v>
      </c>
      <c r="M265" s="163" t="s">
        <v>268</v>
      </c>
      <c r="N265" s="163" t="s">
        <v>272</v>
      </c>
      <c r="O265" s="166" t="s">
        <v>1331</v>
      </c>
      <c r="P265" s="167">
        <v>833522.04</v>
      </c>
      <c r="Q265" s="167">
        <v>0</v>
      </c>
      <c r="R265" s="167">
        <v>0</v>
      </c>
      <c r="S265" s="167">
        <f t="shared" si="68"/>
        <v>833522.04</v>
      </c>
      <c r="T265" s="167">
        <f t="shared" si="53"/>
        <v>1676.7693421846711</v>
      </c>
      <c r="U265" s="167">
        <v>3444.64</v>
      </c>
      <c r="V265" s="149">
        <f t="shared" si="65"/>
        <v>1767.8706578153287</v>
      </c>
      <c r="W265" s="149">
        <f t="shared" si="69"/>
        <v>3444.64</v>
      </c>
      <c r="X265" s="149">
        <v>0</v>
      </c>
      <c r="Y265" s="368">
        <v>0</v>
      </c>
      <c r="Z265" s="368">
        <v>3259.66</v>
      </c>
      <c r="AA265" s="368">
        <v>184.98</v>
      </c>
      <c r="AB265" s="368">
        <v>0</v>
      </c>
      <c r="AC265" s="368">
        <v>0</v>
      </c>
      <c r="AD265" s="368">
        <v>0</v>
      </c>
      <c r="AE265" s="368">
        <v>0</v>
      </c>
      <c r="AF265" s="396">
        <v>0</v>
      </c>
      <c r="AG265" s="368">
        <v>0</v>
      </c>
      <c r="AH265" s="396">
        <v>0</v>
      </c>
      <c r="AI265" s="368">
        <v>0</v>
      </c>
      <c r="AJ265" s="396">
        <v>0</v>
      </c>
      <c r="AK265" s="368">
        <v>0</v>
      </c>
      <c r="AL265" s="368">
        <v>0</v>
      </c>
      <c r="AM265" s="368">
        <v>0</v>
      </c>
      <c r="AN265" s="368"/>
      <c r="AO265" s="368">
        <v>0</v>
      </c>
    </row>
    <row r="266" spans="1:41" s="152" customFormat="1" ht="36" customHeight="1" x14ac:dyDescent="0.9">
      <c r="A266" s="152">
        <v>1</v>
      </c>
      <c r="B266" s="90">
        <f>SUBTOTAL(103,$A$16:A266)</f>
        <v>246</v>
      </c>
      <c r="C266" s="89" t="s">
        <v>1207</v>
      </c>
      <c r="D266" s="163">
        <v>1967</v>
      </c>
      <c r="E266" s="163"/>
      <c r="F266" s="168" t="s">
        <v>270</v>
      </c>
      <c r="G266" s="163">
        <v>5</v>
      </c>
      <c r="H266" s="163">
        <v>4</v>
      </c>
      <c r="I266" s="167">
        <v>5485.29</v>
      </c>
      <c r="J266" s="167">
        <v>3346.19</v>
      </c>
      <c r="K266" s="167">
        <v>3346.19</v>
      </c>
      <c r="L266" s="165">
        <v>139</v>
      </c>
      <c r="M266" s="163" t="s">
        <v>268</v>
      </c>
      <c r="N266" s="163" t="s">
        <v>272</v>
      </c>
      <c r="O266" s="166" t="s">
        <v>1331</v>
      </c>
      <c r="P266" s="167">
        <v>4782270.82</v>
      </c>
      <c r="Q266" s="167">
        <v>0</v>
      </c>
      <c r="R266" s="167">
        <v>0</v>
      </c>
      <c r="S266" s="167">
        <f t="shared" si="68"/>
        <v>4782270.82</v>
      </c>
      <c r="T266" s="167">
        <f t="shared" si="53"/>
        <v>871.83554925992985</v>
      </c>
      <c r="U266" s="167">
        <v>1335.9774389321256</v>
      </c>
      <c r="V266" s="149">
        <f t="shared" si="65"/>
        <v>464.1418896721957</v>
      </c>
      <c r="W266" s="149">
        <f t="shared" si="69"/>
        <v>1335.9774389321256</v>
      </c>
      <c r="X266" s="149">
        <v>0</v>
      </c>
      <c r="Y266" s="368">
        <v>0</v>
      </c>
      <c r="Z266" s="368">
        <v>0</v>
      </c>
      <c r="AA266" s="368">
        <v>0</v>
      </c>
      <c r="AB266" s="368">
        <v>0</v>
      </c>
      <c r="AC266" s="368">
        <v>0</v>
      </c>
      <c r="AD266" s="368">
        <v>0</v>
      </c>
      <c r="AE266" s="368">
        <v>1174.5999999999999</v>
      </c>
      <c r="AF266" s="396">
        <f t="shared" ref="AF266:AF270" si="73">6238.91*AE266/I266</f>
        <v>1335.9774389321256</v>
      </c>
      <c r="AG266" s="368">
        <v>0</v>
      </c>
      <c r="AH266" s="396">
        <v>0</v>
      </c>
      <c r="AI266" s="368">
        <v>0</v>
      </c>
      <c r="AJ266" s="396">
        <v>0</v>
      </c>
      <c r="AK266" s="368">
        <v>0</v>
      </c>
      <c r="AL266" s="368">
        <v>0</v>
      </c>
      <c r="AM266" s="368">
        <v>0</v>
      </c>
      <c r="AN266" s="368"/>
      <c r="AO266" s="368">
        <v>0</v>
      </c>
    </row>
    <row r="267" spans="1:41" s="152" customFormat="1" ht="36" customHeight="1" x14ac:dyDescent="0.9">
      <c r="A267" s="152">
        <v>1</v>
      </c>
      <c r="B267" s="90">
        <f>SUBTOTAL(103,$A$16:A267)</f>
        <v>247</v>
      </c>
      <c r="C267" s="89" t="s">
        <v>1208</v>
      </c>
      <c r="D267" s="163">
        <v>1990</v>
      </c>
      <c r="E267" s="163"/>
      <c r="F267" s="168" t="s">
        <v>270</v>
      </c>
      <c r="G267" s="163">
        <v>2</v>
      </c>
      <c r="H267" s="163">
        <v>2</v>
      </c>
      <c r="I267" s="167">
        <v>568.29999999999995</v>
      </c>
      <c r="J267" s="167">
        <v>317</v>
      </c>
      <c r="K267" s="167">
        <v>257.10000000000002</v>
      </c>
      <c r="L267" s="165">
        <v>31</v>
      </c>
      <c r="M267" s="163" t="s">
        <v>268</v>
      </c>
      <c r="N267" s="163" t="s">
        <v>269</v>
      </c>
      <c r="O267" s="166" t="s">
        <v>271</v>
      </c>
      <c r="P267" s="167">
        <v>2202931.48</v>
      </c>
      <c r="Q267" s="167">
        <v>0</v>
      </c>
      <c r="R267" s="167">
        <v>0</v>
      </c>
      <c r="S267" s="167">
        <f t="shared" si="68"/>
        <v>2202931.48</v>
      </c>
      <c r="T267" s="167">
        <f t="shared" si="53"/>
        <v>3876.3531233503436</v>
      </c>
      <c r="U267" s="167">
        <v>5314.9848449762449</v>
      </c>
      <c r="V267" s="149">
        <f t="shared" si="65"/>
        <v>1438.6317216259013</v>
      </c>
      <c r="W267" s="149">
        <f t="shared" si="69"/>
        <v>5314.9848449762449</v>
      </c>
      <c r="X267" s="149">
        <v>0</v>
      </c>
      <c r="Y267" s="368">
        <v>0</v>
      </c>
      <c r="Z267" s="368">
        <v>0</v>
      </c>
      <c r="AA267" s="368">
        <v>0</v>
      </c>
      <c r="AB267" s="368">
        <v>0</v>
      </c>
      <c r="AC267" s="368">
        <v>0</v>
      </c>
      <c r="AD267" s="368">
        <v>0</v>
      </c>
      <c r="AE267" s="368">
        <v>484.14</v>
      </c>
      <c r="AF267" s="396">
        <f t="shared" si="73"/>
        <v>5314.9848449762449</v>
      </c>
      <c r="AG267" s="368">
        <v>0</v>
      </c>
      <c r="AH267" s="396">
        <v>0</v>
      </c>
      <c r="AI267" s="368">
        <v>0</v>
      </c>
      <c r="AJ267" s="396">
        <v>0</v>
      </c>
      <c r="AK267" s="368">
        <v>0</v>
      </c>
      <c r="AL267" s="368">
        <v>0</v>
      </c>
      <c r="AM267" s="368">
        <v>0</v>
      </c>
      <c r="AN267" s="368"/>
      <c r="AO267" s="368">
        <v>0</v>
      </c>
    </row>
    <row r="268" spans="1:41" s="152" customFormat="1" ht="36" customHeight="1" x14ac:dyDescent="0.9">
      <c r="A268" s="152">
        <v>1</v>
      </c>
      <c r="B268" s="90">
        <f>SUBTOTAL(103,$A$16:A268)</f>
        <v>248</v>
      </c>
      <c r="C268" s="89" t="s">
        <v>1368</v>
      </c>
      <c r="D268" s="163">
        <v>1970</v>
      </c>
      <c r="E268" s="163"/>
      <c r="F268" s="168" t="s">
        <v>270</v>
      </c>
      <c r="G268" s="163">
        <v>2</v>
      </c>
      <c r="H268" s="163">
        <v>2</v>
      </c>
      <c r="I268" s="167">
        <v>973.3</v>
      </c>
      <c r="J268" s="167">
        <v>527.20000000000005</v>
      </c>
      <c r="K268" s="167">
        <v>421.80000000000007</v>
      </c>
      <c r="L268" s="165">
        <v>26</v>
      </c>
      <c r="M268" s="163" t="s">
        <v>268</v>
      </c>
      <c r="N268" s="163" t="s">
        <v>272</v>
      </c>
      <c r="O268" s="166" t="s">
        <v>1096</v>
      </c>
      <c r="P268" s="167">
        <v>2896567.84</v>
      </c>
      <c r="Q268" s="167">
        <v>0</v>
      </c>
      <c r="R268" s="167">
        <v>0</v>
      </c>
      <c r="S268" s="167">
        <f t="shared" si="68"/>
        <v>2896567.84</v>
      </c>
      <c r="T268" s="167">
        <f t="shared" si="53"/>
        <v>2976.0277817733486</v>
      </c>
      <c r="U268" s="167">
        <v>3426.8173081269906</v>
      </c>
      <c r="V268" s="149">
        <f t="shared" si="65"/>
        <v>450.78952635364203</v>
      </c>
      <c r="W268" s="149">
        <f t="shared" si="69"/>
        <v>3426.8173081269906</v>
      </c>
      <c r="X268" s="149">
        <v>0</v>
      </c>
      <c r="Y268" s="368">
        <v>0</v>
      </c>
      <c r="Z268" s="368">
        <v>0</v>
      </c>
      <c r="AA268" s="368">
        <v>0</v>
      </c>
      <c r="AB268" s="368">
        <v>0</v>
      </c>
      <c r="AC268" s="368">
        <v>0</v>
      </c>
      <c r="AD268" s="368">
        <v>0</v>
      </c>
      <c r="AE268" s="368">
        <v>534.6</v>
      </c>
      <c r="AF268" s="396">
        <f t="shared" si="73"/>
        <v>3426.8173081269906</v>
      </c>
      <c r="AG268" s="368">
        <v>0</v>
      </c>
      <c r="AH268" s="396">
        <v>0</v>
      </c>
      <c r="AI268" s="368">
        <v>0</v>
      </c>
      <c r="AJ268" s="396">
        <v>0</v>
      </c>
      <c r="AK268" s="368">
        <v>0</v>
      </c>
      <c r="AL268" s="368">
        <v>0</v>
      </c>
      <c r="AM268" s="368">
        <v>0</v>
      </c>
      <c r="AN268" s="368"/>
      <c r="AO268" s="368">
        <v>0</v>
      </c>
    </row>
    <row r="269" spans="1:41" s="152" customFormat="1" ht="36" customHeight="1" x14ac:dyDescent="0.9">
      <c r="A269" s="152">
        <v>1</v>
      </c>
      <c r="B269" s="90">
        <f>SUBTOTAL(103,$A$16:A269)</f>
        <v>249</v>
      </c>
      <c r="C269" s="89" t="s">
        <v>1367</v>
      </c>
      <c r="D269" s="163">
        <v>1984</v>
      </c>
      <c r="E269" s="163"/>
      <c r="F269" s="168" t="s">
        <v>322</v>
      </c>
      <c r="G269" s="163">
        <v>2</v>
      </c>
      <c r="H269" s="163">
        <v>2</v>
      </c>
      <c r="I269" s="167">
        <v>622.79999999999995</v>
      </c>
      <c r="J269" s="167">
        <v>560.29999999999995</v>
      </c>
      <c r="K269" s="167">
        <v>468.99999999999994</v>
      </c>
      <c r="L269" s="165">
        <v>31</v>
      </c>
      <c r="M269" s="163" t="s">
        <v>268</v>
      </c>
      <c r="N269" s="163" t="s">
        <v>272</v>
      </c>
      <c r="O269" s="166" t="s">
        <v>1332</v>
      </c>
      <c r="P269" s="167">
        <v>2467054.4</v>
      </c>
      <c r="Q269" s="167">
        <v>0</v>
      </c>
      <c r="R269" s="167">
        <v>0</v>
      </c>
      <c r="S269" s="167">
        <f t="shared" si="68"/>
        <v>2467054.4</v>
      </c>
      <c r="T269" s="167">
        <f t="shared" si="53"/>
        <v>3961.2305716120745</v>
      </c>
      <c r="U269" s="167">
        <v>4908.5836544637123</v>
      </c>
      <c r="V269" s="149">
        <f t="shared" si="65"/>
        <v>947.35308285163774</v>
      </c>
      <c r="W269" s="149">
        <f t="shared" si="69"/>
        <v>4908.5836544637123</v>
      </c>
      <c r="X269" s="149">
        <v>0</v>
      </c>
      <c r="Y269" s="368">
        <v>0</v>
      </c>
      <c r="Z269" s="368">
        <v>0</v>
      </c>
      <c r="AA269" s="368">
        <v>0</v>
      </c>
      <c r="AB269" s="368">
        <v>0</v>
      </c>
      <c r="AC269" s="368">
        <v>0</v>
      </c>
      <c r="AD269" s="368">
        <v>0</v>
      </c>
      <c r="AE269" s="368">
        <v>490</v>
      </c>
      <c r="AF269" s="396">
        <f t="shared" si="73"/>
        <v>4908.5836544637123</v>
      </c>
      <c r="AG269" s="368">
        <v>0</v>
      </c>
      <c r="AH269" s="396">
        <v>0</v>
      </c>
      <c r="AI269" s="368">
        <v>0</v>
      </c>
      <c r="AJ269" s="396">
        <v>0</v>
      </c>
      <c r="AK269" s="368">
        <v>0</v>
      </c>
      <c r="AL269" s="368">
        <v>0</v>
      </c>
      <c r="AM269" s="368">
        <v>0</v>
      </c>
      <c r="AN269" s="368"/>
      <c r="AO269" s="368">
        <v>0</v>
      </c>
    </row>
    <row r="270" spans="1:41" s="152" customFormat="1" ht="36" customHeight="1" x14ac:dyDescent="0.9">
      <c r="A270" s="152">
        <v>1</v>
      </c>
      <c r="B270" s="90">
        <f>SUBTOTAL(103,$A$16:A270)</f>
        <v>250</v>
      </c>
      <c r="C270" s="89" t="s">
        <v>1577</v>
      </c>
      <c r="D270" s="163">
        <v>1965</v>
      </c>
      <c r="E270" s="163"/>
      <c r="F270" s="168" t="s">
        <v>1596</v>
      </c>
      <c r="G270" s="163">
        <v>5</v>
      </c>
      <c r="H270" s="163">
        <v>3</v>
      </c>
      <c r="I270" s="167">
        <v>4032.79</v>
      </c>
      <c r="J270" s="167">
        <v>2461.89</v>
      </c>
      <c r="K270" s="167">
        <f>J270-184.4</f>
        <v>2277.4899999999998</v>
      </c>
      <c r="L270" s="165">
        <v>120</v>
      </c>
      <c r="M270" s="163" t="s">
        <v>268</v>
      </c>
      <c r="N270" s="163" t="s">
        <v>272</v>
      </c>
      <c r="O270" s="166" t="s">
        <v>718</v>
      </c>
      <c r="P270" s="167">
        <v>6277200.2999999998</v>
      </c>
      <c r="Q270" s="167">
        <v>0</v>
      </c>
      <c r="R270" s="167">
        <v>0</v>
      </c>
      <c r="S270" s="167">
        <f>P270-R270-Q270</f>
        <v>6277200.2999999998</v>
      </c>
      <c r="T270" s="167">
        <f t="shared" si="53"/>
        <v>1556.5403355989279</v>
      </c>
      <c r="U270" s="167">
        <v>1563.2895724795985</v>
      </c>
      <c r="V270" s="149">
        <f t="shared" si="65"/>
        <v>6.7492368806706509</v>
      </c>
      <c r="W270" s="149">
        <f t="shared" si="69"/>
        <v>1563.2895724795985</v>
      </c>
      <c r="X270" s="149">
        <v>0</v>
      </c>
      <c r="Y270" s="368">
        <v>0</v>
      </c>
      <c r="Z270" s="368">
        <v>0</v>
      </c>
      <c r="AA270" s="368">
        <v>0</v>
      </c>
      <c r="AB270" s="368">
        <v>0</v>
      </c>
      <c r="AC270" s="368">
        <v>0</v>
      </c>
      <c r="AD270" s="368">
        <v>0</v>
      </c>
      <c r="AE270" s="368">
        <v>1010.5</v>
      </c>
      <c r="AF270" s="396">
        <f t="shared" si="73"/>
        <v>1563.2895724795985</v>
      </c>
      <c r="AG270" s="368">
        <v>0</v>
      </c>
      <c r="AH270" s="396">
        <v>0</v>
      </c>
      <c r="AI270" s="368">
        <v>0</v>
      </c>
      <c r="AJ270" s="396">
        <v>0</v>
      </c>
      <c r="AK270" s="368">
        <v>0</v>
      </c>
      <c r="AL270" s="368">
        <v>0</v>
      </c>
      <c r="AM270" s="368">
        <v>0</v>
      </c>
      <c r="AN270" s="368"/>
      <c r="AO270" s="368">
        <v>0</v>
      </c>
    </row>
    <row r="271" spans="1:41" s="152" customFormat="1" ht="36" customHeight="1" x14ac:dyDescent="0.9">
      <c r="B271" s="382" t="s">
        <v>829</v>
      </c>
      <c r="C271" s="382"/>
      <c r="D271" s="384" t="s">
        <v>903</v>
      </c>
      <c r="E271" s="163" t="s">
        <v>903</v>
      </c>
      <c r="F271" s="384" t="s">
        <v>903</v>
      </c>
      <c r="G271" s="384" t="s">
        <v>903</v>
      </c>
      <c r="H271" s="163" t="s">
        <v>903</v>
      </c>
      <c r="I271" s="386">
        <f>SUM(I272:I277)</f>
        <v>36218.400000000001</v>
      </c>
      <c r="J271" s="164">
        <f>SUM(J272:J277)</f>
        <v>23392.100000000002</v>
      </c>
      <c r="K271" s="164">
        <f>SUM(K272:K277)</f>
        <v>22489.9</v>
      </c>
      <c r="L271" s="165">
        <f>SUM(L272:L277)</f>
        <v>983</v>
      </c>
      <c r="M271" s="163" t="s">
        <v>903</v>
      </c>
      <c r="N271" s="163" t="s">
        <v>903</v>
      </c>
      <c r="O271" s="166" t="s">
        <v>903</v>
      </c>
      <c r="P271" s="387">
        <v>26089685.730000004</v>
      </c>
      <c r="Q271" s="167">
        <f>SUM(Q272:Q277)</f>
        <v>0</v>
      </c>
      <c r="R271" s="167">
        <f>SUM(R272:R277)</f>
        <v>0</v>
      </c>
      <c r="S271" s="167">
        <f>SUM(S272:S277)</f>
        <v>26089685.730000004</v>
      </c>
      <c r="T271" s="387">
        <f t="shared" si="53"/>
        <v>720.34340915114979</v>
      </c>
      <c r="U271" s="387">
        <f>SUM(U272:U277)</f>
        <v>6020.8442866548321</v>
      </c>
      <c r="V271" s="149">
        <f t="shared" si="65"/>
        <v>5300.5008775036822</v>
      </c>
      <c r="W271" s="149"/>
      <c r="X271" s="149"/>
      <c r="Y271" s="368"/>
      <c r="Z271" s="368"/>
      <c r="AA271" s="368"/>
      <c r="AB271" s="368"/>
      <c r="AC271" s="368"/>
      <c r="AD271" s="368"/>
      <c r="AE271" s="368"/>
      <c r="AF271" s="368"/>
      <c r="AG271" s="368"/>
      <c r="AH271" s="368"/>
      <c r="AI271" s="368"/>
      <c r="AJ271" s="368"/>
      <c r="AK271" s="368"/>
      <c r="AL271" s="368"/>
      <c r="AM271" s="368"/>
      <c r="AN271" s="368"/>
      <c r="AO271" s="368"/>
    </row>
    <row r="272" spans="1:41" s="152" customFormat="1" ht="36" customHeight="1" x14ac:dyDescent="0.9">
      <c r="A272" s="152">
        <v>1</v>
      </c>
      <c r="B272" s="90">
        <f>SUBTOTAL(103,$A$16:A272)</f>
        <v>251</v>
      </c>
      <c r="C272" s="89" t="s">
        <v>645</v>
      </c>
      <c r="D272" s="163">
        <v>1981</v>
      </c>
      <c r="E272" s="163"/>
      <c r="F272" s="168" t="s">
        <v>315</v>
      </c>
      <c r="G272" s="163">
        <v>5</v>
      </c>
      <c r="H272" s="163">
        <v>7</v>
      </c>
      <c r="I272" s="167">
        <v>9132.7000000000007</v>
      </c>
      <c r="J272" s="167">
        <v>5349.7</v>
      </c>
      <c r="K272" s="167">
        <v>5077.8999999999996</v>
      </c>
      <c r="L272" s="165">
        <v>233</v>
      </c>
      <c r="M272" s="163" t="s">
        <v>268</v>
      </c>
      <c r="N272" s="163" t="s">
        <v>272</v>
      </c>
      <c r="O272" s="166" t="s">
        <v>721</v>
      </c>
      <c r="P272" s="167">
        <v>7828988.2599999998</v>
      </c>
      <c r="Q272" s="167">
        <v>0</v>
      </c>
      <c r="R272" s="167">
        <v>0</v>
      </c>
      <c r="S272" s="167">
        <f t="shared" ref="S272:S277" si="74">P272-Q272-R272</f>
        <v>7828988.2599999998</v>
      </c>
      <c r="T272" s="167">
        <f t="shared" si="53"/>
        <v>857.24793982064443</v>
      </c>
      <c r="U272" s="167">
        <v>873.39411510287198</v>
      </c>
      <c r="V272" s="149">
        <f t="shared" si="65"/>
        <v>16.146175282227546</v>
      </c>
      <c r="W272" s="149">
        <f t="shared" ref="W272:W277" si="75">X272+Y272+Z272+AA272+AB272+AD272+AF272+AH272+AJ272+AL272+AN272+AO272</f>
        <v>873.39411510287198</v>
      </c>
      <c r="X272" s="149">
        <v>0</v>
      </c>
      <c r="Y272" s="368">
        <v>0</v>
      </c>
      <c r="Z272" s="368">
        <v>0</v>
      </c>
      <c r="AA272" s="368">
        <v>0</v>
      </c>
      <c r="AB272" s="368">
        <v>0</v>
      </c>
      <c r="AC272" s="368">
        <v>0</v>
      </c>
      <c r="AD272" s="368">
        <v>0</v>
      </c>
      <c r="AE272" s="368">
        <v>1278.5</v>
      </c>
      <c r="AF272" s="396">
        <f t="shared" ref="AF272:AF277" si="76">6238.91*AE272/I272</f>
        <v>873.39411510287198</v>
      </c>
      <c r="AG272" s="368">
        <v>0</v>
      </c>
      <c r="AH272" s="396">
        <v>0</v>
      </c>
      <c r="AI272" s="368">
        <v>0</v>
      </c>
      <c r="AJ272" s="396">
        <v>0</v>
      </c>
      <c r="AK272" s="368">
        <v>0</v>
      </c>
      <c r="AL272" s="368">
        <v>0</v>
      </c>
      <c r="AM272" s="368">
        <v>0</v>
      </c>
      <c r="AN272" s="368"/>
      <c r="AO272" s="368">
        <v>0</v>
      </c>
    </row>
    <row r="273" spans="1:41" s="152" customFormat="1" ht="36" customHeight="1" x14ac:dyDescent="0.9">
      <c r="A273" s="152">
        <v>1</v>
      </c>
      <c r="B273" s="90">
        <f>SUBTOTAL(103,$A$16:A273)</f>
        <v>252</v>
      </c>
      <c r="C273" s="89" t="s">
        <v>651</v>
      </c>
      <c r="D273" s="163">
        <v>1987</v>
      </c>
      <c r="E273" s="163"/>
      <c r="F273" s="168" t="s">
        <v>270</v>
      </c>
      <c r="G273" s="163">
        <v>5</v>
      </c>
      <c r="H273" s="163">
        <v>6</v>
      </c>
      <c r="I273" s="167">
        <v>7301.9</v>
      </c>
      <c r="J273" s="167">
        <v>3931.5</v>
      </c>
      <c r="K273" s="167">
        <v>3739.7</v>
      </c>
      <c r="L273" s="165">
        <v>187</v>
      </c>
      <c r="M273" s="163" t="s">
        <v>268</v>
      </c>
      <c r="N273" s="163" t="s">
        <v>272</v>
      </c>
      <c r="O273" s="166" t="s">
        <v>721</v>
      </c>
      <c r="P273" s="167">
        <v>6313946.0599999996</v>
      </c>
      <c r="Q273" s="167">
        <v>0</v>
      </c>
      <c r="R273" s="167">
        <v>0</v>
      </c>
      <c r="S273" s="167">
        <f t="shared" si="74"/>
        <v>6313946.0599999996</v>
      </c>
      <c r="T273" s="167">
        <f t="shared" si="53"/>
        <v>864.69905914898857</v>
      </c>
      <c r="U273" s="167">
        <v>959.08961708596394</v>
      </c>
      <c r="V273" s="149">
        <f t="shared" si="65"/>
        <v>94.39055793697537</v>
      </c>
      <c r="W273" s="149">
        <f t="shared" si="75"/>
        <v>959.08961708596394</v>
      </c>
      <c r="X273" s="149">
        <v>0</v>
      </c>
      <c r="Y273" s="368">
        <v>0</v>
      </c>
      <c r="Z273" s="368">
        <v>0</v>
      </c>
      <c r="AA273" s="368">
        <v>0</v>
      </c>
      <c r="AB273" s="368">
        <v>0</v>
      </c>
      <c r="AC273" s="368">
        <v>0</v>
      </c>
      <c r="AD273" s="368">
        <v>0</v>
      </c>
      <c r="AE273" s="368">
        <v>1122.5</v>
      </c>
      <c r="AF273" s="396">
        <f t="shared" si="76"/>
        <v>959.08961708596394</v>
      </c>
      <c r="AG273" s="368">
        <v>0</v>
      </c>
      <c r="AH273" s="396">
        <v>0</v>
      </c>
      <c r="AI273" s="368">
        <v>0</v>
      </c>
      <c r="AJ273" s="396">
        <v>0</v>
      </c>
      <c r="AK273" s="368">
        <v>0</v>
      </c>
      <c r="AL273" s="368">
        <v>0</v>
      </c>
      <c r="AM273" s="368">
        <v>0</v>
      </c>
      <c r="AN273" s="368"/>
      <c r="AO273" s="368">
        <v>0</v>
      </c>
    </row>
    <row r="274" spans="1:41" s="152" customFormat="1" ht="36" customHeight="1" x14ac:dyDescent="0.9">
      <c r="A274" s="152">
        <v>1</v>
      </c>
      <c r="B274" s="90">
        <f>SUBTOTAL(103,$A$16:A274)</f>
        <v>253</v>
      </c>
      <c r="C274" s="89" t="s">
        <v>1209</v>
      </c>
      <c r="D274" s="163">
        <v>2001</v>
      </c>
      <c r="E274" s="163"/>
      <c r="F274" s="168" t="s">
        <v>270</v>
      </c>
      <c r="G274" s="163">
        <v>5</v>
      </c>
      <c r="H274" s="163">
        <v>5</v>
      </c>
      <c r="I274" s="167">
        <v>6333.9</v>
      </c>
      <c r="J274" s="167">
        <v>3627.6</v>
      </c>
      <c r="K274" s="167">
        <v>3627.6</v>
      </c>
      <c r="L274" s="165">
        <v>159</v>
      </c>
      <c r="M274" s="163" t="s">
        <v>268</v>
      </c>
      <c r="N274" s="163" t="s">
        <v>272</v>
      </c>
      <c r="O274" s="166" t="s">
        <v>721</v>
      </c>
      <c r="P274" s="167">
        <v>5003194.3900000006</v>
      </c>
      <c r="Q274" s="167">
        <v>0</v>
      </c>
      <c r="R274" s="167">
        <v>0</v>
      </c>
      <c r="S274" s="167">
        <f t="shared" si="74"/>
        <v>5003194.3900000006</v>
      </c>
      <c r="T274" s="167">
        <f t="shared" si="53"/>
        <v>789.90738565496781</v>
      </c>
      <c r="U274" s="167">
        <v>1143.5883910386965</v>
      </c>
      <c r="V274" s="149">
        <f t="shared" si="65"/>
        <v>353.68100538372869</v>
      </c>
      <c r="W274" s="149">
        <f t="shared" si="75"/>
        <v>1143.5883910386965</v>
      </c>
      <c r="X274" s="149">
        <v>0</v>
      </c>
      <c r="Y274" s="368">
        <v>0</v>
      </c>
      <c r="Z274" s="368">
        <v>0</v>
      </c>
      <c r="AA274" s="368">
        <v>0</v>
      </c>
      <c r="AB274" s="368">
        <v>0</v>
      </c>
      <c r="AC274" s="368">
        <v>0</v>
      </c>
      <c r="AD274" s="368">
        <v>0</v>
      </c>
      <c r="AE274" s="368">
        <v>1161</v>
      </c>
      <c r="AF274" s="396">
        <f t="shared" si="76"/>
        <v>1143.5883910386965</v>
      </c>
      <c r="AG274" s="368">
        <v>0</v>
      </c>
      <c r="AH274" s="396">
        <v>0</v>
      </c>
      <c r="AI274" s="368">
        <v>0</v>
      </c>
      <c r="AJ274" s="396">
        <v>0</v>
      </c>
      <c r="AK274" s="368">
        <v>0</v>
      </c>
      <c r="AL274" s="368">
        <v>0</v>
      </c>
      <c r="AM274" s="368">
        <v>0</v>
      </c>
      <c r="AN274" s="368"/>
      <c r="AO274" s="368">
        <v>0</v>
      </c>
    </row>
    <row r="275" spans="1:41" s="152" customFormat="1" ht="36" customHeight="1" x14ac:dyDescent="0.9">
      <c r="A275" s="152">
        <v>1</v>
      </c>
      <c r="B275" s="90">
        <f>SUBTOTAL(103,$A$16:A275)</f>
        <v>254</v>
      </c>
      <c r="C275" s="89" t="s">
        <v>1211</v>
      </c>
      <c r="D275" s="163">
        <v>1979</v>
      </c>
      <c r="E275" s="163"/>
      <c r="F275" s="168" t="s">
        <v>315</v>
      </c>
      <c r="G275" s="163">
        <v>5</v>
      </c>
      <c r="H275" s="163">
        <v>2</v>
      </c>
      <c r="I275" s="167">
        <v>2660.8</v>
      </c>
      <c r="J275" s="167">
        <v>1869.9</v>
      </c>
      <c r="K275" s="167">
        <v>1766.1</v>
      </c>
      <c r="L275" s="165">
        <v>85</v>
      </c>
      <c r="M275" s="163" t="s">
        <v>268</v>
      </c>
      <c r="N275" s="163" t="s">
        <v>272</v>
      </c>
      <c r="O275" s="166" t="s">
        <v>721</v>
      </c>
      <c r="P275" s="167">
        <v>1459441.5</v>
      </c>
      <c r="Q275" s="167">
        <v>0</v>
      </c>
      <c r="R275" s="167">
        <v>0</v>
      </c>
      <c r="S275" s="167">
        <f t="shared" si="74"/>
        <v>1459441.5</v>
      </c>
      <c r="T275" s="167">
        <f t="shared" ref="T275:T338" si="77">P275/I275</f>
        <v>548.49725646422121</v>
      </c>
      <c r="U275" s="167">
        <v>1029.1106430396871</v>
      </c>
      <c r="V275" s="149">
        <f t="shared" si="65"/>
        <v>480.61338657546594</v>
      </c>
      <c r="W275" s="149">
        <f t="shared" si="75"/>
        <v>1029.1106430396871</v>
      </c>
      <c r="X275" s="149">
        <v>0</v>
      </c>
      <c r="Y275" s="368">
        <v>0</v>
      </c>
      <c r="Z275" s="368">
        <v>0</v>
      </c>
      <c r="AA275" s="368">
        <v>0</v>
      </c>
      <c r="AB275" s="368">
        <v>0</v>
      </c>
      <c r="AC275" s="368">
        <v>0</v>
      </c>
      <c r="AD275" s="368">
        <v>0</v>
      </c>
      <c r="AE275" s="368">
        <v>438.9</v>
      </c>
      <c r="AF275" s="396">
        <f t="shared" si="76"/>
        <v>1029.1106430396871</v>
      </c>
      <c r="AG275" s="368">
        <v>0</v>
      </c>
      <c r="AH275" s="396">
        <v>0</v>
      </c>
      <c r="AI275" s="368">
        <v>0</v>
      </c>
      <c r="AJ275" s="396">
        <v>0</v>
      </c>
      <c r="AK275" s="368">
        <v>0</v>
      </c>
      <c r="AL275" s="368">
        <v>0</v>
      </c>
      <c r="AM275" s="368">
        <v>0</v>
      </c>
      <c r="AN275" s="368"/>
      <c r="AO275" s="368">
        <v>0</v>
      </c>
    </row>
    <row r="276" spans="1:41" s="152" customFormat="1" ht="36" customHeight="1" x14ac:dyDescent="0.9">
      <c r="A276" s="152">
        <v>1</v>
      </c>
      <c r="B276" s="90">
        <f>SUBTOTAL(103,$A$16:A276)</f>
        <v>255</v>
      </c>
      <c r="C276" s="89" t="s">
        <v>1212</v>
      </c>
      <c r="D276" s="163">
        <v>1986</v>
      </c>
      <c r="E276" s="163"/>
      <c r="F276" s="168" t="s">
        <v>315</v>
      </c>
      <c r="G276" s="163">
        <v>5</v>
      </c>
      <c r="H276" s="163">
        <v>5</v>
      </c>
      <c r="I276" s="167">
        <v>5770.1</v>
      </c>
      <c r="J276" s="167">
        <v>3935.4</v>
      </c>
      <c r="K276" s="167">
        <v>3781</v>
      </c>
      <c r="L276" s="165">
        <v>174</v>
      </c>
      <c r="M276" s="163" t="s">
        <v>268</v>
      </c>
      <c r="N276" s="163" t="s">
        <v>272</v>
      </c>
      <c r="O276" s="166" t="s">
        <v>721</v>
      </c>
      <c r="P276" s="167">
        <v>3024753.67</v>
      </c>
      <c r="Q276" s="167">
        <v>0</v>
      </c>
      <c r="R276" s="167">
        <v>0</v>
      </c>
      <c r="S276" s="167">
        <f t="shared" si="74"/>
        <v>3024753.67</v>
      </c>
      <c r="T276" s="167">
        <f t="shared" si="77"/>
        <v>524.21165491066006</v>
      </c>
      <c r="U276" s="167">
        <v>1048.8107138524463</v>
      </c>
      <c r="V276" s="149">
        <f t="shared" si="65"/>
        <v>524.59905894178621</v>
      </c>
      <c r="W276" s="149">
        <f t="shared" si="75"/>
        <v>1048.8107138524463</v>
      </c>
      <c r="X276" s="149">
        <v>0</v>
      </c>
      <c r="Y276" s="368">
        <v>0</v>
      </c>
      <c r="Z276" s="368">
        <v>0</v>
      </c>
      <c r="AA276" s="368">
        <v>0</v>
      </c>
      <c r="AB276" s="368">
        <v>0</v>
      </c>
      <c r="AC276" s="368">
        <v>0</v>
      </c>
      <c r="AD276" s="368">
        <v>0</v>
      </c>
      <c r="AE276" s="368">
        <v>970</v>
      </c>
      <c r="AF276" s="396">
        <f t="shared" si="76"/>
        <v>1048.8107138524463</v>
      </c>
      <c r="AG276" s="368">
        <v>0</v>
      </c>
      <c r="AH276" s="396">
        <v>0</v>
      </c>
      <c r="AI276" s="368">
        <v>0</v>
      </c>
      <c r="AJ276" s="396">
        <v>0</v>
      </c>
      <c r="AK276" s="368">
        <v>0</v>
      </c>
      <c r="AL276" s="368">
        <v>0</v>
      </c>
      <c r="AM276" s="368">
        <v>0</v>
      </c>
      <c r="AN276" s="368"/>
      <c r="AO276" s="368">
        <v>0</v>
      </c>
    </row>
    <row r="277" spans="1:41" s="152" customFormat="1" ht="36" customHeight="1" x14ac:dyDescent="0.9">
      <c r="A277" s="152">
        <v>1</v>
      </c>
      <c r="B277" s="90">
        <f>SUBTOTAL(103,$A$16:A277)</f>
        <v>256</v>
      </c>
      <c r="C277" s="89" t="s">
        <v>649</v>
      </c>
      <c r="D277" s="163">
        <v>1991</v>
      </c>
      <c r="E277" s="163"/>
      <c r="F277" s="168" t="s">
        <v>315</v>
      </c>
      <c r="G277" s="163">
        <v>5</v>
      </c>
      <c r="H277" s="163">
        <v>4</v>
      </c>
      <c r="I277" s="167">
        <v>5019</v>
      </c>
      <c r="J277" s="167">
        <v>4678</v>
      </c>
      <c r="K277" s="167">
        <v>4497.6000000000004</v>
      </c>
      <c r="L277" s="165">
        <v>145</v>
      </c>
      <c r="M277" s="163" t="s">
        <v>268</v>
      </c>
      <c r="N277" s="163" t="s">
        <v>272</v>
      </c>
      <c r="O277" s="166" t="s">
        <v>721</v>
      </c>
      <c r="P277" s="167">
        <v>2459361.85</v>
      </c>
      <c r="Q277" s="167">
        <v>0</v>
      </c>
      <c r="R277" s="167">
        <v>0</v>
      </c>
      <c r="S277" s="167">
        <f t="shared" si="74"/>
        <v>2459361.85</v>
      </c>
      <c r="T277" s="167">
        <f t="shared" si="77"/>
        <v>490.01033074317593</v>
      </c>
      <c r="U277" s="167">
        <v>966.85080653516638</v>
      </c>
      <c r="V277" s="149">
        <f t="shared" ref="V277" si="78">U277-T277</f>
        <v>476.84047579199046</v>
      </c>
      <c r="W277" s="149">
        <f t="shared" si="75"/>
        <v>966.85080653516638</v>
      </c>
      <c r="X277" s="149">
        <v>0</v>
      </c>
      <c r="Y277" s="368">
        <v>0</v>
      </c>
      <c r="Z277" s="368">
        <v>0</v>
      </c>
      <c r="AA277" s="368">
        <v>0</v>
      </c>
      <c r="AB277" s="368">
        <v>0</v>
      </c>
      <c r="AC277" s="368">
        <v>0</v>
      </c>
      <c r="AD277" s="368">
        <v>0</v>
      </c>
      <c r="AE277" s="368">
        <v>777.8</v>
      </c>
      <c r="AF277" s="396">
        <f t="shared" si="76"/>
        <v>966.85080653516638</v>
      </c>
      <c r="AG277" s="368">
        <v>0</v>
      </c>
      <c r="AH277" s="396">
        <v>0</v>
      </c>
      <c r="AI277" s="368">
        <v>0</v>
      </c>
      <c r="AJ277" s="396">
        <v>0</v>
      </c>
      <c r="AK277" s="368">
        <v>0</v>
      </c>
      <c r="AL277" s="368">
        <v>0</v>
      </c>
      <c r="AM277" s="368">
        <v>0</v>
      </c>
      <c r="AN277" s="368"/>
      <c r="AO277" s="368">
        <v>0</v>
      </c>
    </row>
    <row r="278" spans="1:41" s="152" customFormat="1" ht="36" customHeight="1" x14ac:dyDescent="0.9">
      <c r="B278" s="382" t="s">
        <v>830</v>
      </c>
      <c r="C278" s="382"/>
      <c r="D278" s="384" t="s">
        <v>903</v>
      </c>
      <c r="E278" s="163" t="s">
        <v>903</v>
      </c>
      <c r="F278" s="384" t="s">
        <v>903</v>
      </c>
      <c r="G278" s="384" t="s">
        <v>903</v>
      </c>
      <c r="H278" s="163" t="s">
        <v>903</v>
      </c>
      <c r="I278" s="386">
        <f>SUM(I279:I284)</f>
        <v>10556.800000000001</v>
      </c>
      <c r="J278" s="164">
        <f>SUM(J279:J284)</f>
        <v>8511.2999999999993</v>
      </c>
      <c r="K278" s="164">
        <f>SUM(K279:K284)</f>
        <v>7690.2999999999993</v>
      </c>
      <c r="L278" s="165">
        <f>SUM(L279:L284)</f>
        <v>411</v>
      </c>
      <c r="M278" s="163" t="s">
        <v>903</v>
      </c>
      <c r="N278" s="163" t="s">
        <v>903</v>
      </c>
      <c r="O278" s="166" t="s">
        <v>903</v>
      </c>
      <c r="P278" s="386">
        <v>35599350.519999996</v>
      </c>
      <c r="Q278" s="164">
        <f>SUM(Q279:Q284)</f>
        <v>0</v>
      </c>
      <c r="R278" s="164">
        <f>SUM(R279:R284)</f>
        <v>0</v>
      </c>
      <c r="S278" s="164">
        <f>SUM(S279:S284)</f>
        <v>35599350.519999996</v>
      </c>
      <c r="T278" s="387">
        <f t="shared" si="77"/>
        <v>3372.1724878751129</v>
      </c>
      <c r="U278" s="387">
        <f>MAX(U279:U284)</f>
        <v>14036.054674043782</v>
      </c>
      <c r="V278" s="149">
        <f t="shared" ref="V278:V340" si="79">U278-T278</f>
        <v>10663.88218616867</v>
      </c>
      <c r="W278" s="149"/>
      <c r="X278" s="149"/>
      <c r="Y278" s="368"/>
      <c r="Z278" s="368"/>
      <c r="AA278" s="368"/>
      <c r="AB278" s="368"/>
      <c r="AC278" s="368"/>
      <c r="AD278" s="368"/>
      <c r="AE278" s="368"/>
      <c r="AF278" s="368"/>
      <c r="AG278" s="368"/>
      <c r="AH278" s="368"/>
      <c r="AI278" s="368"/>
      <c r="AJ278" s="368"/>
      <c r="AK278" s="368"/>
      <c r="AL278" s="368"/>
      <c r="AM278" s="368"/>
      <c r="AN278" s="368"/>
      <c r="AO278" s="368"/>
    </row>
    <row r="279" spans="1:41" s="152" customFormat="1" ht="36" customHeight="1" x14ac:dyDescent="0.9">
      <c r="A279" s="152">
        <v>1</v>
      </c>
      <c r="B279" s="90">
        <f>SUBTOTAL(103,$A$16:A279)</f>
        <v>257</v>
      </c>
      <c r="C279" s="89" t="s">
        <v>659</v>
      </c>
      <c r="D279" s="163">
        <v>1896</v>
      </c>
      <c r="E279" s="163"/>
      <c r="F279" s="168" t="s">
        <v>270</v>
      </c>
      <c r="G279" s="163">
        <v>2</v>
      </c>
      <c r="H279" s="163">
        <v>1</v>
      </c>
      <c r="I279" s="167">
        <v>415.7</v>
      </c>
      <c r="J279" s="167">
        <v>392.3</v>
      </c>
      <c r="K279" s="167">
        <v>282.7</v>
      </c>
      <c r="L279" s="165">
        <v>23</v>
      </c>
      <c r="M279" s="163" t="s">
        <v>268</v>
      </c>
      <c r="N279" s="163" t="s">
        <v>272</v>
      </c>
      <c r="O279" s="166" t="s">
        <v>722</v>
      </c>
      <c r="P279" s="167">
        <v>4673799.5900000008</v>
      </c>
      <c r="Q279" s="167">
        <v>0</v>
      </c>
      <c r="R279" s="167">
        <v>0</v>
      </c>
      <c r="S279" s="167">
        <f>P279-Q279-R279</f>
        <v>4673799.5900000008</v>
      </c>
      <c r="T279" s="167">
        <f t="shared" si="77"/>
        <v>11243.203247534282</v>
      </c>
      <c r="U279" s="167">
        <v>14036.054674043782</v>
      </c>
      <c r="V279" s="149">
        <f t="shared" si="79"/>
        <v>2792.8514265095</v>
      </c>
      <c r="W279" s="149">
        <f t="shared" ref="W279:W284" si="80">X279+Y279+Z279+AA279+AB279+AD279+AF279+AH279+AJ279+AL279+AN279+AO279</f>
        <v>14036.054674043782</v>
      </c>
      <c r="X279" s="149">
        <v>0</v>
      </c>
      <c r="Y279" s="368">
        <v>0</v>
      </c>
      <c r="Z279" s="368">
        <v>0</v>
      </c>
      <c r="AA279" s="368">
        <v>0</v>
      </c>
      <c r="AB279" s="368">
        <v>0</v>
      </c>
      <c r="AC279" s="368">
        <v>0</v>
      </c>
      <c r="AD279" s="368">
        <v>0</v>
      </c>
      <c r="AE279" s="368">
        <v>374</v>
      </c>
      <c r="AF279" s="396">
        <f t="shared" ref="AF279:AF281" si="81">6238.91*AE279/I279</f>
        <v>5613.0679336059657</v>
      </c>
      <c r="AG279" s="368">
        <v>0</v>
      </c>
      <c r="AH279" s="396">
        <v>0</v>
      </c>
      <c r="AI279" s="368">
        <v>470.68</v>
      </c>
      <c r="AJ279" s="397">
        <f>7439.1*AI279/I279</f>
        <v>8422.9867404378165</v>
      </c>
      <c r="AK279" s="368">
        <v>0</v>
      </c>
      <c r="AL279" s="368">
        <v>0</v>
      </c>
      <c r="AM279" s="368">
        <v>0</v>
      </c>
      <c r="AN279" s="368"/>
      <c r="AO279" s="368">
        <v>0</v>
      </c>
    </row>
    <row r="280" spans="1:41" s="152" customFormat="1" ht="36" customHeight="1" x14ac:dyDescent="0.9">
      <c r="A280" s="152">
        <v>1</v>
      </c>
      <c r="B280" s="90">
        <f>SUBTOTAL(103,$A$16:A280)</f>
        <v>258</v>
      </c>
      <c r="C280" s="89" t="s">
        <v>653</v>
      </c>
      <c r="D280" s="163">
        <v>1958</v>
      </c>
      <c r="E280" s="163"/>
      <c r="F280" s="168" t="s">
        <v>270</v>
      </c>
      <c r="G280" s="163">
        <v>3</v>
      </c>
      <c r="H280" s="163">
        <v>3</v>
      </c>
      <c r="I280" s="167">
        <v>1224.0999999999999</v>
      </c>
      <c r="J280" s="167">
        <v>1113.4000000000001</v>
      </c>
      <c r="K280" s="167">
        <v>755.9</v>
      </c>
      <c r="L280" s="165">
        <v>53</v>
      </c>
      <c r="M280" s="163" t="s">
        <v>268</v>
      </c>
      <c r="N280" s="163" t="s">
        <v>272</v>
      </c>
      <c r="O280" s="166" t="s">
        <v>722</v>
      </c>
      <c r="P280" s="167">
        <v>3178425.75</v>
      </c>
      <c r="Q280" s="167">
        <v>0</v>
      </c>
      <c r="R280" s="167">
        <v>0</v>
      </c>
      <c r="S280" s="167">
        <f>P280-Q280-R280</f>
        <v>3178425.75</v>
      </c>
      <c r="T280" s="167">
        <f t="shared" si="77"/>
        <v>2596.5409280287558</v>
      </c>
      <c r="U280" s="167">
        <v>3175.2642186095909</v>
      </c>
      <c r="V280" s="149">
        <f t="shared" si="79"/>
        <v>578.72329058083506</v>
      </c>
      <c r="W280" s="149">
        <f t="shared" si="80"/>
        <v>3175.2642186095909</v>
      </c>
      <c r="X280" s="149">
        <v>0</v>
      </c>
      <c r="Y280" s="368">
        <v>0</v>
      </c>
      <c r="Z280" s="368">
        <v>0</v>
      </c>
      <c r="AA280" s="368">
        <v>0</v>
      </c>
      <c r="AB280" s="368">
        <v>0</v>
      </c>
      <c r="AC280" s="368">
        <v>0</v>
      </c>
      <c r="AD280" s="368">
        <v>0</v>
      </c>
      <c r="AE280" s="368">
        <v>623</v>
      </c>
      <c r="AF280" s="396">
        <f t="shared" si="81"/>
        <v>3175.2642186095909</v>
      </c>
      <c r="AG280" s="368">
        <v>0</v>
      </c>
      <c r="AH280" s="396">
        <v>0</v>
      </c>
      <c r="AI280" s="368">
        <v>0</v>
      </c>
      <c r="AJ280" s="396">
        <v>0</v>
      </c>
      <c r="AK280" s="368">
        <v>0</v>
      </c>
      <c r="AL280" s="368">
        <v>0</v>
      </c>
      <c r="AM280" s="368">
        <v>0</v>
      </c>
      <c r="AN280" s="368"/>
      <c r="AO280" s="368">
        <v>0</v>
      </c>
    </row>
    <row r="281" spans="1:41" s="152" customFormat="1" ht="36" customHeight="1" x14ac:dyDescent="0.9">
      <c r="A281" s="152">
        <v>1</v>
      </c>
      <c r="B281" s="90">
        <f>SUBTOTAL(103,$A$16:A281)</f>
        <v>259</v>
      </c>
      <c r="C281" s="89" t="s">
        <v>658</v>
      </c>
      <c r="D281" s="163">
        <v>1984</v>
      </c>
      <c r="E281" s="163"/>
      <c r="F281" s="168" t="s">
        <v>270</v>
      </c>
      <c r="G281" s="163">
        <v>3</v>
      </c>
      <c r="H281" s="163">
        <v>3</v>
      </c>
      <c r="I281" s="167">
        <v>2162.5</v>
      </c>
      <c r="J281" s="167">
        <v>2162.5</v>
      </c>
      <c r="K281" s="167">
        <v>2047.6</v>
      </c>
      <c r="L281" s="165">
        <v>79</v>
      </c>
      <c r="M281" s="163" t="s">
        <v>268</v>
      </c>
      <c r="N281" s="163" t="s">
        <v>272</v>
      </c>
      <c r="O281" s="166" t="s">
        <v>716</v>
      </c>
      <c r="P281" s="167">
        <v>4909138.9399999995</v>
      </c>
      <c r="Q281" s="167">
        <v>0</v>
      </c>
      <c r="R281" s="167">
        <v>0</v>
      </c>
      <c r="S281" s="167">
        <f>P281-Q281-R281</f>
        <v>4909138.9399999995</v>
      </c>
      <c r="T281" s="167">
        <f t="shared" si="77"/>
        <v>2270.1220531791905</v>
      </c>
      <c r="U281" s="167">
        <v>2996.7540324624279</v>
      </c>
      <c r="V281" s="149">
        <f t="shared" si="79"/>
        <v>726.63197928323734</v>
      </c>
      <c r="W281" s="149">
        <f t="shared" si="80"/>
        <v>2996.7540324624279</v>
      </c>
      <c r="X281" s="149">
        <v>0</v>
      </c>
      <c r="Y281" s="368">
        <v>0</v>
      </c>
      <c r="Z281" s="368">
        <v>0</v>
      </c>
      <c r="AA281" s="368">
        <v>0</v>
      </c>
      <c r="AB281" s="368">
        <v>0</v>
      </c>
      <c r="AC281" s="368">
        <v>0</v>
      </c>
      <c r="AD281" s="368">
        <v>0</v>
      </c>
      <c r="AE281" s="368">
        <v>1038.72</v>
      </c>
      <c r="AF281" s="396">
        <f t="shared" si="81"/>
        <v>2996.7540324624279</v>
      </c>
      <c r="AG281" s="368">
        <v>0</v>
      </c>
      <c r="AH281" s="396">
        <v>0</v>
      </c>
      <c r="AI281" s="368">
        <v>0</v>
      </c>
      <c r="AJ281" s="396">
        <v>0</v>
      </c>
      <c r="AK281" s="368">
        <v>0</v>
      </c>
      <c r="AL281" s="368">
        <v>0</v>
      </c>
      <c r="AM281" s="368">
        <v>0</v>
      </c>
      <c r="AN281" s="368"/>
      <c r="AO281" s="368">
        <v>0</v>
      </c>
    </row>
    <row r="282" spans="1:41" s="152" customFormat="1" ht="36" customHeight="1" x14ac:dyDescent="0.9">
      <c r="A282" s="152">
        <v>1</v>
      </c>
      <c r="B282" s="90">
        <f>SUBTOTAL(103,$A$16:A282)</f>
        <v>260</v>
      </c>
      <c r="C282" s="89" t="s">
        <v>1213</v>
      </c>
      <c r="D282" s="163">
        <v>1932</v>
      </c>
      <c r="E282" s="163"/>
      <c r="F282" s="168" t="s">
        <v>1340</v>
      </c>
      <c r="G282" s="163">
        <v>3</v>
      </c>
      <c r="H282" s="163">
        <v>5</v>
      </c>
      <c r="I282" s="167">
        <v>1954.2</v>
      </c>
      <c r="J282" s="167">
        <v>1319.2</v>
      </c>
      <c r="K282" s="167">
        <v>1319.2</v>
      </c>
      <c r="L282" s="165">
        <v>78</v>
      </c>
      <c r="M282" s="163" t="s">
        <v>268</v>
      </c>
      <c r="N282" s="163" t="s">
        <v>272</v>
      </c>
      <c r="O282" s="166" t="s">
        <v>1341</v>
      </c>
      <c r="P282" s="167">
        <v>6600968.3999999994</v>
      </c>
      <c r="Q282" s="167">
        <v>0</v>
      </c>
      <c r="R282" s="167">
        <v>0</v>
      </c>
      <c r="S282" s="167">
        <f>P282-Q282-R282</f>
        <v>6600968.3999999994</v>
      </c>
      <c r="T282" s="167">
        <f t="shared" si="77"/>
        <v>3377.8366595026096</v>
      </c>
      <c r="U282" s="167">
        <v>7382.7604851089964</v>
      </c>
      <c r="V282" s="149">
        <f t="shared" si="79"/>
        <v>4004.9238256063868</v>
      </c>
      <c r="W282" s="149">
        <f t="shared" si="80"/>
        <v>7382.7604851089964</v>
      </c>
      <c r="X282" s="149">
        <v>0</v>
      </c>
      <c r="Y282" s="368">
        <v>0</v>
      </c>
      <c r="Z282" s="368">
        <v>0</v>
      </c>
      <c r="AA282" s="368">
        <v>0</v>
      </c>
      <c r="AB282" s="368">
        <v>0</v>
      </c>
      <c r="AC282" s="368">
        <v>0</v>
      </c>
      <c r="AD282" s="368">
        <v>0</v>
      </c>
      <c r="AE282" s="368">
        <v>0</v>
      </c>
      <c r="AF282" s="396">
        <v>0</v>
      </c>
      <c r="AG282" s="368">
        <v>0</v>
      </c>
      <c r="AH282" s="396">
        <v>0</v>
      </c>
      <c r="AI282" s="368">
        <v>1939.4</v>
      </c>
      <c r="AJ282" s="397">
        <f>7439.1*AI282/I282</f>
        <v>7382.7604851089964</v>
      </c>
      <c r="AK282" s="368">
        <v>0</v>
      </c>
      <c r="AL282" s="368">
        <v>0</v>
      </c>
      <c r="AM282" s="368">
        <v>0</v>
      </c>
      <c r="AN282" s="368"/>
      <c r="AO282" s="368">
        <v>0</v>
      </c>
    </row>
    <row r="283" spans="1:41" s="152" customFormat="1" ht="36" customHeight="1" x14ac:dyDescent="0.9">
      <c r="A283" s="152">
        <v>1</v>
      </c>
      <c r="B283" s="90">
        <f>SUBTOTAL(103,$A$16:A283)</f>
        <v>261</v>
      </c>
      <c r="C283" s="89" t="s">
        <v>1198</v>
      </c>
      <c r="D283" s="163">
        <v>1882</v>
      </c>
      <c r="E283" s="163"/>
      <c r="F283" s="168" t="s">
        <v>270</v>
      </c>
      <c r="G283" s="163">
        <v>4</v>
      </c>
      <c r="H283" s="163">
        <v>2</v>
      </c>
      <c r="I283" s="167">
        <v>3453.2</v>
      </c>
      <c r="J283" s="167">
        <v>2382.5</v>
      </c>
      <c r="K283" s="167">
        <v>2143.5</v>
      </c>
      <c r="L283" s="165">
        <v>129</v>
      </c>
      <c r="M283" s="163" t="s">
        <v>268</v>
      </c>
      <c r="N283" s="163" t="s">
        <v>272</v>
      </c>
      <c r="O283" s="166" t="s">
        <v>722</v>
      </c>
      <c r="P283" s="167">
        <v>11998023.609999999</v>
      </c>
      <c r="Q283" s="167">
        <v>0</v>
      </c>
      <c r="R283" s="167">
        <v>0</v>
      </c>
      <c r="S283" s="167">
        <f>P283-Q283-R283</f>
        <v>11998023.609999999</v>
      </c>
      <c r="T283" s="167">
        <f t="shared" si="77"/>
        <v>3474.4653104366962</v>
      </c>
      <c r="U283" s="167">
        <v>3500.7252560523575</v>
      </c>
      <c r="V283" s="149">
        <f t="shared" si="79"/>
        <v>26.259945615661309</v>
      </c>
      <c r="W283" s="149">
        <f t="shared" si="80"/>
        <v>3500.7252560523575</v>
      </c>
      <c r="X283" s="149">
        <v>0</v>
      </c>
      <c r="Y283" s="368">
        <v>0</v>
      </c>
      <c r="Z283" s="368">
        <v>0</v>
      </c>
      <c r="AA283" s="368">
        <v>0</v>
      </c>
      <c r="AB283" s="368">
        <v>0</v>
      </c>
      <c r="AC283" s="368">
        <v>0</v>
      </c>
      <c r="AD283" s="368">
        <v>0</v>
      </c>
      <c r="AE283" s="368">
        <v>1878.14</v>
      </c>
      <c r="AF283" s="396">
        <f>6436.53*AE283/I283</f>
        <v>3500.7252560523575</v>
      </c>
      <c r="AG283" s="368">
        <v>0</v>
      </c>
      <c r="AH283" s="396">
        <v>0</v>
      </c>
      <c r="AI283" s="368">
        <v>0</v>
      </c>
      <c r="AJ283" s="396">
        <v>0</v>
      </c>
      <c r="AK283" s="368">
        <v>0</v>
      </c>
      <c r="AL283" s="368">
        <v>0</v>
      </c>
      <c r="AM283" s="368">
        <v>0</v>
      </c>
      <c r="AN283" s="368"/>
      <c r="AO283" s="368">
        <v>0</v>
      </c>
    </row>
    <row r="284" spans="1:41" s="152" customFormat="1" ht="36" customHeight="1" x14ac:dyDescent="0.9">
      <c r="A284" s="152">
        <v>1</v>
      </c>
      <c r="B284" s="90">
        <f>SUBTOTAL(103,$A$16:A284)</f>
        <v>262</v>
      </c>
      <c r="C284" s="89" t="s">
        <v>1585</v>
      </c>
      <c r="D284" s="163">
        <v>1939</v>
      </c>
      <c r="E284" s="163"/>
      <c r="F284" s="168" t="s">
        <v>1596</v>
      </c>
      <c r="G284" s="163">
        <v>3</v>
      </c>
      <c r="H284" s="163">
        <v>4</v>
      </c>
      <c r="I284" s="167">
        <v>1347.1</v>
      </c>
      <c r="J284" s="167">
        <v>1141.4000000000001</v>
      </c>
      <c r="K284" s="167">
        <f>J284</f>
        <v>1141.4000000000001</v>
      </c>
      <c r="L284" s="165">
        <v>49</v>
      </c>
      <c r="M284" s="163" t="s">
        <v>268</v>
      </c>
      <c r="N284" s="163" t="s">
        <v>272</v>
      </c>
      <c r="O284" s="166" t="s">
        <v>722</v>
      </c>
      <c r="P284" s="167">
        <v>4238994.2300000004</v>
      </c>
      <c r="Q284" s="167">
        <v>0</v>
      </c>
      <c r="R284" s="167">
        <v>0</v>
      </c>
      <c r="S284" s="167">
        <f>P284-R284-Q284</f>
        <v>4238994.2300000004</v>
      </c>
      <c r="T284" s="167">
        <f t="shared" si="77"/>
        <v>3146.7554227600035</v>
      </c>
      <c r="U284" s="167">
        <v>3613.2509945067181</v>
      </c>
      <c r="V284" s="149">
        <f t="shared" si="79"/>
        <v>466.49557174671463</v>
      </c>
      <c r="W284" s="149">
        <f t="shared" si="80"/>
        <v>3613.2509945067181</v>
      </c>
      <c r="X284" s="149">
        <v>0</v>
      </c>
      <c r="Y284" s="368">
        <v>0</v>
      </c>
      <c r="Z284" s="368">
        <v>0</v>
      </c>
      <c r="AA284" s="368">
        <v>0</v>
      </c>
      <c r="AB284" s="368">
        <v>0</v>
      </c>
      <c r="AC284" s="368">
        <v>0</v>
      </c>
      <c r="AD284" s="368">
        <v>0</v>
      </c>
      <c r="AE284" s="368">
        <v>780.17</v>
      </c>
      <c r="AF284" s="396">
        <f t="shared" ref="AF284" si="82">6238.91*AE284/I284</f>
        <v>3613.2509945067181</v>
      </c>
      <c r="AG284" s="368">
        <v>0</v>
      </c>
      <c r="AH284" s="396">
        <v>0</v>
      </c>
      <c r="AI284" s="368">
        <v>0</v>
      </c>
      <c r="AJ284" s="396">
        <v>0</v>
      </c>
      <c r="AK284" s="368">
        <v>0</v>
      </c>
      <c r="AL284" s="368">
        <v>0</v>
      </c>
      <c r="AM284" s="368">
        <v>0</v>
      </c>
      <c r="AN284" s="368"/>
      <c r="AO284" s="368">
        <v>0</v>
      </c>
    </row>
    <row r="285" spans="1:41" s="152" customFormat="1" ht="36" customHeight="1" x14ac:dyDescent="0.9">
      <c r="B285" s="382" t="s">
        <v>831</v>
      </c>
      <c r="C285" s="382"/>
      <c r="D285" s="384" t="s">
        <v>903</v>
      </c>
      <c r="E285" s="163" t="s">
        <v>903</v>
      </c>
      <c r="F285" s="384" t="s">
        <v>903</v>
      </c>
      <c r="G285" s="384" t="s">
        <v>903</v>
      </c>
      <c r="H285" s="163" t="s">
        <v>903</v>
      </c>
      <c r="I285" s="386">
        <f>SUM(I286:I289)</f>
        <v>15661.67</v>
      </c>
      <c r="J285" s="164">
        <f>SUM(J286:J289)</f>
        <v>11320.82</v>
      </c>
      <c r="K285" s="164">
        <f>SUM(K286:K289)</f>
        <v>10924.42</v>
      </c>
      <c r="L285" s="165">
        <f>SUM(L286:L289)</f>
        <v>532</v>
      </c>
      <c r="M285" s="163" t="s">
        <v>903</v>
      </c>
      <c r="N285" s="163" t="s">
        <v>903</v>
      </c>
      <c r="O285" s="166" t="s">
        <v>903</v>
      </c>
      <c r="P285" s="387">
        <v>13590086.029999999</v>
      </c>
      <c r="Q285" s="167">
        <f>SUM(Q286:Q289)</f>
        <v>0</v>
      </c>
      <c r="R285" s="167">
        <f>SUM(R286:R289)</f>
        <v>0</v>
      </c>
      <c r="S285" s="167">
        <f>SUM(S286:S289)</f>
        <v>13590086.029999999</v>
      </c>
      <c r="T285" s="387">
        <f t="shared" si="77"/>
        <v>867.72904996721286</v>
      </c>
      <c r="U285" s="387">
        <f>MAX(U286:U289)</f>
        <v>3690.08</v>
      </c>
      <c r="V285" s="149">
        <f t="shared" si="79"/>
        <v>2822.3509500327873</v>
      </c>
      <c r="W285" s="149"/>
      <c r="X285" s="149"/>
      <c r="Y285" s="368"/>
      <c r="Z285" s="368"/>
      <c r="AA285" s="368"/>
      <c r="AB285" s="368"/>
      <c r="AC285" s="368"/>
      <c r="AD285" s="368"/>
      <c r="AE285" s="368"/>
      <c r="AF285" s="368"/>
      <c r="AG285" s="368"/>
      <c r="AH285" s="368"/>
      <c r="AI285" s="368"/>
      <c r="AJ285" s="368"/>
      <c r="AK285" s="368"/>
      <c r="AL285" s="368"/>
      <c r="AM285" s="368"/>
      <c r="AN285" s="368"/>
      <c r="AO285" s="368"/>
    </row>
    <row r="286" spans="1:41" s="152" customFormat="1" ht="36" customHeight="1" x14ac:dyDescent="0.9">
      <c r="A286" s="152">
        <v>1</v>
      </c>
      <c r="B286" s="90">
        <f>SUBTOTAL(103,$A$16:A286)</f>
        <v>263</v>
      </c>
      <c r="C286" s="89" t="s">
        <v>663</v>
      </c>
      <c r="D286" s="163">
        <v>1972</v>
      </c>
      <c r="E286" s="163"/>
      <c r="F286" s="168" t="s">
        <v>270</v>
      </c>
      <c r="G286" s="163">
        <v>5</v>
      </c>
      <c r="H286" s="163">
        <v>4</v>
      </c>
      <c r="I286" s="167">
        <v>4295.76</v>
      </c>
      <c r="J286" s="167">
        <v>3325.76</v>
      </c>
      <c r="K286" s="167">
        <v>3325.76</v>
      </c>
      <c r="L286" s="165">
        <v>137</v>
      </c>
      <c r="M286" s="163" t="s">
        <v>268</v>
      </c>
      <c r="N286" s="163" t="s">
        <v>272</v>
      </c>
      <c r="O286" s="166" t="s">
        <v>1005</v>
      </c>
      <c r="P286" s="167">
        <v>6165819.2800000003</v>
      </c>
      <c r="Q286" s="167">
        <v>0</v>
      </c>
      <c r="R286" s="167">
        <v>0</v>
      </c>
      <c r="S286" s="167">
        <f>P286-Q286-R286</f>
        <v>6165819.2800000003</v>
      </c>
      <c r="T286" s="167">
        <f t="shared" si="77"/>
        <v>1435.3267594092779</v>
      </c>
      <c r="U286" s="167">
        <v>1725.3815576289178</v>
      </c>
      <c r="V286" s="149">
        <f t="shared" si="79"/>
        <v>290.05479821963991</v>
      </c>
      <c r="W286" s="149">
        <f t="shared" ref="W286:W289" si="83">X286+Y286+Z286+AA286+AB286+AD286+AF286+AH286+AJ286+AL286+AN286+AO286</f>
        <v>1725.3815576289178</v>
      </c>
      <c r="X286" s="149">
        <v>0</v>
      </c>
      <c r="Y286" s="368">
        <v>0</v>
      </c>
      <c r="Z286" s="368">
        <v>0</v>
      </c>
      <c r="AA286" s="368">
        <v>0</v>
      </c>
      <c r="AB286" s="368">
        <v>0</v>
      </c>
      <c r="AC286" s="368">
        <v>0</v>
      </c>
      <c r="AD286" s="368">
        <v>0</v>
      </c>
      <c r="AE286" s="368">
        <v>1188</v>
      </c>
      <c r="AF286" s="396">
        <f>6238.91*AE286/I286</f>
        <v>1725.3815576289178</v>
      </c>
      <c r="AG286" s="368">
        <v>0</v>
      </c>
      <c r="AH286" s="396">
        <v>0</v>
      </c>
      <c r="AI286" s="368">
        <v>0</v>
      </c>
      <c r="AJ286" s="396">
        <v>0</v>
      </c>
      <c r="AK286" s="368">
        <v>0</v>
      </c>
      <c r="AL286" s="368">
        <v>0</v>
      </c>
      <c r="AM286" s="368">
        <v>0</v>
      </c>
      <c r="AN286" s="368"/>
      <c r="AO286" s="368">
        <v>0</v>
      </c>
    </row>
    <row r="287" spans="1:41" s="152" customFormat="1" ht="36" customHeight="1" x14ac:dyDescent="0.9">
      <c r="A287" s="152">
        <v>1</v>
      </c>
      <c r="B287" s="90">
        <f>SUBTOTAL(103,$A$16:A287)</f>
        <v>264</v>
      </c>
      <c r="C287" s="89" t="s">
        <v>660</v>
      </c>
      <c r="D287" s="163">
        <v>1978</v>
      </c>
      <c r="E287" s="163"/>
      <c r="F287" s="168" t="s">
        <v>270</v>
      </c>
      <c r="G287" s="163">
        <v>3</v>
      </c>
      <c r="H287" s="163">
        <v>2</v>
      </c>
      <c r="I287" s="167">
        <v>1569.6</v>
      </c>
      <c r="J287" s="167">
        <v>1094.4000000000001</v>
      </c>
      <c r="K287" s="167">
        <v>1094.4000000000001</v>
      </c>
      <c r="L287" s="165">
        <v>59</v>
      </c>
      <c r="M287" s="163" t="s">
        <v>268</v>
      </c>
      <c r="N287" s="163" t="s">
        <v>272</v>
      </c>
      <c r="O287" s="166" t="s">
        <v>1006</v>
      </c>
      <c r="P287" s="167">
        <v>1171703.5599999998</v>
      </c>
      <c r="Q287" s="167">
        <v>0</v>
      </c>
      <c r="R287" s="167">
        <v>0</v>
      </c>
      <c r="S287" s="167">
        <f>P287-Q287-R287</f>
        <v>1171703.5599999998</v>
      </c>
      <c r="T287" s="167">
        <f t="shared" si="77"/>
        <v>746.49819062181439</v>
      </c>
      <c r="U287" s="167">
        <v>3690.08</v>
      </c>
      <c r="V287" s="149">
        <f t="shared" si="79"/>
        <v>2943.5818093781854</v>
      </c>
      <c r="W287" s="149">
        <f t="shared" si="83"/>
        <v>3690.08</v>
      </c>
      <c r="X287" s="149">
        <v>0</v>
      </c>
      <c r="Y287" s="368">
        <v>245.44</v>
      </c>
      <c r="Z287" s="368">
        <v>3259.66</v>
      </c>
      <c r="AA287" s="368">
        <v>184.98</v>
      </c>
      <c r="AB287" s="368">
        <v>0</v>
      </c>
      <c r="AC287" s="368">
        <v>0</v>
      </c>
      <c r="AD287" s="368">
        <v>0</v>
      </c>
      <c r="AE287" s="368">
        <v>0</v>
      </c>
      <c r="AF287" s="396">
        <v>0</v>
      </c>
      <c r="AG287" s="368">
        <v>0</v>
      </c>
      <c r="AH287" s="396">
        <v>0</v>
      </c>
      <c r="AI287" s="368">
        <v>0</v>
      </c>
      <c r="AJ287" s="396">
        <v>0</v>
      </c>
      <c r="AK287" s="368">
        <v>0</v>
      </c>
      <c r="AL287" s="368">
        <v>0</v>
      </c>
      <c r="AM287" s="368">
        <v>0</v>
      </c>
      <c r="AN287" s="368"/>
      <c r="AO287" s="368">
        <v>0</v>
      </c>
    </row>
    <row r="288" spans="1:41" s="152" customFormat="1" ht="36" customHeight="1" x14ac:dyDescent="0.9">
      <c r="A288" s="152">
        <v>1</v>
      </c>
      <c r="B288" s="90">
        <f>SUBTOTAL(103,$A$16:A288)</f>
        <v>265</v>
      </c>
      <c r="C288" s="89" t="s">
        <v>1214</v>
      </c>
      <c r="D288" s="163">
        <v>1968</v>
      </c>
      <c r="E288" s="163"/>
      <c r="F288" s="168" t="s">
        <v>270</v>
      </c>
      <c r="G288" s="163">
        <v>5</v>
      </c>
      <c r="H288" s="163">
        <v>4</v>
      </c>
      <c r="I288" s="167">
        <v>4460.8999999999996</v>
      </c>
      <c r="J288" s="167">
        <v>2874.85</v>
      </c>
      <c r="K288" s="167">
        <v>2874.85</v>
      </c>
      <c r="L288" s="165">
        <v>114</v>
      </c>
      <c r="M288" s="163" t="s">
        <v>268</v>
      </c>
      <c r="N288" s="163" t="s">
        <v>272</v>
      </c>
      <c r="O288" s="166" t="s">
        <v>1342</v>
      </c>
      <c r="P288" s="167">
        <v>3192348.5</v>
      </c>
      <c r="Q288" s="167">
        <v>0</v>
      </c>
      <c r="R288" s="167">
        <v>0</v>
      </c>
      <c r="S288" s="167">
        <f>P288-Q288-R288</f>
        <v>3192348.5</v>
      </c>
      <c r="T288" s="167">
        <f t="shared" si="77"/>
        <v>715.62879687955353</v>
      </c>
      <c r="U288" s="167">
        <v>1103.9663764038648</v>
      </c>
      <c r="V288" s="149">
        <f t="shared" si="79"/>
        <v>388.33757952431131</v>
      </c>
      <c r="W288" s="149">
        <f t="shared" si="83"/>
        <v>1103.9663764038648</v>
      </c>
      <c r="X288" s="149">
        <v>0</v>
      </c>
      <c r="Y288" s="368">
        <v>0</v>
      </c>
      <c r="Z288" s="368">
        <v>0</v>
      </c>
      <c r="AA288" s="368">
        <v>0</v>
      </c>
      <c r="AB288" s="368">
        <v>0</v>
      </c>
      <c r="AC288" s="368">
        <v>0</v>
      </c>
      <c r="AD288" s="368">
        <v>0</v>
      </c>
      <c r="AE288" s="368">
        <v>789.35</v>
      </c>
      <c r="AF288" s="396">
        <f t="shared" ref="AF288:AF289" si="84">6238.91*AE288/I288</f>
        <v>1103.9663764038648</v>
      </c>
      <c r="AG288" s="368">
        <v>0</v>
      </c>
      <c r="AH288" s="396">
        <v>0</v>
      </c>
      <c r="AI288" s="368">
        <v>0</v>
      </c>
      <c r="AJ288" s="396">
        <v>0</v>
      </c>
      <c r="AK288" s="368">
        <v>0</v>
      </c>
      <c r="AL288" s="368">
        <v>0</v>
      </c>
      <c r="AM288" s="368">
        <v>0</v>
      </c>
      <c r="AN288" s="368"/>
      <c r="AO288" s="368">
        <v>0</v>
      </c>
    </row>
    <row r="289" spans="1:41" s="152" customFormat="1" ht="36" customHeight="1" x14ac:dyDescent="0.9">
      <c r="A289" s="152">
        <v>1</v>
      </c>
      <c r="B289" s="90">
        <f>SUBTOTAL(103,$A$16:A289)</f>
        <v>266</v>
      </c>
      <c r="C289" s="89" t="s">
        <v>1200</v>
      </c>
      <c r="D289" s="163">
        <v>1990</v>
      </c>
      <c r="E289" s="163"/>
      <c r="F289" s="168" t="s">
        <v>270</v>
      </c>
      <c r="G289" s="163">
        <v>5</v>
      </c>
      <c r="H289" s="163">
        <v>6</v>
      </c>
      <c r="I289" s="167">
        <v>5335.41</v>
      </c>
      <c r="J289" s="167">
        <v>4025.81</v>
      </c>
      <c r="K289" s="167">
        <v>3629.41</v>
      </c>
      <c r="L289" s="165">
        <v>222</v>
      </c>
      <c r="M289" s="163" t="s">
        <v>268</v>
      </c>
      <c r="N289" s="163" t="s">
        <v>272</v>
      </c>
      <c r="O289" s="166" t="s">
        <v>1334</v>
      </c>
      <c r="P289" s="167">
        <v>3060214.69</v>
      </c>
      <c r="Q289" s="167">
        <v>0</v>
      </c>
      <c r="R289" s="167">
        <v>0</v>
      </c>
      <c r="S289" s="167">
        <f>P289-Q289-R289</f>
        <v>3060214.69</v>
      </c>
      <c r="T289" s="167">
        <f t="shared" si="77"/>
        <v>573.5669217548417</v>
      </c>
      <c r="U289" s="167">
        <v>1307.0184415818089</v>
      </c>
      <c r="V289" s="149">
        <f t="shared" si="79"/>
        <v>733.45151982696723</v>
      </c>
      <c r="W289" s="149">
        <f t="shared" si="83"/>
        <v>1307.0184415818089</v>
      </c>
      <c r="X289" s="149">
        <v>0</v>
      </c>
      <c r="Y289" s="368">
        <v>0</v>
      </c>
      <c r="Z289" s="368">
        <v>0</v>
      </c>
      <c r="AA289" s="368">
        <v>0</v>
      </c>
      <c r="AB289" s="368">
        <v>0</v>
      </c>
      <c r="AC289" s="368">
        <v>0</v>
      </c>
      <c r="AD289" s="368">
        <v>0</v>
      </c>
      <c r="AE289" s="368">
        <v>1117.74</v>
      </c>
      <c r="AF289" s="396">
        <f t="shared" si="84"/>
        <v>1307.0184415818089</v>
      </c>
      <c r="AG289" s="368">
        <v>0</v>
      </c>
      <c r="AH289" s="396">
        <v>0</v>
      </c>
      <c r="AI289" s="368">
        <v>0</v>
      </c>
      <c r="AJ289" s="396">
        <v>0</v>
      </c>
      <c r="AK289" s="368">
        <v>0</v>
      </c>
      <c r="AL289" s="368">
        <v>0</v>
      </c>
      <c r="AM289" s="368">
        <v>0</v>
      </c>
      <c r="AN289" s="368"/>
      <c r="AO289" s="368">
        <v>0</v>
      </c>
    </row>
    <row r="290" spans="1:41" s="152" customFormat="1" ht="36" customHeight="1" x14ac:dyDescent="0.9">
      <c r="B290" s="382" t="s">
        <v>1293</v>
      </c>
      <c r="C290" s="382"/>
      <c r="D290" s="384" t="s">
        <v>903</v>
      </c>
      <c r="E290" s="163" t="s">
        <v>903</v>
      </c>
      <c r="F290" s="384" t="s">
        <v>903</v>
      </c>
      <c r="G290" s="384" t="s">
        <v>903</v>
      </c>
      <c r="H290" s="163" t="s">
        <v>903</v>
      </c>
      <c r="I290" s="386">
        <f>I291</f>
        <v>762</v>
      </c>
      <c r="J290" s="164">
        <f>J291</f>
        <v>709</v>
      </c>
      <c r="K290" s="164">
        <f>K291</f>
        <v>709</v>
      </c>
      <c r="L290" s="165">
        <f>L291</f>
        <v>12</v>
      </c>
      <c r="M290" s="163" t="s">
        <v>903</v>
      </c>
      <c r="N290" s="163" t="s">
        <v>903</v>
      </c>
      <c r="O290" s="166" t="s">
        <v>903</v>
      </c>
      <c r="P290" s="387">
        <v>345301.56</v>
      </c>
      <c r="Q290" s="167">
        <f>Q291</f>
        <v>0</v>
      </c>
      <c r="R290" s="167">
        <f>R291</f>
        <v>0</v>
      </c>
      <c r="S290" s="167">
        <f>S291</f>
        <v>345301.56</v>
      </c>
      <c r="T290" s="387">
        <f t="shared" si="77"/>
        <v>453.15165354330708</v>
      </c>
      <c r="U290" s="387">
        <f>MAX(U291)</f>
        <v>712.1</v>
      </c>
      <c r="V290" s="149">
        <f t="shared" si="79"/>
        <v>258.94834645669295</v>
      </c>
      <c r="W290" s="149"/>
      <c r="X290" s="149"/>
      <c r="Y290" s="368"/>
      <c r="Z290" s="368"/>
      <c r="AA290" s="368"/>
      <c r="AB290" s="368"/>
      <c r="AC290" s="368"/>
      <c r="AD290" s="368"/>
      <c r="AE290" s="368"/>
      <c r="AF290" s="368"/>
      <c r="AG290" s="368"/>
      <c r="AH290" s="368"/>
      <c r="AI290" s="368"/>
      <c r="AJ290" s="368"/>
      <c r="AK290" s="368"/>
      <c r="AL290" s="368"/>
      <c r="AM290" s="368"/>
      <c r="AN290" s="368"/>
      <c r="AO290" s="368"/>
    </row>
    <row r="291" spans="1:41" s="152" customFormat="1" ht="36" customHeight="1" x14ac:dyDescent="0.9">
      <c r="A291" s="152">
        <v>1</v>
      </c>
      <c r="B291" s="90">
        <f>SUBTOTAL(103,$A$16:A291)</f>
        <v>267</v>
      </c>
      <c r="C291" s="89" t="s">
        <v>1199</v>
      </c>
      <c r="D291" s="163">
        <v>1967</v>
      </c>
      <c r="E291" s="163"/>
      <c r="F291" s="168" t="s">
        <v>270</v>
      </c>
      <c r="G291" s="163">
        <v>2</v>
      </c>
      <c r="H291" s="163">
        <v>2</v>
      </c>
      <c r="I291" s="167">
        <v>762</v>
      </c>
      <c r="J291" s="167">
        <v>709</v>
      </c>
      <c r="K291" s="167">
        <v>709</v>
      </c>
      <c r="L291" s="165">
        <v>12</v>
      </c>
      <c r="M291" s="163" t="s">
        <v>268</v>
      </c>
      <c r="N291" s="163" t="s">
        <v>286</v>
      </c>
      <c r="O291" s="166" t="s">
        <v>271</v>
      </c>
      <c r="P291" s="167">
        <v>345301.56</v>
      </c>
      <c r="Q291" s="167">
        <v>0</v>
      </c>
      <c r="R291" s="167">
        <v>0</v>
      </c>
      <c r="S291" s="167">
        <f>P291-Q291-R291</f>
        <v>345301.56</v>
      </c>
      <c r="T291" s="167">
        <f t="shared" si="77"/>
        <v>453.15165354330708</v>
      </c>
      <c r="U291" s="167">
        <v>712.1</v>
      </c>
      <c r="V291" s="149">
        <f>U291-T291</f>
        <v>258.94834645669295</v>
      </c>
      <c r="W291" s="149">
        <f>X291+Y291+Z291+AA291+AB291+AD291+AF291+AH291+AJ291+AL291+AN291+AO291</f>
        <v>712.1</v>
      </c>
      <c r="X291" s="149">
        <v>0</v>
      </c>
      <c r="Y291" s="368">
        <v>0</v>
      </c>
      <c r="Z291" s="368">
        <v>0</v>
      </c>
      <c r="AA291" s="368">
        <v>0</v>
      </c>
      <c r="AB291" s="368">
        <v>0</v>
      </c>
      <c r="AC291" s="368">
        <v>0</v>
      </c>
      <c r="AD291" s="368">
        <v>0</v>
      </c>
      <c r="AE291" s="368">
        <v>0</v>
      </c>
      <c r="AF291" s="396">
        <v>0</v>
      </c>
      <c r="AG291" s="368">
        <v>0</v>
      </c>
      <c r="AH291" s="396">
        <v>0</v>
      </c>
      <c r="AI291" s="368">
        <v>0</v>
      </c>
      <c r="AJ291" s="396">
        <v>0</v>
      </c>
      <c r="AK291" s="368">
        <v>0</v>
      </c>
      <c r="AL291" s="368">
        <v>0</v>
      </c>
      <c r="AM291" s="368">
        <v>0</v>
      </c>
      <c r="AN291" s="368"/>
      <c r="AO291" s="368">
        <v>712.1</v>
      </c>
    </row>
    <row r="292" spans="1:41" s="152" customFormat="1" ht="36" customHeight="1" x14ac:dyDescent="0.9">
      <c r="B292" s="382" t="s">
        <v>832</v>
      </c>
      <c r="C292" s="388"/>
      <c r="D292" s="384" t="s">
        <v>903</v>
      </c>
      <c r="E292" s="163" t="s">
        <v>903</v>
      </c>
      <c r="F292" s="384" t="s">
        <v>903</v>
      </c>
      <c r="G292" s="384" t="s">
        <v>903</v>
      </c>
      <c r="H292" s="163" t="s">
        <v>903</v>
      </c>
      <c r="I292" s="386">
        <f>SUM(I293:I294)</f>
        <v>2259.1</v>
      </c>
      <c r="J292" s="164">
        <f>SUM(J293:J294)</f>
        <v>2114.1</v>
      </c>
      <c r="K292" s="164">
        <f>SUM(K293:K294)</f>
        <v>2070.3000000000002</v>
      </c>
      <c r="L292" s="165">
        <f>SUM(L293:L294)</f>
        <v>104</v>
      </c>
      <c r="M292" s="163" t="s">
        <v>903</v>
      </c>
      <c r="N292" s="163" t="s">
        <v>903</v>
      </c>
      <c r="O292" s="166" t="s">
        <v>903</v>
      </c>
      <c r="P292" s="387">
        <v>6197385.3000000007</v>
      </c>
      <c r="Q292" s="167">
        <f>SUM(Q293:Q294)</f>
        <v>0</v>
      </c>
      <c r="R292" s="167">
        <f>SUM(R293:R294)</f>
        <v>0</v>
      </c>
      <c r="S292" s="167">
        <f>SUM(S293:S294)</f>
        <v>6197385.3000000007</v>
      </c>
      <c r="T292" s="387">
        <f t="shared" si="77"/>
        <v>2743.2983489000048</v>
      </c>
      <c r="U292" s="387">
        <f>MAX(U293:U294)</f>
        <v>5827.1228315467079</v>
      </c>
      <c r="V292" s="149">
        <f t="shared" si="79"/>
        <v>3083.824482646703</v>
      </c>
      <c r="W292" s="149"/>
      <c r="X292" s="149"/>
      <c r="Y292" s="368"/>
      <c r="Z292" s="368"/>
      <c r="AA292" s="368"/>
      <c r="AB292" s="368"/>
      <c r="AC292" s="368"/>
      <c r="AD292" s="368"/>
      <c r="AE292" s="368"/>
      <c r="AF292" s="368"/>
      <c r="AG292" s="368"/>
      <c r="AH292" s="368"/>
      <c r="AI292" s="368"/>
      <c r="AJ292" s="368"/>
      <c r="AK292" s="368"/>
      <c r="AL292" s="368"/>
      <c r="AM292" s="368"/>
      <c r="AN292" s="368"/>
      <c r="AO292" s="368"/>
    </row>
    <row r="293" spans="1:41" s="152" customFormat="1" ht="36" customHeight="1" x14ac:dyDescent="0.9">
      <c r="A293" s="152">
        <v>1</v>
      </c>
      <c r="B293" s="90">
        <f>SUBTOTAL(103,$A$16:A293)</f>
        <v>268</v>
      </c>
      <c r="C293" s="89" t="s">
        <v>688</v>
      </c>
      <c r="D293" s="163">
        <v>1982</v>
      </c>
      <c r="E293" s="163"/>
      <c r="F293" s="168" t="s">
        <v>270</v>
      </c>
      <c r="G293" s="163">
        <v>3</v>
      </c>
      <c r="H293" s="163">
        <v>3</v>
      </c>
      <c r="I293" s="167">
        <v>1997.9</v>
      </c>
      <c r="J293" s="167">
        <v>1878</v>
      </c>
      <c r="K293" s="167">
        <v>1878</v>
      </c>
      <c r="L293" s="165">
        <v>88</v>
      </c>
      <c r="M293" s="163" t="s">
        <v>268</v>
      </c>
      <c r="N293" s="163" t="s">
        <v>269</v>
      </c>
      <c r="O293" s="166" t="s">
        <v>271</v>
      </c>
      <c r="P293" s="167">
        <v>5013881.0500000007</v>
      </c>
      <c r="Q293" s="167">
        <v>0</v>
      </c>
      <c r="R293" s="167">
        <v>0</v>
      </c>
      <c r="S293" s="167">
        <f>P293-Q293-R293</f>
        <v>5013881.0500000007</v>
      </c>
      <c r="T293" s="167">
        <f t="shared" si="77"/>
        <v>2509.5755793583266</v>
      </c>
      <c r="U293" s="167">
        <v>3191.434015716502</v>
      </c>
      <c r="V293" s="149">
        <f t="shared" si="79"/>
        <v>681.85843635817537</v>
      </c>
      <c r="W293" s="149">
        <f t="shared" ref="W293:W294" si="85">X293+Y293+Z293+AA293+AB293+AD293+AF293+AH293+AJ293+AL293+AN293+AO293</f>
        <v>3191.434015716502</v>
      </c>
      <c r="X293" s="149">
        <v>0</v>
      </c>
      <c r="Y293" s="368">
        <v>0</v>
      </c>
      <c r="Z293" s="368">
        <v>0</v>
      </c>
      <c r="AA293" s="368">
        <v>0</v>
      </c>
      <c r="AB293" s="368">
        <v>0</v>
      </c>
      <c r="AC293" s="368">
        <v>0</v>
      </c>
      <c r="AD293" s="368">
        <v>0</v>
      </c>
      <c r="AE293" s="368">
        <v>1022</v>
      </c>
      <c r="AF293" s="396">
        <f t="shared" ref="AF293:AF294" si="86">6238.91*AE293/I293</f>
        <v>3191.434015716502</v>
      </c>
      <c r="AG293" s="368">
        <v>0</v>
      </c>
      <c r="AH293" s="396">
        <v>0</v>
      </c>
      <c r="AI293" s="368">
        <v>0</v>
      </c>
      <c r="AJ293" s="396">
        <v>0</v>
      </c>
      <c r="AK293" s="368">
        <v>0</v>
      </c>
      <c r="AL293" s="368">
        <v>0</v>
      </c>
      <c r="AM293" s="368">
        <v>0</v>
      </c>
      <c r="AN293" s="368"/>
      <c r="AO293" s="368">
        <v>0</v>
      </c>
    </row>
    <row r="294" spans="1:41" s="152" customFormat="1" ht="36" customHeight="1" x14ac:dyDescent="0.9">
      <c r="A294" s="152">
        <v>1</v>
      </c>
      <c r="B294" s="90">
        <f>SUBTOTAL(103,$A$16:A294)</f>
        <v>269</v>
      </c>
      <c r="C294" s="89" t="s">
        <v>686</v>
      </c>
      <c r="D294" s="163">
        <v>1905</v>
      </c>
      <c r="E294" s="163"/>
      <c r="F294" s="168" t="s">
        <v>270</v>
      </c>
      <c r="G294" s="163">
        <v>2</v>
      </c>
      <c r="H294" s="163">
        <v>1</v>
      </c>
      <c r="I294" s="167">
        <v>261.2</v>
      </c>
      <c r="J294" s="167">
        <v>236.1</v>
      </c>
      <c r="K294" s="167">
        <v>192.3</v>
      </c>
      <c r="L294" s="165">
        <v>16</v>
      </c>
      <c r="M294" s="163" t="s">
        <v>268</v>
      </c>
      <c r="N294" s="163" t="s">
        <v>269</v>
      </c>
      <c r="O294" s="166" t="s">
        <v>271</v>
      </c>
      <c r="P294" s="167">
        <v>1183504.2499999998</v>
      </c>
      <c r="Q294" s="167">
        <v>0</v>
      </c>
      <c r="R294" s="167">
        <v>0</v>
      </c>
      <c r="S294" s="167">
        <f>P294-Q294-R294</f>
        <v>1183504.2499999998</v>
      </c>
      <c r="T294" s="167">
        <f t="shared" si="77"/>
        <v>4531.0269908116379</v>
      </c>
      <c r="U294" s="167">
        <v>5827.1228315467079</v>
      </c>
      <c r="V294" s="149">
        <f t="shared" si="79"/>
        <v>1296.0958407350699</v>
      </c>
      <c r="W294" s="149">
        <f t="shared" si="85"/>
        <v>5827.1228315467079</v>
      </c>
      <c r="X294" s="149">
        <v>0</v>
      </c>
      <c r="Y294" s="368">
        <v>0</v>
      </c>
      <c r="Z294" s="368">
        <v>0</v>
      </c>
      <c r="AA294" s="368">
        <v>0</v>
      </c>
      <c r="AB294" s="368">
        <v>0</v>
      </c>
      <c r="AC294" s="368">
        <v>0</v>
      </c>
      <c r="AD294" s="368">
        <v>0</v>
      </c>
      <c r="AE294" s="368">
        <v>243.96</v>
      </c>
      <c r="AF294" s="396">
        <f t="shared" si="86"/>
        <v>5827.1228315467079</v>
      </c>
      <c r="AG294" s="368">
        <v>0</v>
      </c>
      <c r="AH294" s="396">
        <v>0</v>
      </c>
      <c r="AI294" s="368">
        <v>0</v>
      </c>
      <c r="AJ294" s="396">
        <v>0</v>
      </c>
      <c r="AK294" s="368">
        <v>0</v>
      </c>
      <c r="AL294" s="368">
        <v>0</v>
      </c>
      <c r="AM294" s="368">
        <v>0</v>
      </c>
      <c r="AN294" s="368"/>
      <c r="AO294" s="368">
        <v>0</v>
      </c>
    </row>
    <row r="295" spans="1:41" s="152" customFormat="1" ht="36" customHeight="1" x14ac:dyDescent="0.9">
      <c r="B295" s="382" t="s">
        <v>833</v>
      </c>
      <c r="C295" s="382"/>
      <c r="D295" s="384" t="s">
        <v>903</v>
      </c>
      <c r="E295" s="163" t="s">
        <v>903</v>
      </c>
      <c r="F295" s="384" t="s">
        <v>903</v>
      </c>
      <c r="G295" s="384" t="s">
        <v>903</v>
      </c>
      <c r="H295" s="163" t="s">
        <v>903</v>
      </c>
      <c r="I295" s="386">
        <f>SUM(I296:I300)</f>
        <v>4271.2</v>
      </c>
      <c r="J295" s="164">
        <f>SUM(J296:J300)</f>
        <v>3882.2</v>
      </c>
      <c r="K295" s="164">
        <f>SUM(K296:K300)</f>
        <v>3661.5999999999995</v>
      </c>
      <c r="L295" s="165">
        <f>SUM(L296:L300)</f>
        <v>161</v>
      </c>
      <c r="M295" s="163" t="s">
        <v>903</v>
      </c>
      <c r="N295" s="163" t="s">
        <v>903</v>
      </c>
      <c r="O295" s="166" t="s">
        <v>903</v>
      </c>
      <c r="P295" s="387">
        <v>12655548.699999999</v>
      </c>
      <c r="Q295" s="167">
        <f>SUM(Q296:Q300)</f>
        <v>0</v>
      </c>
      <c r="R295" s="167">
        <f>SUM(R296:R300)</f>
        <v>0</v>
      </c>
      <c r="S295" s="167">
        <f>SUM(S296:S300)</f>
        <v>12655548.699999999</v>
      </c>
      <c r="T295" s="387">
        <f t="shared" si="77"/>
        <v>2962.9960432665293</v>
      </c>
      <c r="U295" s="387">
        <f>MAX(U296:U300)</f>
        <v>7158.3378593542693</v>
      </c>
      <c r="V295" s="149">
        <f t="shared" si="79"/>
        <v>4195.34181608774</v>
      </c>
      <c r="W295" s="149"/>
      <c r="X295" s="149"/>
      <c r="Y295" s="368"/>
      <c r="Z295" s="368"/>
      <c r="AA295" s="368"/>
      <c r="AB295" s="368"/>
      <c r="AC295" s="368"/>
      <c r="AD295" s="368"/>
      <c r="AE295" s="368"/>
      <c r="AF295" s="368"/>
      <c r="AG295" s="368"/>
      <c r="AH295" s="368"/>
      <c r="AI295" s="368"/>
      <c r="AJ295" s="368"/>
      <c r="AK295" s="368"/>
      <c r="AL295" s="368"/>
      <c r="AM295" s="368"/>
      <c r="AN295" s="368"/>
      <c r="AO295" s="368"/>
    </row>
    <row r="296" spans="1:41" s="152" customFormat="1" ht="36" customHeight="1" x14ac:dyDescent="0.9">
      <c r="A296" s="152">
        <v>1</v>
      </c>
      <c r="B296" s="90">
        <f>SUBTOTAL(103,$A$16:A296)</f>
        <v>270</v>
      </c>
      <c r="C296" s="89" t="s">
        <v>701</v>
      </c>
      <c r="D296" s="163">
        <v>1968</v>
      </c>
      <c r="E296" s="163">
        <v>2010</v>
      </c>
      <c r="F296" s="168" t="s">
        <v>270</v>
      </c>
      <c r="G296" s="163">
        <v>2</v>
      </c>
      <c r="H296" s="163">
        <v>2</v>
      </c>
      <c r="I296" s="167">
        <v>794.9</v>
      </c>
      <c r="J296" s="167">
        <v>734.9</v>
      </c>
      <c r="K296" s="167">
        <v>734.9</v>
      </c>
      <c r="L296" s="165">
        <v>21</v>
      </c>
      <c r="M296" s="163" t="s">
        <v>268</v>
      </c>
      <c r="N296" s="163" t="s">
        <v>345</v>
      </c>
      <c r="O296" s="166" t="s">
        <v>727</v>
      </c>
      <c r="P296" s="167">
        <v>3534439.81</v>
      </c>
      <c r="Q296" s="167">
        <v>0</v>
      </c>
      <c r="R296" s="167">
        <v>0</v>
      </c>
      <c r="S296" s="167">
        <f>P296-Q296-R296</f>
        <v>3534439.81</v>
      </c>
      <c r="T296" s="167">
        <f t="shared" si="77"/>
        <v>4446.3955340294378</v>
      </c>
      <c r="U296" s="167">
        <v>5683.4387092716061</v>
      </c>
      <c r="V296" s="149">
        <f t="shared" si="79"/>
        <v>1237.0431752421682</v>
      </c>
      <c r="W296" s="149">
        <f t="shared" ref="W296:W300" si="87">X296+Y296+Z296+AA296+AB296+AD296+AF296+AH296+AJ296+AL296+AN296+AO296</f>
        <v>5683.4387092716061</v>
      </c>
      <c r="X296" s="149">
        <v>0</v>
      </c>
      <c r="Y296" s="368">
        <v>0</v>
      </c>
      <c r="Z296" s="368">
        <v>0</v>
      </c>
      <c r="AA296" s="368">
        <v>0</v>
      </c>
      <c r="AB296" s="368">
        <v>0</v>
      </c>
      <c r="AC296" s="368">
        <v>0</v>
      </c>
      <c r="AD296" s="368">
        <v>0</v>
      </c>
      <c r="AE296" s="368">
        <v>0</v>
      </c>
      <c r="AF296" s="396">
        <v>0</v>
      </c>
      <c r="AG296" s="368">
        <v>0</v>
      </c>
      <c r="AH296" s="396">
        <v>0</v>
      </c>
      <c r="AI296" s="368">
        <v>607.29999999999995</v>
      </c>
      <c r="AJ296" s="397">
        <f t="shared" ref="AJ296:AJ298" si="88">7439.1*AI296/I296</f>
        <v>5683.4387092716061</v>
      </c>
      <c r="AK296" s="368">
        <v>0</v>
      </c>
      <c r="AL296" s="368">
        <v>0</v>
      </c>
      <c r="AM296" s="368">
        <v>0</v>
      </c>
      <c r="AN296" s="368"/>
      <c r="AO296" s="368">
        <v>0</v>
      </c>
    </row>
    <row r="297" spans="1:41" s="152" customFormat="1" ht="36" customHeight="1" x14ac:dyDescent="0.9">
      <c r="A297" s="152">
        <v>1</v>
      </c>
      <c r="B297" s="90">
        <f>SUBTOTAL(103,$A$16:A297)</f>
        <v>271</v>
      </c>
      <c r="C297" s="89" t="s">
        <v>1217</v>
      </c>
      <c r="D297" s="163">
        <v>1962</v>
      </c>
      <c r="E297" s="163"/>
      <c r="F297" s="168" t="s">
        <v>270</v>
      </c>
      <c r="G297" s="163">
        <v>2</v>
      </c>
      <c r="H297" s="163">
        <v>2</v>
      </c>
      <c r="I297" s="167">
        <v>722.8</v>
      </c>
      <c r="J297" s="167">
        <v>668.8</v>
      </c>
      <c r="K297" s="167">
        <v>668.8</v>
      </c>
      <c r="L297" s="165">
        <v>29</v>
      </c>
      <c r="M297" s="163" t="s">
        <v>268</v>
      </c>
      <c r="N297" s="163" t="s">
        <v>345</v>
      </c>
      <c r="O297" s="166" t="s">
        <v>736</v>
      </c>
      <c r="P297" s="167">
        <v>2525425.0499999998</v>
      </c>
      <c r="Q297" s="167">
        <v>0</v>
      </c>
      <c r="R297" s="167">
        <v>0</v>
      </c>
      <c r="S297" s="167">
        <f>P297-Q297-R297</f>
        <v>2525425.0499999998</v>
      </c>
      <c r="T297" s="167">
        <f t="shared" si="77"/>
        <v>3493.9472191477585</v>
      </c>
      <c r="U297" s="167">
        <v>6661.020365246266</v>
      </c>
      <c r="V297" s="149">
        <f t="shared" si="79"/>
        <v>3167.0731460985076</v>
      </c>
      <c r="W297" s="149">
        <f t="shared" si="87"/>
        <v>6661.020365246266</v>
      </c>
      <c r="X297" s="149">
        <v>0</v>
      </c>
      <c r="Y297" s="368">
        <v>0</v>
      </c>
      <c r="Z297" s="368">
        <v>0</v>
      </c>
      <c r="AA297" s="368">
        <v>0</v>
      </c>
      <c r="AB297" s="368">
        <v>0</v>
      </c>
      <c r="AC297" s="368">
        <v>0</v>
      </c>
      <c r="AD297" s="368">
        <v>0</v>
      </c>
      <c r="AE297" s="368">
        <v>0</v>
      </c>
      <c r="AF297" s="396">
        <v>0</v>
      </c>
      <c r="AG297" s="368">
        <v>0</v>
      </c>
      <c r="AH297" s="396">
        <v>0</v>
      </c>
      <c r="AI297" s="368">
        <v>647.20000000000005</v>
      </c>
      <c r="AJ297" s="397">
        <f t="shared" si="88"/>
        <v>6661.020365246266</v>
      </c>
      <c r="AK297" s="368">
        <v>0</v>
      </c>
      <c r="AL297" s="368">
        <v>0</v>
      </c>
      <c r="AM297" s="368">
        <v>0</v>
      </c>
      <c r="AN297" s="368"/>
      <c r="AO297" s="368">
        <v>0</v>
      </c>
    </row>
    <row r="298" spans="1:41" s="152" customFormat="1" ht="36" customHeight="1" x14ac:dyDescent="0.9">
      <c r="A298" s="152">
        <v>1</v>
      </c>
      <c r="B298" s="90">
        <f>SUBTOTAL(103,$A$16:A298)</f>
        <v>272</v>
      </c>
      <c r="C298" s="89" t="s">
        <v>1218</v>
      </c>
      <c r="D298" s="163">
        <v>1961</v>
      </c>
      <c r="E298" s="163"/>
      <c r="F298" s="168" t="s">
        <v>270</v>
      </c>
      <c r="G298" s="163">
        <v>2</v>
      </c>
      <c r="H298" s="163">
        <v>1</v>
      </c>
      <c r="I298" s="167">
        <v>678.3</v>
      </c>
      <c r="J298" s="167">
        <v>561.4</v>
      </c>
      <c r="K298" s="167">
        <v>388.6</v>
      </c>
      <c r="L298" s="165">
        <v>26</v>
      </c>
      <c r="M298" s="163" t="s">
        <v>268</v>
      </c>
      <c r="N298" s="163" t="s">
        <v>345</v>
      </c>
      <c r="O298" s="166" t="s">
        <v>736</v>
      </c>
      <c r="P298" s="167">
        <v>2546472.3800000004</v>
      </c>
      <c r="Q298" s="167">
        <v>0</v>
      </c>
      <c r="R298" s="167">
        <v>0</v>
      </c>
      <c r="S298" s="167">
        <f>P298-Q298-R298</f>
        <v>2546472.3800000004</v>
      </c>
      <c r="T298" s="167">
        <f t="shared" si="77"/>
        <v>3754.1978180745991</v>
      </c>
      <c r="U298" s="167">
        <v>7158.3378593542693</v>
      </c>
      <c r="V298" s="149">
        <f t="shared" si="79"/>
        <v>3404.1400412796702</v>
      </c>
      <c r="W298" s="149">
        <f t="shared" si="87"/>
        <v>7158.3378593542693</v>
      </c>
      <c r="X298" s="149">
        <v>0</v>
      </c>
      <c r="Y298" s="368">
        <v>0</v>
      </c>
      <c r="Z298" s="368">
        <v>0</v>
      </c>
      <c r="AA298" s="368">
        <v>0</v>
      </c>
      <c r="AB298" s="368">
        <v>0</v>
      </c>
      <c r="AC298" s="368">
        <v>0</v>
      </c>
      <c r="AD298" s="368">
        <v>0</v>
      </c>
      <c r="AE298" s="368">
        <v>0</v>
      </c>
      <c r="AF298" s="396">
        <v>0</v>
      </c>
      <c r="AG298" s="368">
        <v>0</v>
      </c>
      <c r="AH298" s="396">
        <v>0</v>
      </c>
      <c r="AI298" s="368">
        <v>652.70000000000005</v>
      </c>
      <c r="AJ298" s="397">
        <f t="shared" si="88"/>
        <v>7158.3378593542693</v>
      </c>
      <c r="AK298" s="368">
        <v>0</v>
      </c>
      <c r="AL298" s="368">
        <v>0</v>
      </c>
      <c r="AM298" s="368">
        <v>0</v>
      </c>
      <c r="AN298" s="368"/>
      <c r="AO298" s="368">
        <v>0</v>
      </c>
    </row>
    <row r="299" spans="1:41" s="152" customFormat="1" ht="36" customHeight="1" x14ac:dyDescent="0.9">
      <c r="A299" s="152">
        <v>1</v>
      </c>
      <c r="B299" s="90">
        <f>SUBTOTAL(103,$A$16:A299)</f>
        <v>273</v>
      </c>
      <c r="C299" s="89" t="s">
        <v>1219</v>
      </c>
      <c r="D299" s="163">
        <v>1975</v>
      </c>
      <c r="E299" s="163"/>
      <c r="F299" s="168" t="s">
        <v>270</v>
      </c>
      <c r="G299" s="163">
        <v>2</v>
      </c>
      <c r="H299" s="163">
        <v>2</v>
      </c>
      <c r="I299" s="167">
        <v>984.2</v>
      </c>
      <c r="J299" s="167">
        <v>894.4</v>
      </c>
      <c r="K299" s="167">
        <v>846.6</v>
      </c>
      <c r="L299" s="165">
        <v>46</v>
      </c>
      <c r="M299" s="163" t="s">
        <v>268</v>
      </c>
      <c r="N299" s="163" t="s">
        <v>345</v>
      </c>
      <c r="O299" s="166" t="s">
        <v>736</v>
      </c>
      <c r="P299" s="167">
        <v>1391927.85</v>
      </c>
      <c r="Q299" s="167">
        <v>0</v>
      </c>
      <c r="R299" s="167">
        <v>0</v>
      </c>
      <c r="S299" s="167">
        <f>P299-Q299-R299</f>
        <v>1391927.85</v>
      </c>
      <c r="T299" s="167">
        <f t="shared" si="77"/>
        <v>1414.2733692338957</v>
      </c>
      <c r="U299" s="167">
        <v>3546.19</v>
      </c>
      <c r="V299" s="149">
        <f t="shared" si="79"/>
        <v>2131.9166307661044</v>
      </c>
      <c r="W299" s="149">
        <f t="shared" si="87"/>
        <v>3546.19</v>
      </c>
      <c r="X299" s="149">
        <v>101.55</v>
      </c>
      <c r="Y299" s="368">
        <v>0</v>
      </c>
      <c r="Z299" s="368">
        <v>3259.66</v>
      </c>
      <c r="AA299" s="368">
        <v>184.98</v>
      </c>
      <c r="AB299" s="368">
        <v>0</v>
      </c>
      <c r="AC299" s="368">
        <v>0</v>
      </c>
      <c r="AD299" s="368">
        <v>0</v>
      </c>
      <c r="AE299" s="368">
        <v>0</v>
      </c>
      <c r="AF299" s="396">
        <v>0</v>
      </c>
      <c r="AG299" s="368">
        <v>0</v>
      </c>
      <c r="AH299" s="396">
        <v>0</v>
      </c>
      <c r="AI299" s="368">
        <v>0</v>
      </c>
      <c r="AJ299" s="396">
        <v>0</v>
      </c>
      <c r="AK299" s="368">
        <v>0</v>
      </c>
      <c r="AL299" s="368">
        <v>0</v>
      </c>
      <c r="AM299" s="368">
        <v>0</v>
      </c>
      <c r="AN299" s="368"/>
      <c r="AO299" s="368">
        <v>0</v>
      </c>
    </row>
    <row r="300" spans="1:41" s="152" customFormat="1" ht="36" customHeight="1" x14ac:dyDescent="0.9">
      <c r="A300" s="152">
        <v>1</v>
      </c>
      <c r="B300" s="90">
        <f>SUBTOTAL(103,$A$16:A300)</f>
        <v>274</v>
      </c>
      <c r="C300" s="89" t="s">
        <v>1220</v>
      </c>
      <c r="D300" s="163">
        <v>1992</v>
      </c>
      <c r="E300" s="163"/>
      <c r="F300" s="168" t="s">
        <v>270</v>
      </c>
      <c r="G300" s="163">
        <v>3</v>
      </c>
      <c r="H300" s="163">
        <v>2</v>
      </c>
      <c r="I300" s="167">
        <v>1091</v>
      </c>
      <c r="J300" s="167">
        <v>1022.7</v>
      </c>
      <c r="K300" s="167">
        <v>1022.7</v>
      </c>
      <c r="L300" s="165">
        <v>39</v>
      </c>
      <c r="M300" s="163" t="s">
        <v>268</v>
      </c>
      <c r="N300" s="163" t="s">
        <v>272</v>
      </c>
      <c r="O300" s="166" t="s">
        <v>1352</v>
      </c>
      <c r="P300" s="167">
        <v>2657283.6100000003</v>
      </c>
      <c r="Q300" s="167">
        <v>0</v>
      </c>
      <c r="R300" s="167">
        <v>0</v>
      </c>
      <c r="S300" s="167">
        <f>P300-Q300-R300</f>
        <v>2657283.6100000003</v>
      </c>
      <c r="T300" s="167">
        <f t="shared" si="77"/>
        <v>2435.6403391384056</v>
      </c>
      <c r="U300" s="167">
        <v>2758.6738295142077</v>
      </c>
      <c r="V300" s="149">
        <f t="shared" si="79"/>
        <v>323.0334903758021</v>
      </c>
      <c r="W300" s="149">
        <f t="shared" si="87"/>
        <v>2758.6738295142077</v>
      </c>
      <c r="X300" s="149">
        <v>0</v>
      </c>
      <c r="Y300" s="368">
        <v>0</v>
      </c>
      <c r="Z300" s="368">
        <v>0</v>
      </c>
      <c r="AA300" s="368">
        <v>0</v>
      </c>
      <c r="AB300" s="368">
        <v>0</v>
      </c>
      <c r="AC300" s="368">
        <v>0</v>
      </c>
      <c r="AD300" s="368">
        <v>0</v>
      </c>
      <c r="AE300" s="368">
        <v>0</v>
      </c>
      <c r="AF300" s="396">
        <v>0</v>
      </c>
      <c r="AG300" s="368">
        <v>339.3</v>
      </c>
      <c r="AH300" s="396">
        <f>8870.36*AG300/I300</f>
        <v>2758.6738295142077</v>
      </c>
      <c r="AI300" s="368">
        <v>0</v>
      </c>
      <c r="AJ300" s="396">
        <v>0</v>
      </c>
      <c r="AK300" s="368">
        <v>0</v>
      </c>
      <c r="AL300" s="368">
        <v>0</v>
      </c>
      <c r="AM300" s="368">
        <v>0</v>
      </c>
      <c r="AN300" s="368"/>
      <c r="AO300" s="368">
        <v>0</v>
      </c>
    </row>
    <row r="301" spans="1:41" s="152" customFormat="1" ht="36" customHeight="1" x14ac:dyDescent="0.9">
      <c r="B301" s="382" t="s">
        <v>834</v>
      </c>
      <c r="C301" s="382"/>
      <c r="D301" s="384" t="s">
        <v>903</v>
      </c>
      <c r="E301" s="163" t="s">
        <v>903</v>
      </c>
      <c r="F301" s="384" t="s">
        <v>903</v>
      </c>
      <c r="G301" s="384" t="s">
        <v>903</v>
      </c>
      <c r="H301" s="163" t="s">
        <v>903</v>
      </c>
      <c r="I301" s="386">
        <f>SUM(I302:I306)</f>
        <v>2996.9</v>
      </c>
      <c r="J301" s="164">
        <f>SUM(J302:J306)</f>
        <v>2371.2000000000003</v>
      </c>
      <c r="K301" s="164">
        <f>SUM(K302:K306)</f>
        <v>1491.3</v>
      </c>
      <c r="L301" s="165">
        <f>SUM(L302:L306)</f>
        <v>130</v>
      </c>
      <c r="M301" s="163" t="s">
        <v>903</v>
      </c>
      <c r="N301" s="163" t="s">
        <v>903</v>
      </c>
      <c r="O301" s="166" t="s">
        <v>903</v>
      </c>
      <c r="P301" s="387">
        <v>4997517.37</v>
      </c>
      <c r="Q301" s="167">
        <f>SUM(Q302:Q306)</f>
        <v>0</v>
      </c>
      <c r="R301" s="167">
        <f>SUM(R302:R306)</f>
        <v>0</v>
      </c>
      <c r="S301" s="167">
        <f>SUM(S302:S306)</f>
        <v>4997517.37</v>
      </c>
      <c r="T301" s="387">
        <f t="shared" si="77"/>
        <v>1667.5622710133805</v>
      </c>
      <c r="U301" s="387">
        <f>MAX(U302:U306)</f>
        <v>5418.2211677852347</v>
      </c>
      <c r="V301" s="149">
        <f t="shared" si="79"/>
        <v>3750.6588967718544</v>
      </c>
      <c r="W301" s="149"/>
      <c r="X301" s="149"/>
      <c r="Y301" s="368"/>
      <c r="Z301" s="368"/>
      <c r="AA301" s="368"/>
      <c r="AB301" s="368"/>
      <c r="AC301" s="368"/>
      <c r="AD301" s="368"/>
      <c r="AE301" s="368"/>
      <c r="AF301" s="368"/>
      <c r="AG301" s="368"/>
      <c r="AH301" s="368"/>
      <c r="AI301" s="368"/>
      <c r="AJ301" s="368"/>
      <c r="AK301" s="368"/>
      <c r="AL301" s="368"/>
      <c r="AM301" s="368"/>
      <c r="AN301" s="368"/>
      <c r="AO301" s="368"/>
    </row>
    <row r="302" spans="1:41" s="152" customFormat="1" ht="36" customHeight="1" x14ac:dyDescent="0.9">
      <c r="A302" s="152">
        <v>1</v>
      </c>
      <c r="B302" s="90">
        <f>SUBTOTAL(103,$A$16:A302)</f>
        <v>275</v>
      </c>
      <c r="C302" s="89" t="s">
        <v>702</v>
      </c>
      <c r="D302" s="163">
        <v>1962</v>
      </c>
      <c r="E302" s="163"/>
      <c r="F302" s="168" t="s">
        <v>270</v>
      </c>
      <c r="G302" s="163">
        <v>2</v>
      </c>
      <c r="H302" s="163">
        <v>2</v>
      </c>
      <c r="I302" s="167">
        <v>745</v>
      </c>
      <c r="J302" s="167">
        <v>657.6</v>
      </c>
      <c r="K302" s="167">
        <v>41.5</v>
      </c>
      <c r="L302" s="165">
        <v>48</v>
      </c>
      <c r="M302" s="163" t="s">
        <v>268</v>
      </c>
      <c r="N302" s="163" t="s">
        <v>269</v>
      </c>
      <c r="O302" s="166" t="s">
        <v>271</v>
      </c>
      <c r="P302" s="167">
        <v>3482931.04</v>
      </c>
      <c r="Q302" s="167">
        <v>0</v>
      </c>
      <c r="R302" s="167">
        <v>0</v>
      </c>
      <c r="S302" s="167">
        <f>P302-Q302-R302</f>
        <v>3482931.04</v>
      </c>
      <c r="T302" s="167">
        <f t="shared" si="77"/>
        <v>4675.0752214765098</v>
      </c>
      <c r="U302" s="167">
        <v>5418.2211677852347</v>
      </c>
      <c r="V302" s="149">
        <f t="shared" si="79"/>
        <v>743.14594630872489</v>
      </c>
      <c r="W302" s="149">
        <f t="shared" ref="W302:W306" si="89">X302+Y302+Z302+AA302+AB302+AD302+AF302+AH302+AJ302+AL302+AN302+AO302</f>
        <v>5418.2211677852347</v>
      </c>
      <c r="X302" s="149">
        <v>0</v>
      </c>
      <c r="Y302" s="368">
        <v>0</v>
      </c>
      <c r="Z302" s="368">
        <v>0</v>
      </c>
      <c r="AA302" s="368">
        <v>0</v>
      </c>
      <c r="AB302" s="368">
        <v>0</v>
      </c>
      <c r="AC302" s="368">
        <v>0</v>
      </c>
      <c r="AD302" s="368">
        <v>0</v>
      </c>
      <c r="AE302" s="368">
        <v>647</v>
      </c>
      <c r="AF302" s="396">
        <f>6238.91*AE302/I302</f>
        <v>5418.2211677852347</v>
      </c>
      <c r="AG302" s="368">
        <v>0</v>
      </c>
      <c r="AH302" s="396">
        <v>0</v>
      </c>
      <c r="AI302" s="368">
        <v>0</v>
      </c>
      <c r="AJ302" s="396">
        <v>0</v>
      </c>
      <c r="AK302" s="368">
        <v>0</v>
      </c>
      <c r="AL302" s="368">
        <v>0</v>
      </c>
      <c r="AM302" s="368">
        <v>0</v>
      </c>
      <c r="AN302" s="368"/>
      <c r="AO302" s="368">
        <v>0</v>
      </c>
    </row>
    <row r="303" spans="1:41" s="152" customFormat="1" ht="36" customHeight="1" x14ac:dyDescent="0.9">
      <c r="A303" s="152">
        <v>1</v>
      </c>
      <c r="B303" s="90">
        <f>SUBTOTAL(103,$A$16:A303)</f>
        <v>276</v>
      </c>
      <c r="C303" s="89" t="s">
        <v>694</v>
      </c>
      <c r="D303" s="163">
        <v>1938</v>
      </c>
      <c r="E303" s="163"/>
      <c r="F303" s="168" t="s">
        <v>334</v>
      </c>
      <c r="G303" s="163">
        <v>2</v>
      </c>
      <c r="H303" s="163">
        <v>1</v>
      </c>
      <c r="I303" s="167">
        <v>244.9</v>
      </c>
      <c r="J303" s="167">
        <v>223.9</v>
      </c>
      <c r="K303" s="167">
        <v>210.8</v>
      </c>
      <c r="L303" s="165">
        <v>15</v>
      </c>
      <c r="M303" s="163" t="s">
        <v>268</v>
      </c>
      <c r="N303" s="163" t="s">
        <v>269</v>
      </c>
      <c r="O303" s="166" t="s">
        <v>271</v>
      </c>
      <c r="P303" s="167">
        <v>144953.01</v>
      </c>
      <c r="Q303" s="167">
        <v>0</v>
      </c>
      <c r="R303" s="167">
        <v>0</v>
      </c>
      <c r="S303" s="167">
        <f>P303-Q303-R303</f>
        <v>144953.01</v>
      </c>
      <c r="T303" s="167">
        <f t="shared" si="77"/>
        <v>591.88652511229077</v>
      </c>
      <c r="U303" s="167">
        <v>795.31</v>
      </c>
      <c r="V303" s="149">
        <f t="shared" si="79"/>
        <v>203.42347488770918</v>
      </c>
      <c r="W303" s="149">
        <f t="shared" si="89"/>
        <v>795.31</v>
      </c>
      <c r="X303" s="149">
        <v>0</v>
      </c>
      <c r="Y303" s="368">
        <v>0</v>
      </c>
      <c r="Z303" s="368">
        <v>0</v>
      </c>
      <c r="AA303" s="368">
        <v>0</v>
      </c>
      <c r="AB303" s="368">
        <v>795.31</v>
      </c>
      <c r="AC303" s="368">
        <v>0</v>
      </c>
      <c r="AD303" s="368">
        <v>0</v>
      </c>
      <c r="AE303" s="368">
        <v>0</v>
      </c>
      <c r="AF303" s="396">
        <v>0</v>
      </c>
      <c r="AG303" s="368">
        <v>0</v>
      </c>
      <c r="AH303" s="396">
        <v>0</v>
      </c>
      <c r="AI303" s="368">
        <v>0</v>
      </c>
      <c r="AJ303" s="396">
        <v>0</v>
      </c>
      <c r="AK303" s="368">
        <v>0</v>
      </c>
      <c r="AL303" s="368">
        <v>0</v>
      </c>
      <c r="AM303" s="368">
        <v>0</v>
      </c>
      <c r="AN303" s="368"/>
      <c r="AO303" s="368">
        <v>0</v>
      </c>
    </row>
    <row r="304" spans="1:41" s="152" customFormat="1" ht="36" customHeight="1" x14ac:dyDescent="0.9">
      <c r="A304" s="152">
        <v>1</v>
      </c>
      <c r="B304" s="90">
        <f>SUBTOTAL(103,$A$16:A304)</f>
        <v>277</v>
      </c>
      <c r="C304" s="89" t="s">
        <v>693</v>
      </c>
      <c r="D304" s="163">
        <v>1959</v>
      </c>
      <c r="E304" s="163"/>
      <c r="F304" s="168" t="s">
        <v>270</v>
      </c>
      <c r="G304" s="163">
        <v>3</v>
      </c>
      <c r="H304" s="163">
        <v>1</v>
      </c>
      <c r="I304" s="167">
        <v>989.5</v>
      </c>
      <c r="J304" s="167">
        <v>493.8</v>
      </c>
      <c r="K304" s="167">
        <v>332</v>
      </c>
      <c r="L304" s="165">
        <v>35</v>
      </c>
      <c r="M304" s="163" t="s">
        <v>268</v>
      </c>
      <c r="N304" s="163" t="s">
        <v>269</v>
      </c>
      <c r="O304" s="166" t="s">
        <v>271</v>
      </c>
      <c r="P304" s="167">
        <v>700445.75999999989</v>
      </c>
      <c r="Q304" s="167">
        <v>0</v>
      </c>
      <c r="R304" s="167">
        <v>0</v>
      </c>
      <c r="S304" s="167">
        <f>P304-Q304-R304</f>
        <v>700445.75999999989</v>
      </c>
      <c r="T304" s="167">
        <f t="shared" si="77"/>
        <v>707.87848408287005</v>
      </c>
      <c r="U304" s="167">
        <v>795.31</v>
      </c>
      <c r="V304" s="149">
        <f t="shared" si="79"/>
        <v>87.4315159171299</v>
      </c>
      <c r="W304" s="149">
        <f t="shared" si="89"/>
        <v>795.31</v>
      </c>
      <c r="X304" s="149">
        <v>0</v>
      </c>
      <c r="Y304" s="368">
        <v>0</v>
      </c>
      <c r="Z304" s="368">
        <v>0</v>
      </c>
      <c r="AA304" s="368">
        <v>0</v>
      </c>
      <c r="AB304" s="368">
        <v>795.31</v>
      </c>
      <c r="AC304" s="368">
        <v>0</v>
      </c>
      <c r="AD304" s="368">
        <v>0</v>
      </c>
      <c r="AE304" s="368">
        <v>0</v>
      </c>
      <c r="AF304" s="396">
        <v>0</v>
      </c>
      <c r="AG304" s="368">
        <v>0</v>
      </c>
      <c r="AH304" s="396">
        <v>0</v>
      </c>
      <c r="AI304" s="368">
        <v>0</v>
      </c>
      <c r="AJ304" s="396">
        <v>0</v>
      </c>
      <c r="AK304" s="368">
        <v>0</v>
      </c>
      <c r="AL304" s="368">
        <v>0</v>
      </c>
      <c r="AM304" s="368">
        <v>0</v>
      </c>
      <c r="AN304" s="368"/>
      <c r="AO304" s="368">
        <v>0</v>
      </c>
    </row>
    <row r="305" spans="1:41" s="152" customFormat="1" ht="36" customHeight="1" x14ac:dyDescent="0.9">
      <c r="A305" s="152">
        <v>1</v>
      </c>
      <c r="B305" s="90">
        <f>SUBTOTAL(103,$A$16:A305)</f>
        <v>278</v>
      </c>
      <c r="C305" s="89" t="s">
        <v>1225</v>
      </c>
      <c r="D305" s="163">
        <v>1971</v>
      </c>
      <c r="E305" s="163"/>
      <c r="F305" s="168" t="s">
        <v>270</v>
      </c>
      <c r="G305" s="163">
        <v>2</v>
      </c>
      <c r="H305" s="163">
        <v>2</v>
      </c>
      <c r="I305" s="167">
        <v>719</v>
      </c>
      <c r="J305" s="167">
        <v>719</v>
      </c>
      <c r="K305" s="167">
        <v>668.2</v>
      </c>
      <c r="L305" s="165">
        <v>21</v>
      </c>
      <c r="M305" s="163" t="s">
        <v>268</v>
      </c>
      <c r="N305" s="163" t="s">
        <v>272</v>
      </c>
      <c r="O305" s="166" t="s">
        <v>1351</v>
      </c>
      <c r="P305" s="167">
        <v>457734.2</v>
      </c>
      <c r="Q305" s="167">
        <v>0</v>
      </c>
      <c r="R305" s="167">
        <v>0</v>
      </c>
      <c r="S305" s="167">
        <f>P305-Q305-R305</f>
        <v>457734.2</v>
      </c>
      <c r="T305" s="167">
        <f t="shared" si="77"/>
        <v>636.6261474269819</v>
      </c>
      <c r="U305" s="167">
        <v>636.6261474269819</v>
      </c>
      <c r="V305" s="149">
        <f t="shared" si="79"/>
        <v>0</v>
      </c>
      <c r="W305" s="149">
        <f>T305</f>
        <v>636.6261474269819</v>
      </c>
      <c r="X305" s="149">
        <v>113.09</v>
      </c>
      <c r="Y305" s="368">
        <v>0</v>
      </c>
      <c r="Z305" s="368">
        <v>0</v>
      </c>
      <c r="AA305" s="368">
        <v>184.98</v>
      </c>
      <c r="AB305" s="368">
        <v>0</v>
      </c>
      <c r="AC305" s="368">
        <v>0</v>
      </c>
      <c r="AD305" s="368">
        <v>0</v>
      </c>
      <c r="AE305" s="368">
        <v>0</v>
      </c>
      <c r="AF305" s="396">
        <v>0</v>
      </c>
      <c r="AG305" s="368">
        <v>0</v>
      </c>
      <c r="AH305" s="396">
        <v>0</v>
      </c>
      <c r="AI305" s="368">
        <v>0</v>
      </c>
      <c r="AJ305" s="396">
        <v>0</v>
      </c>
      <c r="AK305" s="368">
        <v>0</v>
      </c>
      <c r="AL305" s="368">
        <v>0</v>
      </c>
      <c r="AM305" s="368">
        <v>0</v>
      </c>
      <c r="AN305" s="368"/>
      <c r="AO305" s="368">
        <v>0</v>
      </c>
    </row>
    <row r="306" spans="1:41" s="152" customFormat="1" ht="36" customHeight="1" x14ac:dyDescent="0.9">
      <c r="A306" s="152">
        <v>1</v>
      </c>
      <c r="B306" s="90">
        <f>SUBTOTAL(103,$A$16:A306)</f>
        <v>279</v>
      </c>
      <c r="C306" s="89" t="s">
        <v>1226</v>
      </c>
      <c r="D306" s="163" t="s">
        <v>372</v>
      </c>
      <c r="E306" s="163"/>
      <c r="F306" s="168" t="s">
        <v>270</v>
      </c>
      <c r="G306" s="163">
        <v>2</v>
      </c>
      <c r="H306" s="163">
        <v>1</v>
      </c>
      <c r="I306" s="167">
        <v>298.5</v>
      </c>
      <c r="J306" s="167">
        <v>276.89999999999998</v>
      </c>
      <c r="K306" s="167">
        <v>238.8</v>
      </c>
      <c r="L306" s="165">
        <v>11</v>
      </c>
      <c r="M306" s="163" t="s">
        <v>268</v>
      </c>
      <c r="N306" s="163" t="s">
        <v>272</v>
      </c>
      <c r="O306" s="166" t="s">
        <v>1012</v>
      </c>
      <c r="P306" s="167">
        <v>211453.36</v>
      </c>
      <c r="Q306" s="167">
        <v>0</v>
      </c>
      <c r="R306" s="167">
        <v>0</v>
      </c>
      <c r="S306" s="167">
        <f>P306-Q306-R306</f>
        <v>211453.36</v>
      </c>
      <c r="T306" s="167">
        <f t="shared" si="77"/>
        <v>708.38646566164152</v>
      </c>
      <c r="U306" s="167">
        <v>980.29</v>
      </c>
      <c r="V306" s="149">
        <f t="shared" si="79"/>
        <v>271.90353433835844</v>
      </c>
      <c r="W306" s="149">
        <f t="shared" si="89"/>
        <v>980.29</v>
      </c>
      <c r="X306" s="149">
        <v>0</v>
      </c>
      <c r="Y306" s="368">
        <v>0</v>
      </c>
      <c r="Z306" s="368">
        <v>0</v>
      </c>
      <c r="AA306" s="368">
        <v>184.98</v>
      </c>
      <c r="AB306" s="368">
        <v>795.31</v>
      </c>
      <c r="AC306" s="368">
        <v>0</v>
      </c>
      <c r="AD306" s="368">
        <v>0</v>
      </c>
      <c r="AE306" s="368">
        <v>0</v>
      </c>
      <c r="AF306" s="396">
        <v>0</v>
      </c>
      <c r="AG306" s="368">
        <v>0</v>
      </c>
      <c r="AH306" s="396">
        <v>0</v>
      </c>
      <c r="AI306" s="368">
        <v>0</v>
      </c>
      <c r="AJ306" s="396">
        <v>0</v>
      </c>
      <c r="AK306" s="368">
        <v>0</v>
      </c>
      <c r="AL306" s="368">
        <v>0</v>
      </c>
      <c r="AM306" s="368">
        <v>0</v>
      </c>
      <c r="AN306" s="368"/>
      <c r="AO306" s="368">
        <v>0</v>
      </c>
    </row>
    <row r="307" spans="1:41" s="152" customFormat="1" ht="36" customHeight="1" x14ac:dyDescent="0.9">
      <c r="B307" s="382" t="s">
        <v>835</v>
      </c>
      <c r="C307" s="382"/>
      <c r="D307" s="384" t="s">
        <v>903</v>
      </c>
      <c r="E307" s="163" t="s">
        <v>903</v>
      </c>
      <c r="F307" s="384" t="s">
        <v>903</v>
      </c>
      <c r="G307" s="384" t="s">
        <v>903</v>
      </c>
      <c r="H307" s="163" t="s">
        <v>903</v>
      </c>
      <c r="I307" s="386">
        <f>I308</f>
        <v>3504.3</v>
      </c>
      <c r="J307" s="164">
        <f>J308</f>
        <v>3356</v>
      </c>
      <c r="K307" s="164">
        <f>K308</f>
        <v>2316.9</v>
      </c>
      <c r="L307" s="165">
        <f>L308</f>
        <v>153</v>
      </c>
      <c r="M307" s="163" t="s">
        <v>903</v>
      </c>
      <c r="N307" s="163" t="s">
        <v>903</v>
      </c>
      <c r="O307" s="166" t="s">
        <v>903</v>
      </c>
      <c r="P307" s="387">
        <v>1997229.1400000001</v>
      </c>
      <c r="Q307" s="167">
        <f>Q308</f>
        <v>0</v>
      </c>
      <c r="R307" s="167">
        <f>R308</f>
        <v>0</v>
      </c>
      <c r="S307" s="167">
        <f>S308</f>
        <v>1997229.1400000001</v>
      </c>
      <c r="T307" s="387">
        <f t="shared" si="77"/>
        <v>569.93668921039864</v>
      </c>
      <c r="U307" s="387">
        <f>MAX(U308)</f>
        <v>1381.433506349342</v>
      </c>
      <c r="V307" s="149">
        <f t="shared" si="79"/>
        <v>811.49681713894336</v>
      </c>
      <c r="W307" s="149"/>
      <c r="X307" s="149"/>
      <c r="Y307" s="368"/>
      <c r="Z307" s="368"/>
      <c r="AA307" s="368"/>
      <c r="AB307" s="368"/>
      <c r="AC307" s="368"/>
      <c r="AD307" s="368"/>
      <c r="AE307" s="368"/>
      <c r="AF307" s="368"/>
      <c r="AG307" s="368"/>
      <c r="AH307" s="368"/>
      <c r="AI307" s="368"/>
      <c r="AJ307" s="368"/>
      <c r="AK307" s="368"/>
      <c r="AL307" s="368"/>
      <c r="AM307" s="368"/>
      <c r="AN307" s="368"/>
      <c r="AO307" s="368"/>
    </row>
    <row r="308" spans="1:41" s="152" customFormat="1" ht="36" customHeight="1" x14ac:dyDescent="0.9">
      <c r="A308" s="152">
        <v>1</v>
      </c>
      <c r="B308" s="90">
        <f>SUBTOTAL(103,$A$16:A308)</f>
        <v>280</v>
      </c>
      <c r="C308" s="89" t="s">
        <v>691</v>
      </c>
      <c r="D308" s="163">
        <v>1984</v>
      </c>
      <c r="E308" s="163"/>
      <c r="F308" s="168" t="s">
        <v>340</v>
      </c>
      <c r="G308" s="163">
        <v>5</v>
      </c>
      <c r="H308" s="163">
        <v>4</v>
      </c>
      <c r="I308" s="167">
        <v>3504.3</v>
      </c>
      <c r="J308" s="167">
        <v>3356</v>
      </c>
      <c r="K308" s="167">
        <v>2316.9</v>
      </c>
      <c r="L308" s="165">
        <v>153</v>
      </c>
      <c r="M308" s="163" t="s">
        <v>268</v>
      </c>
      <c r="N308" s="163" t="s">
        <v>272</v>
      </c>
      <c r="O308" s="166" t="s">
        <v>1012</v>
      </c>
      <c r="P308" s="167">
        <v>1997229.1400000001</v>
      </c>
      <c r="Q308" s="167">
        <v>0</v>
      </c>
      <c r="R308" s="167">
        <v>0</v>
      </c>
      <c r="S308" s="167">
        <f>P308-Q308-R308</f>
        <v>1997229.1400000001</v>
      </c>
      <c r="T308" s="167">
        <f t="shared" si="77"/>
        <v>569.93668921039864</v>
      </c>
      <c r="U308" s="167">
        <v>1381.433506349342</v>
      </c>
      <c r="V308" s="149">
        <f>U308-T308</f>
        <v>811.49681713894336</v>
      </c>
      <c r="W308" s="149">
        <f>X308+Y308+Z308+AA308+AB308+AD308+AF308+AH308+AJ308+AL308+AN308+AO308</f>
        <v>1381.433506349342</v>
      </c>
      <c r="X308" s="149">
        <v>0</v>
      </c>
      <c r="Y308" s="368">
        <v>0</v>
      </c>
      <c r="Z308" s="368">
        <v>0</v>
      </c>
      <c r="AA308" s="368">
        <v>0</v>
      </c>
      <c r="AB308" s="368">
        <v>0</v>
      </c>
      <c r="AC308" s="368">
        <v>0</v>
      </c>
      <c r="AD308" s="368">
        <v>0</v>
      </c>
      <c r="AE308" s="368">
        <v>775.93</v>
      </c>
      <c r="AF308" s="396">
        <f>6238.91*AE308/I308</f>
        <v>1381.433506349342</v>
      </c>
      <c r="AG308" s="368">
        <v>0</v>
      </c>
      <c r="AH308" s="396">
        <v>0</v>
      </c>
      <c r="AI308" s="368">
        <v>0</v>
      </c>
      <c r="AJ308" s="396">
        <v>0</v>
      </c>
      <c r="AK308" s="368">
        <v>0</v>
      </c>
      <c r="AL308" s="368">
        <v>0</v>
      </c>
      <c r="AM308" s="368">
        <v>0</v>
      </c>
      <c r="AN308" s="368"/>
      <c r="AO308" s="368">
        <v>0</v>
      </c>
    </row>
    <row r="309" spans="1:41" s="152" customFormat="1" ht="36" customHeight="1" x14ac:dyDescent="0.9">
      <c r="B309" s="382" t="s">
        <v>836</v>
      </c>
      <c r="C309" s="382"/>
      <c r="D309" s="384" t="s">
        <v>903</v>
      </c>
      <c r="E309" s="163" t="s">
        <v>903</v>
      </c>
      <c r="F309" s="384" t="s">
        <v>903</v>
      </c>
      <c r="G309" s="384" t="s">
        <v>903</v>
      </c>
      <c r="H309" s="163" t="s">
        <v>903</v>
      </c>
      <c r="I309" s="386">
        <f>SUM(I310:I324)</f>
        <v>38583.5</v>
      </c>
      <c r="J309" s="164">
        <f>SUM(J310:J324)</f>
        <v>30312.600000000002</v>
      </c>
      <c r="K309" s="164">
        <f>SUM(K310:K324)</f>
        <v>27485.899999999998</v>
      </c>
      <c r="L309" s="165">
        <f>SUM(L310:L324)</f>
        <v>1088</v>
      </c>
      <c r="M309" s="163" t="s">
        <v>903</v>
      </c>
      <c r="N309" s="163" t="s">
        <v>903</v>
      </c>
      <c r="O309" s="166" t="s">
        <v>903</v>
      </c>
      <c r="P309" s="386">
        <v>45687622.32</v>
      </c>
      <c r="Q309" s="164">
        <f>SUM(Q310:Q324)</f>
        <v>0</v>
      </c>
      <c r="R309" s="164">
        <f>SUM(R310:R324)</f>
        <v>0</v>
      </c>
      <c r="S309" s="164">
        <f>SUM(S310:S324)</f>
        <v>45687622.32</v>
      </c>
      <c r="T309" s="387">
        <f t="shared" si="77"/>
        <v>1184.1233252556144</v>
      </c>
      <c r="U309" s="387">
        <f>MAX(U310:U324)</f>
        <v>11742.46377946768</v>
      </c>
      <c r="V309" s="149">
        <f t="shared" si="79"/>
        <v>10558.340454212066</v>
      </c>
      <c r="W309" s="149"/>
      <c r="X309" s="149"/>
      <c r="Y309" s="368"/>
      <c r="Z309" s="368"/>
      <c r="AA309" s="368"/>
      <c r="AB309" s="368"/>
      <c r="AC309" s="368"/>
      <c r="AD309" s="368"/>
      <c r="AE309" s="368"/>
      <c r="AF309" s="368"/>
      <c r="AG309" s="368"/>
      <c r="AH309" s="368"/>
      <c r="AI309" s="368"/>
      <c r="AJ309" s="368"/>
      <c r="AK309" s="368"/>
      <c r="AL309" s="368"/>
      <c r="AM309" s="368"/>
      <c r="AN309" s="368"/>
      <c r="AO309" s="368"/>
    </row>
    <row r="310" spans="1:41" s="152" customFormat="1" ht="36" customHeight="1" x14ac:dyDescent="0.9">
      <c r="A310" s="152">
        <v>1</v>
      </c>
      <c r="B310" s="90">
        <f>SUBTOTAL(103,$A$16:A310)</f>
        <v>281</v>
      </c>
      <c r="C310" s="89" t="s">
        <v>695</v>
      </c>
      <c r="D310" s="163">
        <v>1981</v>
      </c>
      <c r="E310" s="163"/>
      <c r="F310" s="168" t="s">
        <v>270</v>
      </c>
      <c r="G310" s="163">
        <v>2</v>
      </c>
      <c r="H310" s="163">
        <v>3</v>
      </c>
      <c r="I310" s="167">
        <v>975</v>
      </c>
      <c r="J310" s="167">
        <v>901.5</v>
      </c>
      <c r="K310" s="167">
        <v>901.5</v>
      </c>
      <c r="L310" s="165">
        <v>42</v>
      </c>
      <c r="M310" s="163" t="s">
        <v>268</v>
      </c>
      <c r="N310" s="163" t="s">
        <v>269</v>
      </c>
      <c r="O310" s="166" t="s">
        <v>271</v>
      </c>
      <c r="P310" s="167">
        <v>4654757.55</v>
      </c>
      <c r="Q310" s="167">
        <v>0</v>
      </c>
      <c r="R310" s="167">
        <v>0</v>
      </c>
      <c r="S310" s="167">
        <f t="shared" ref="S310:S322" si="90">P310-Q310-R310</f>
        <v>4654757.55</v>
      </c>
      <c r="T310" s="167">
        <f t="shared" si="77"/>
        <v>4774.1103076923073</v>
      </c>
      <c r="U310" s="167">
        <v>5567.027384615385</v>
      </c>
      <c r="V310" s="149">
        <f t="shared" si="79"/>
        <v>792.91707692307773</v>
      </c>
      <c r="W310" s="149">
        <f t="shared" ref="W310:W324" si="91">X310+Y310+Z310+AA310+AB310+AD310+AF310+AH310+AJ310+AL310+AN310+AO310</f>
        <v>5567.027384615385</v>
      </c>
      <c r="X310" s="149">
        <v>0</v>
      </c>
      <c r="Y310" s="368">
        <v>0</v>
      </c>
      <c r="Z310" s="368">
        <v>0</v>
      </c>
      <c r="AA310" s="368">
        <v>0</v>
      </c>
      <c r="AB310" s="368">
        <v>0</v>
      </c>
      <c r="AC310" s="368">
        <v>0</v>
      </c>
      <c r="AD310" s="368">
        <v>0</v>
      </c>
      <c r="AE310" s="368">
        <v>870</v>
      </c>
      <c r="AF310" s="396">
        <f t="shared" ref="AF310:AF314" si="92">6238.91*AE310/I310</f>
        <v>5567.027384615385</v>
      </c>
      <c r="AG310" s="368">
        <v>0</v>
      </c>
      <c r="AH310" s="396">
        <v>0</v>
      </c>
      <c r="AI310" s="368">
        <v>0</v>
      </c>
      <c r="AJ310" s="396">
        <v>0</v>
      </c>
      <c r="AK310" s="368">
        <v>0</v>
      </c>
      <c r="AL310" s="368">
        <v>0</v>
      </c>
      <c r="AM310" s="368">
        <v>0</v>
      </c>
      <c r="AN310" s="368"/>
      <c r="AO310" s="368">
        <v>0</v>
      </c>
    </row>
    <row r="311" spans="1:41" s="152" customFormat="1" ht="36" customHeight="1" x14ac:dyDescent="0.9">
      <c r="A311" s="152">
        <v>1</v>
      </c>
      <c r="B311" s="90">
        <f>SUBTOTAL(103,$A$16:A311)</f>
        <v>282</v>
      </c>
      <c r="C311" s="89" t="s">
        <v>679</v>
      </c>
      <c r="D311" s="163">
        <v>1976</v>
      </c>
      <c r="E311" s="163"/>
      <c r="F311" s="168" t="s">
        <v>270</v>
      </c>
      <c r="G311" s="163">
        <v>5</v>
      </c>
      <c r="H311" s="163">
        <v>2</v>
      </c>
      <c r="I311" s="167">
        <v>3568.3</v>
      </c>
      <c r="J311" s="167">
        <v>1111.4000000000001</v>
      </c>
      <c r="K311" s="167">
        <v>1111.4000000000001</v>
      </c>
      <c r="L311" s="165">
        <v>23</v>
      </c>
      <c r="M311" s="163" t="s">
        <v>268</v>
      </c>
      <c r="N311" s="163" t="s">
        <v>272</v>
      </c>
      <c r="O311" s="166" t="s">
        <v>728</v>
      </c>
      <c r="P311" s="167">
        <v>7001028.8100000005</v>
      </c>
      <c r="Q311" s="167">
        <v>0</v>
      </c>
      <c r="R311" s="167">
        <v>0</v>
      </c>
      <c r="S311" s="167">
        <f t="shared" si="90"/>
        <v>7001028.8100000005</v>
      </c>
      <c r="T311" s="167">
        <f t="shared" si="77"/>
        <v>1962.0067847434352</v>
      </c>
      <c r="U311" s="167">
        <v>2197.7720118824091</v>
      </c>
      <c r="V311" s="149">
        <f t="shared" si="79"/>
        <v>235.76522713897384</v>
      </c>
      <c r="W311" s="149">
        <f t="shared" si="91"/>
        <v>2197.7720118824091</v>
      </c>
      <c r="X311" s="149">
        <v>0</v>
      </c>
      <c r="Y311" s="368">
        <v>0</v>
      </c>
      <c r="Z311" s="368">
        <v>0</v>
      </c>
      <c r="AA311" s="368">
        <v>0</v>
      </c>
      <c r="AB311" s="368">
        <v>0</v>
      </c>
      <c r="AC311" s="368">
        <v>0</v>
      </c>
      <c r="AD311" s="368">
        <v>0</v>
      </c>
      <c r="AE311" s="368">
        <v>1257</v>
      </c>
      <c r="AF311" s="396">
        <f t="shared" si="92"/>
        <v>2197.7720118824091</v>
      </c>
      <c r="AG311" s="368">
        <v>0</v>
      </c>
      <c r="AH311" s="396">
        <v>0</v>
      </c>
      <c r="AI311" s="368">
        <v>0</v>
      </c>
      <c r="AJ311" s="396">
        <v>0</v>
      </c>
      <c r="AK311" s="368">
        <v>0</v>
      </c>
      <c r="AL311" s="368">
        <v>0</v>
      </c>
      <c r="AM311" s="368">
        <v>0</v>
      </c>
      <c r="AN311" s="368"/>
      <c r="AO311" s="368">
        <v>0</v>
      </c>
    </row>
    <row r="312" spans="1:41" s="152" customFormat="1" ht="36" customHeight="1" x14ac:dyDescent="0.9">
      <c r="A312" s="152">
        <v>1</v>
      </c>
      <c r="B312" s="90">
        <f>SUBTOTAL(103,$A$16:A312)</f>
        <v>283</v>
      </c>
      <c r="C312" s="89" t="s">
        <v>674</v>
      </c>
      <c r="D312" s="163">
        <v>1985</v>
      </c>
      <c r="E312" s="163"/>
      <c r="F312" s="168" t="s">
        <v>270</v>
      </c>
      <c r="G312" s="163">
        <v>9</v>
      </c>
      <c r="H312" s="163">
        <v>1</v>
      </c>
      <c r="I312" s="167">
        <v>4900.3</v>
      </c>
      <c r="J312" s="167">
        <v>4900</v>
      </c>
      <c r="K312" s="167">
        <v>4450.3</v>
      </c>
      <c r="L312" s="165">
        <v>123</v>
      </c>
      <c r="M312" s="163" t="s">
        <v>268</v>
      </c>
      <c r="N312" s="163" t="s">
        <v>272</v>
      </c>
      <c r="O312" s="166" t="s">
        <v>728</v>
      </c>
      <c r="P312" s="167">
        <v>1863696.8900000001</v>
      </c>
      <c r="Q312" s="167">
        <v>0</v>
      </c>
      <c r="R312" s="167">
        <v>0</v>
      </c>
      <c r="S312" s="167">
        <f t="shared" si="90"/>
        <v>1863696.8900000001</v>
      </c>
      <c r="T312" s="167">
        <f t="shared" si="77"/>
        <v>380.3230189988368</v>
      </c>
      <c r="U312" s="167">
        <v>1145.8520906883252</v>
      </c>
      <c r="V312" s="149">
        <f t="shared" si="79"/>
        <v>765.52907168948843</v>
      </c>
      <c r="W312" s="149">
        <f t="shared" si="91"/>
        <v>1145.8520906883252</v>
      </c>
      <c r="X312" s="149">
        <v>0</v>
      </c>
      <c r="Y312" s="368">
        <v>0</v>
      </c>
      <c r="Z312" s="368">
        <v>0</v>
      </c>
      <c r="AA312" s="368">
        <v>0</v>
      </c>
      <c r="AB312" s="368">
        <v>0</v>
      </c>
      <c r="AC312" s="368">
        <v>0</v>
      </c>
      <c r="AD312" s="368">
        <v>0</v>
      </c>
      <c r="AE312" s="368">
        <v>900</v>
      </c>
      <c r="AF312" s="396">
        <f t="shared" si="92"/>
        <v>1145.8520906883252</v>
      </c>
      <c r="AG312" s="368">
        <v>0</v>
      </c>
      <c r="AH312" s="396">
        <v>0</v>
      </c>
      <c r="AI312" s="368">
        <v>0</v>
      </c>
      <c r="AJ312" s="396">
        <v>0</v>
      </c>
      <c r="AK312" s="368">
        <v>0</v>
      </c>
      <c r="AL312" s="368">
        <v>0</v>
      </c>
      <c r="AM312" s="368">
        <v>0</v>
      </c>
      <c r="AN312" s="368"/>
      <c r="AO312" s="368">
        <v>0</v>
      </c>
    </row>
    <row r="313" spans="1:41" s="152" customFormat="1" ht="36" customHeight="1" x14ac:dyDescent="0.9">
      <c r="A313" s="152">
        <v>1</v>
      </c>
      <c r="B313" s="90">
        <f>SUBTOTAL(103,$A$16:A313)</f>
        <v>284</v>
      </c>
      <c r="C313" s="89" t="s">
        <v>675</v>
      </c>
      <c r="D313" s="163">
        <v>1992</v>
      </c>
      <c r="E313" s="163"/>
      <c r="F313" s="168" t="s">
        <v>270</v>
      </c>
      <c r="G313" s="163">
        <v>9</v>
      </c>
      <c r="H313" s="163">
        <v>1</v>
      </c>
      <c r="I313" s="167">
        <v>4865.3</v>
      </c>
      <c r="J313" s="167">
        <v>4865.3</v>
      </c>
      <c r="K313" s="167">
        <v>4560</v>
      </c>
      <c r="L313" s="165">
        <v>111</v>
      </c>
      <c r="M313" s="163" t="s">
        <v>268</v>
      </c>
      <c r="N313" s="163" t="s">
        <v>272</v>
      </c>
      <c r="O313" s="166" t="s">
        <v>728</v>
      </c>
      <c r="P313" s="167">
        <v>1863696.8900000001</v>
      </c>
      <c r="Q313" s="167">
        <v>0</v>
      </c>
      <c r="R313" s="167">
        <v>0</v>
      </c>
      <c r="S313" s="167">
        <f t="shared" si="90"/>
        <v>1863696.8900000001</v>
      </c>
      <c r="T313" s="167">
        <f t="shared" si="77"/>
        <v>383.05898711281935</v>
      </c>
      <c r="U313" s="167">
        <v>1154.0951226029226</v>
      </c>
      <c r="V313" s="149">
        <f t="shared" si="79"/>
        <v>771.03613549010333</v>
      </c>
      <c r="W313" s="149">
        <f t="shared" si="91"/>
        <v>1154.0951226029226</v>
      </c>
      <c r="X313" s="149">
        <v>0</v>
      </c>
      <c r="Y313" s="368">
        <v>0</v>
      </c>
      <c r="Z313" s="368">
        <v>0</v>
      </c>
      <c r="AA313" s="368">
        <v>0</v>
      </c>
      <c r="AB313" s="368">
        <v>0</v>
      </c>
      <c r="AC313" s="368">
        <v>0</v>
      </c>
      <c r="AD313" s="368">
        <v>0</v>
      </c>
      <c r="AE313" s="368">
        <v>900</v>
      </c>
      <c r="AF313" s="396">
        <f t="shared" si="92"/>
        <v>1154.0951226029226</v>
      </c>
      <c r="AG313" s="368">
        <v>0</v>
      </c>
      <c r="AH313" s="396">
        <v>0</v>
      </c>
      <c r="AI313" s="368">
        <v>0</v>
      </c>
      <c r="AJ313" s="396">
        <v>0</v>
      </c>
      <c r="AK313" s="368">
        <v>0</v>
      </c>
      <c r="AL313" s="368">
        <v>0</v>
      </c>
      <c r="AM313" s="368">
        <v>0</v>
      </c>
      <c r="AN313" s="368"/>
      <c r="AO313" s="368">
        <v>0</v>
      </c>
    </row>
    <row r="314" spans="1:41" s="152" customFormat="1" ht="36" customHeight="1" x14ac:dyDescent="0.9">
      <c r="A314" s="152">
        <v>1</v>
      </c>
      <c r="B314" s="90">
        <f>SUBTOTAL(103,$A$16:A314)</f>
        <v>285</v>
      </c>
      <c r="C314" s="89" t="s">
        <v>676</v>
      </c>
      <c r="D314" s="163">
        <v>1982</v>
      </c>
      <c r="E314" s="163"/>
      <c r="F314" s="168" t="s">
        <v>270</v>
      </c>
      <c r="G314" s="163">
        <v>9</v>
      </c>
      <c r="H314" s="163">
        <v>1</v>
      </c>
      <c r="I314" s="167">
        <v>4912.2</v>
      </c>
      <c r="J314" s="167">
        <v>2437.9</v>
      </c>
      <c r="K314" s="167">
        <v>2009.8</v>
      </c>
      <c r="L314" s="165">
        <v>134</v>
      </c>
      <c r="M314" s="163" t="s">
        <v>268</v>
      </c>
      <c r="N314" s="163" t="s">
        <v>272</v>
      </c>
      <c r="O314" s="166" t="s">
        <v>728</v>
      </c>
      <c r="P314" s="167">
        <v>1863696.87</v>
      </c>
      <c r="Q314" s="167">
        <v>0</v>
      </c>
      <c r="R314" s="167">
        <v>0</v>
      </c>
      <c r="S314" s="167">
        <f t="shared" si="90"/>
        <v>1863696.87</v>
      </c>
      <c r="T314" s="167">
        <f t="shared" si="77"/>
        <v>379.40166727739103</v>
      </c>
      <c r="U314" s="167">
        <v>1143.0762183950164</v>
      </c>
      <c r="V314" s="149">
        <f t="shared" si="79"/>
        <v>763.67455111762547</v>
      </c>
      <c r="W314" s="149">
        <f t="shared" si="91"/>
        <v>1143.0762183950164</v>
      </c>
      <c r="X314" s="149">
        <v>0</v>
      </c>
      <c r="Y314" s="368">
        <v>0</v>
      </c>
      <c r="Z314" s="368">
        <v>0</v>
      </c>
      <c r="AA314" s="368">
        <v>0</v>
      </c>
      <c r="AB314" s="368">
        <v>0</v>
      </c>
      <c r="AC314" s="368">
        <v>0</v>
      </c>
      <c r="AD314" s="368">
        <v>0</v>
      </c>
      <c r="AE314" s="368">
        <v>900</v>
      </c>
      <c r="AF314" s="396">
        <f t="shared" si="92"/>
        <v>1143.0762183950164</v>
      </c>
      <c r="AG314" s="368">
        <v>0</v>
      </c>
      <c r="AH314" s="396">
        <v>0</v>
      </c>
      <c r="AI314" s="368">
        <v>0</v>
      </c>
      <c r="AJ314" s="396">
        <v>0</v>
      </c>
      <c r="AK314" s="368">
        <v>0</v>
      </c>
      <c r="AL314" s="368">
        <v>0</v>
      </c>
      <c r="AM314" s="368">
        <v>0</v>
      </c>
      <c r="AN314" s="368"/>
      <c r="AO314" s="368">
        <v>0</v>
      </c>
    </row>
    <row r="315" spans="1:41" s="152" customFormat="1" ht="36" customHeight="1" x14ac:dyDescent="0.9">
      <c r="A315" s="152">
        <v>1</v>
      </c>
      <c r="B315" s="90">
        <f>SUBTOTAL(103,$A$16:A315)</f>
        <v>286</v>
      </c>
      <c r="C315" s="89" t="s">
        <v>669</v>
      </c>
      <c r="D315" s="163">
        <v>1994</v>
      </c>
      <c r="E315" s="163"/>
      <c r="F315" s="168" t="s">
        <v>270</v>
      </c>
      <c r="G315" s="163">
        <v>9</v>
      </c>
      <c r="H315" s="163">
        <v>1</v>
      </c>
      <c r="I315" s="167">
        <v>4455.3</v>
      </c>
      <c r="J315" s="167">
        <v>3825.3</v>
      </c>
      <c r="K315" s="167">
        <v>3825.3</v>
      </c>
      <c r="L315" s="165">
        <v>122</v>
      </c>
      <c r="M315" s="163" t="s">
        <v>268</v>
      </c>
      <c r="N315" s="163" t="s">
        <v>345</v>
      </c>
      <c r="O315" s="166" t="s">
        <v>729</v>
      </c>
      <c r="P315" s="167">
        <v>3346564.4</v>
      </c>
      <c r="Q315" s="167">
        <v>0</v>
      </c>
      <c r="R315" s="167">
        <v>0</v>
      </c>
      <c r="S315" s="167">
        <f t="shared" si="90"/>
        <v>3346564.4</v>
      </c>
      <c r="T315" s="167">
        <f t="shared" si="77"/>
        <v>751.14232487150127</v>
      </c>
      <c r="U315" s="167">
        <v>1103.3151527394339</v>
      </c>
      <c r="V315" s="149">
        <f t="shared" si="79"/>
        <v>352.1728278679326</v>
      </c>
      <c r="W315" s="149">
        <f t="shared" si="91"/>
        <v>1103.3151527394339</v>
      </c>
      <c r="X315" s="149">
        <v>0</v>
      </c>
      <c r="Y315" s="368">
        <v>0</v>
      </c>
      <c r="Z315" s="368">
        <v>0</v>
      </c>
      <c r="AA315" s="368">
        <v>0</v>
      </c>
      <c r="AB315" s="368">
        <v>0</v>
      </c>
      <c r="AC315" s="368">
        <v>2</v>
      </c>
      <c r="AD315" s="396">
        <f>2457800*AC315/I315</f>
        <v>1103.3151527394339</v>
      </c>
      <c r="AE315" s="368">
        <v>0</v>
      </c>
      <c r="AF315" s="396">
        <v>0</v>
      </c>
      <c r="AG315" s="368">
        <v>0</v>
      </c>
      <c r="AH315" s="396">
        <v>0</v>
      </c>
      <c r="AI315" s="368">
        <v>0</v>
      </c>
      <c r="AJ315" s="396">
        <v>0</v>
      </c>
      <c r="AK315" s="368">
        <v>0</v>
      </c>
      <c r="AL315" s="368">
        <v>0</v>
      </c>
      <c r="AM315" s="368">
        <v>0</v>
      </c>
      <c r="AN315" s="368"/>
      <c r="AO315" s="368">
        <v>0</v>
      </c>
    </row>
    <row r="316" spans="1:41" s="152" customFormat="1" ht="36" customHeight="1" x14ac:dyDescent="0.9">
      <c r="A316" s="152">
        <v>1</v>
      </c>
      <c r="B316" s="90">
        <f>SUBTOTAL(103,$A$16:A316)</f>
        <v>287</v>
      </c>
      <c r="C316" s="89" t="s">
        <v>682</v>
      </c>
      <c r="D316" s="163">
        <v>1917</v>
      </c>
      <c r="E316" s="163"/>
      <c r="F316" s="168" t="s">
        <v>270</v>
      </c>
      <c r="G316" s="163">
        <v>2</v>
      </c>
      <c r="H316" s="163">
        <v>1</v>
      </c>
      <c r="I316" s="167">
        <v>722.2</v>
      </c>
      <c r="J316" s="167">
        <v>298.5</v>
      </c>
      <c r="K316" s="167">
        <v>298.5</v>
      </c>
      <c r="L316" s="165">
        <v>8</v>
      </c>
      <c r="M316" s="163" t="s">
        <v>268</v>
      </c>
      <c r="N316" s="163" t="s">
        <v>269</v>
      </c>
      <c r="O316" s="166" t="s">
        <v>271</v>
      </c>
      <c r="P316" s="167">
        <v>101554.75</v>
      </c>
      <c r="Q316" s="167">
        <v>0</v>
      </c>
      <c r="R316" s="167">
        <v>0</v>
      </c>
      <c r="S316" s="167">
        <f t="shared" si="90"/>
        <v>101554.75</v>
      </c>
      <c r="T316" s="167">
        <f t="shared" si="77"/>
        <v>140.61859595679866</v>
      </c>
      <c r="U316" s="167">
        <v>140.61859595679866</v>
      </c>
      <c r="V316" s="149">
        <f t="shared" si="79"/>
        <v>0</v>
      </c>
      <c r="W316" s="149">
        <f>T316</f>
        <v>140.61859595679866</v>
      </c>
      <c r="X316" s="149">
        <v>0</v>
      </c>
      <c r="Y316" s="368">
        <v>0</v>
      </c>
      <c r="Z316" s="368">
        <v>0</v>
      </c>
      <c r="AA316" s="368">
        <v>0</v>
      </c>
      <c r="AB316" s="368">
        <v>0</v>
      </c>
      <c r="AC316" s="368">
        <v>0</v>
      </c>
      <c r="AD316" s="368">
        <v>0</v>
      </c>
      <c r="AE316" s="368">
        <v>0</v>
      </c>
      <c r="AF316" s="396">
        <v>0</v>
      </c>
      <c r="AG316" s="368">
        <v>0</v>
      </c>
      <c r="AH316" s="396">
        <v>0</v>
      </c>
      <c r="AI316" s="368">
        <v>0</v>
      </c>
      <c r="AJ316" s="396">
        <v>0</v>
      </c>
      <c r="AK316" s="368">
        <v>0</v>
      </c>
      <c r="AL316" s="368">
        <v>0</v>
      </c>
      <c r="AM316" s="368">
        <v>0</v>
      </c>
      <c r="AN316" s="368"/>
      <c r="AO316" s="368">
        <v>0</v>
      </c>
    </row>
    <row r="317" spans="1:41" s="152" customFormat="1" ht="36" customHeight="1" x14ac:dyDescent="0.9">
      <c r="A317" s="152">
        <v>1</v>
      </c>
      <c r="B317" s="90">
        <f>SUBTOTAL(103,$A$16:A317)</f>
        <v>288</v>
      </c>
      <c r="C317" s="89" t="s">
        <v>670</v>
      </c>
      <c r="D317" s="163">
        <v>1963</v>
      </c>
      <c r="E317" s="163"/>
      <c r="F317" s="168" t="s">
        <v>270</v>
      </c>
      <c r="G317" s="163">
        <v>3</v>
      </c>
      <c r="H317" s="163">
        <v>3</v>
      </c>
      <c r="I317" s="167">
        <v>1703.8</v>
      </c>
      <c r="J317" s="167">
        <v>1339.8</v>
      </c>
      <c r="K317" s="167">
        <v>1300</v>
      </c>
      <c r="L317" s="165">
        <v>56</v>
      </c>
      <c r="M317" s="163" t="s">
        <v>268</v>
      </c>
      <c r="N317" s="163" t="s">
        <v>272</v>
      </c>
      <c r="O317" s="166" t="s">
        <v>730</v>
      </c>
      <c r="P317" s="167">
        <v>5509944.8600000003</v>
      </c>
      <c r="Q317" s="167">
        <v>0</v>
      </c>
      <c r="R317" s="167">
        <v>0</v>
      </c>
      <c r="S317" s="167">
        <f t="shared" si="90"/>
        <v>5509944.8600000003</v>
      </c>
      <c r="T317" s="167">
        <f t="shared" si="77"/>
        <v>3233.9152834839774</v>
      </c>
      <c r="U317" s="167">
        <v>3630.636967367062</v>
      </c>
      <c r="V317" s="149">
        <f t="shared" si="79"/>
        <v>396.72168388308455</v>
      </c>
      <c r="W317" s="149">
        <f t="shared" si="91"/>
        <v>3630.636967367062</v>
      </c>
      <c r="X317" s="149">
        <v>0</v>
      </c>
      <c r="Y317" s="368">
        <v>0</v>
      </c>
      <c r="Z317" s="368">
        <v>0</v>
      </c>
      <c r="AA317" s="368">
        <v>0</v>
      </c>
      <c r="AB317" s="368">
        <v>0</v>
      </c>
      <c r="AC317" s="368">
        <v>0</v>
      </c>
      <c r="AD317" s="368">
        <v>0</v>
      </c>
      <c r="AE317" s="368">
        <v>991.5</v>
      </c>
      <c r="AF317" s="396">
        <f t="shared" ref="AF317:AF318" si="93">6238.91*AE317/I317</f>
        <v>3630.636967367062</v>
      </c>
      <c r="AG317" s="368">
        <v>0</v>
      </c>
      <c r="AH317" s="396">
        <v>0</v>
      </c>
      <c r="AI317" s="368">
        <v>0</v>
      </c>
      <c r="AJ317" s="396">
        <v>0</v>
      </c>
      <c r="AK317" s="368">
        <v>0</v>
      </c>
      <c r="AL317" s="368">
        <v>0</v>
      </c>
      <c r="AM317" s="368">
        <v>0</v>
      </c>
      <c r="AN317" s="368"/>
      <c r="AO317" s="368">
        <v>0</v>
      </c>
    </row>
    <row r="318" spans="1:41" s="152" customFormat="1" ht="36" customHeight="1" x14ac:dyDescent="0.9">
      <c r="A318" s="152">
        <v>1</v>
      </c>
      <c r="B318" s="90">
        <f>SUBTOTAL(103,$A$16:A318)</f>
        <v>289</v>
      </c>
      <c r="C318" s="89" t="s">
        <v>1216</v>
      </c>
      <c r="D318" s="163">
        <v>1965</v>
      </c>
      <c r="E318" s="163"/>
      <c r="F318" s="168" t="s">
        <v>270</v>
      </c>
      <c r="G318" s="163">
        <v>2</v>
      </c>
      <c r="H318" s="163">
        <v>2</v>
      </c>
      <c r="I318" s="167">
        <v>1070</v>
      </c>
      <c r="J318" s="167">
        <v>916.2</v>
      </c>
      <c r="K318" s="167">
        <v>310.5</v>
      </c>
      <c r="L318" s="165">
        <v>13</v>
      </c>
      <c r="M318" s="163" t="s">
        <v>268</v>
      </c>
      <c r="N318" s="163" t="s">
        <v>269</v>
      </c>
      <c r="O318" s="166" t="s">
        <v>271</v>
      </c>
      <c r="P318" s="167">
        <v>5087184.08</v>
      </c>
      <c r="Q318" s="167">
        <v>0</v>
      </c>
      <c r="R318" s="167">
        <v>0</v>
      </c>
      <c r="S318" s="167">
        <f t="shared" si="90"/>
        <v>5087184.08</v>
      </c>
      <c r="T318" s="167">
        <f t="shared" si="77"/>
        <v>4754.3776448598128</v>
      </c>
      <c r="U318" s="167">
        <v>5559.6268084112144</v>
      </c>
      <c r="V318" s="149">
        <f t="shared" si="79"/>
        <v>805.24916355140158</v>
      </c>
      <c r="W318" s="149">
        <f t="shared" si="91"/>
        <v>5559.6268084112144</v>
      </c>
      <c r="X318" s="149">
        <v>0</v>
      </c>
      <c r="Y318" s="368">
        <v>0</v>
      </c>
      <c r="Z318" s="368">
        <v>0</v>
      </c>
      <c r="AA318" s="368">
        <v>0</v>
      </c>
      <c r="AB318" s="368">
        <v>0</v>
      </c>
      <c r="AC318" s="368">
        <v>0</v>
      </c>
      <c r="AD318" s="368">
        <v>0</v>
      </c>
      <c r="AE318" s="368">
        <v>953.5</v>
      </c>
      <c r="AF318" s="396">
        <f t="shared" si="93"/>
        <v>5559.6268084112144</v>
      </c>
      <c r="AG318" s="368">
        <v>0</v>
      </c>
      <c r="AH318" s="396">
        <v>0</v>
      </c>
      <c r="AI318" s="368">
        <v>0</v>
      </c>
      <c r="AJ318" s="396">
        <v>0</v>
      </c>
      <c r="AK318" s="368">
        <v>0</v>
      </c>
      <c r="AL318" s="368">
        <v>0</v>
      </c>
      <c r="AM318" s="368">
        <v>0</v>
      </c>
      <c r="AN318" s="368"/>
      <c r="AO318" s="368">
        <v>0</v>
      </c>
    </row>
    <row r="319" spans="1:41" s="152" customFormat="1" ht="36" customHeight="1" x14ac:dyDescent="0.9">
      <c r="A319" s="152">
        <v>1</v>
      </c>
      <c r="B319" s="90">
        <f>SUBTOTAL(103,$A$16:A319)</f>
        <v>290</v>
      </c>
      <c r="C319" s="89" t="s">
        <v>1221</v>
      </c>
      <c r="D319" s="163" t="s">
        <v>333</v>
      </c>
      <c r="E319" s="163">
        <v>2016</v>
      </c>
      <c r="F319" s="168" t="s">
        <v>270</v>
      </c>
      <c r="G319" s="163">
        <v>9</v>
      </c>
      <c r="H319" s="163">
        <v>4</v>
      </c>
      <c r="I319" s="167">
        <v>8964.1</v>
      </c>
      <c r="J319" s="167">
        <v>7909.1</v>
      </c>
      <c r="K319" s="167">
        <v>7405.7</v>
      </c>
      <c r="L319" s="165">
        <v>329</v>
      </c>
      <c r="M319" s="163" t="s">
        <v>268</v>
      </c>
      <c r="N319" s="163" t="s">
        <v>272</v>
      </c>
      <c r="O319" s="166" t="s">
        <v>1350</v>
      </c>
      <c r="P319" s="167">
        <v>5425723.8799999999</v>
      </c>
      <c r="Q319" s="167">
        <v>0</v>
      </c>
      <c r="R319" s="167">
        <v>0</v>
      </c>
      <c r="S319" s="167">
        <f t="shared" si="90"/>
        <v>5425723.8799999999</v>
      </c>
      <c r="T319" s="167">
        <f t="shared" si="77"/>
        <v>605.27257393380262</v>
      </c>
      <c r="U319" s="167">
        <v>1096.7302908267422</v>
      </c>
      <c r="V319" s="149">
        <f t="shared" si="79"/>
        <v>491.45771689293963</v>
      </c>
      <c r="W319" s="149">
        <f t="shared" si="91"/>
        <v>1096.7302908267422</v>
      </c>
      <c r="X319" s="149">
        <v>0</v>
      </c>
      <c r="Y319" s="368">
        <v>0</v>
      </c>
      <c r="Z319" s="368">
        <v>0</v>
      </c>
      <c r="AA319" s="368">
        <v>0</v>
      </c>
      <c r="AB319" s="368">
        <v>0</v>
      </c>
      <c r="AC319" s="368">
        <v>4</v>
      </c>
      <c r="AD319" s="396">
        <f>2457800*AC319/I319</f>
        <v>1096.7302908267422</v>
      </c>
      <c r="AE319" s="368">
        <v>0</v>
      </c>
      <c r="AF319" s="396">
        <v>0</v>
      </c>
      <c r="AG319" s="368">
        <v>0</v>
      </c>
      <c r="AH319" s="396">
        <v>0</v>
      </c>
      <c r="AI319" s="368">
        <v>0</v>
      </c>
      <c r="AJ319" s="396">
        <v>0</v>
      </c>
      <c r="AK319" s="368">
        <v>0</v>
      </c>
      <c r="AL319" s="368">
        <v>0</v>
      </c>
      <c r="AM319" s="368">
        <v>0</v>
      </c>
      <c r="AN319" s="368"/>
      <c r="AO319" s="368">
        <v>0</v>
      </c>
    </row>
    <row r="320" spans="1:41" s="152" customFormat="1" ht="36" customHeight="1" x14ac:dyDescent="0.9">
      <c r="A320" s="152">
        <v>1</v>
      </c>
      <c r="B320" s="90">
        <f>SUBTOTAL(103,$A$16:A320)</f>
        <v>291</v>
      </c>
      <c r="C320" s="89" t="s">
        <v>1222</v>
      </c>
      <c r="D320" s="163" t="s">
        <v>382</v>
      </c>
      <c r="E320" s="163"/>
      <c r="F320" s="168" t="s">
        <v>270</v>
      </c>
      <c r="G320" s="163">
        <v>2</v>
      </c>
      <c r="H320" s="163">
        <v>2</v>
      </c>
      <c r="I320" s="167">
        <v>263</v>
      </c>
      <c r="J320" s="167">
        <v>259.2</v>
      </c>
      <c r="K320" s="167">
        <v>255.1</v>
      </c>
      <c r="L320" s="165">
        <v>21</v>
      </c>
      <c r="M320" s="163" t="s">
        <v>268</v>
      </c>
      <c r="N320" s="163" t="s">
        <v>269</v>
      </c>
      <c r="O320" s="166" t="s">
        <v>271</v>
      </c>
      <c r="P320" s="167">
        <v>964103.66999999993</v>
      </c>
      <c r="Q320" s="167">
        <v>0</v>
      </c>
      <c r="R320" s="167">
        <v>0</v>
      </c>
      <c r="S320" s="167">
        <f t="shared" si="90"/>
        <v>964103.66999999993</v>
      </c>
      <c r="T320" s="167">
        <f t="shared" si="77"/>
        <v>3665.7934220532316</v>
      </c>
      <c r="U320" s="167">
        <v>11742.46377946768</v>
      </c>
      <c r="V320" s="149">
        <f t="shared" si="79"/>
        <v>8076.6703574144485</v>
      </c>
      <c r="W320" s="149">
        <f t="shared" si="91"/>
        <v>11742.46377946768</v>
      </c>
      <c r="X320" s="149">
        <v>0</v>
      </c>
      <c r="Y320" s="368">
        <v>0</v>
      </c>
      <c r="Z320" s="368">
        <v>0</v>
      </c>
      <c r="AA320" s="368">
        <v>0</v>
      </c>
      <c r="AB320" s="368">
        <v>0</v>
      </c>
      <c r="AC320" s="368">
        <v>0</v>
      </c>
      <c r="AD320" s="368">
        <v>0</v>
      </c>
      <c r="AE320" s="368">
        <v>0</v>
      </c>
      <c r="AF320" s="396">
        <v>0</v>
      </c>
      <c r="AG320" s="368">
        <v>0</v>
      </c>
      <c r="AH320" s="396">
        <v>0</v>
      </c>
      <c r="AI320" s="368">
        <v>415.14</v>
      </c>
      <c r="AJ320" s="397">
        <f t="shared" ref="AJ320:AJ321" si="94">7439.1*AI320/I320</f>
        <v>11742.46377946768</v>
      </c>
      <c r="AK320" s="368">
        <v>0</v>
      </c>
      <c r="AL320" s="368">
        <v>0</v>
      </c>
      <c r="AM320" s="368">
        <v>0</v>
      </c>
      <c r="AN320" s="368"/>
      <c r="AO320" s="368">
        <v>0</v>
      </c>
    </row>
    <row r="321" spans="1:41" s="152" customFormat="1" ht="36" customHeight="1" x14ac:dyDescent="0.9">
      <c r="A321" s="152">
        <v>1</v>
      </c>
      <c r="B321" s="90">
        <f>SUBTOTAL(103,$A$16:A321)</f>
        <v>292</v>
      </c>
      <c r="C321" s="89" t="s">
        <v>1223</v>
      </c>
      <c r="D321" s="163" t="s">
        <v>359</v>
      </c>
      <c r="E321" s="163"/>
      <c r="F321" s="168" t="s">
        <v>270</v>
      </c>
      <c r="G321" s="163">
        <v>2</v>
      </c>
      <c r="H321" s="163">
        <v>1</v>
      </c>
      <c r="I321" s="167">
        <v>301</v>
      </c>
      <c r="J321" s="167">
        <v>282.39999999999998</v>
      </c>
      <c r="K321" s="167">
        <v>282.39999999999998</v>
      </c>
      <c r="L321" s="165">
        <v>22</v>
      </c>
      <c r="M321" s="163" t="s">
        <v>268</v>
      </c>
      <c r="N321" s="163" t="s">
        <v>272</v>
      </c>
      <c r="O321" s="166" t="s">
        <v>730</v>
      </c>
      <c r="P321" s="167">
        <v>1832686.35</v>
      </c>
      <c r="Q321" s="167">
        <v>0</v>
      </c>
      <c r="R321" s="167">
        <v>0</v>
      </c>
      <c r="S321" s="167">
        <f t="shared" si="90"/>
        <v>1832686.35</v>
      </c>
      <c r="T321" s="167">
        <f t="shared" si="77"/>
        <v>6088.6589700996683</v>
      </c>
      <c r="U321" s="167">
        <v>9655.2597906976753</v>
      </c>
      <c r="V321" s="149">
        <f t="shared" si="79"/>
        <v>3566.600820598007</v>
      </c>
      <c r="W321" s="149">
        <f t="shared" si="91"/>
        <v>9655.2597906976753</v>
      </c>
      <c r="X321" s="149">
        <v>0</v>
      </c>
      <c r="Y321" s="368">
        <v>0</v>
      </c>
      <c r="Z321" s="368">
        <v>0</v>
      </c>
      <c r="AA321" s="368">
        <v>0</v>
      </c>
      <c r="AB321" s="368">
        <v>0</v>
      </c>
      <c r="AC321" s="368">
        <v>0</v>
      </c>
      <c r="AD321" s="368">
        <v>0</v>
      </c>
      <c r="AE321" s="368">
        <v>0</v>
      </c>
      <c r="AF321" s="396">
        <v>0</v>
      </c>
      <c r="AG321" s="368">
        <v>0</v>
      </c>
      <c r="AH321" s="396">
        <v>0</v>
      </c>
      <c r="AI321" s="368">
        <v>390.67</v>
      </c>
      <c r="AJ321" s="397">
        <f t="shared" si="94"/>
        <v>9655.2597906976753</v>
      </c>
      <c r="AK321" s="368">
        <v>0</v>
      </c>
      <c r="AL321" s="368">
        <v>0</v>
      </c>
      <c r="AM321" s="368">
        <v>0</v>
      </c>
      <c r="AN321" s="368"/>
      <c r="AO321" s="368">
        <v>0</v>
      </c>
    </row>
    <row r="322" spans="1:41" s="152" customFormat="1" ht="36" customHeight="1" x14ac:dyDescent="0.9">
      <c r="A322" s="152">
        <v>1</v>
      </c>
      <c r="B322" s="90">
        <f>SUBTOTAL(103,$A$16:A322)</f>
        <v>293</v>
      </c>
      <c r="C322" s="89" t="s">
        <v>1224</v>
      </c>
      <c r="D322" s="163">
        <v>1957</v>
      </c>
      <c r="E322" s="163"/>
      <c r="F322" s="168" t="s">
        <v>270</v>
      </c>
      <c r="G322" s="163">
        <v>2</v>
      </c>
      <c r="H322" s="163">
        <v>3</v>
      </c>
      <c r="I322" s="167">
        <v>988</v>
      </c>
      <c r="J322" s="167">
        <v>627.1</v>
      </c>
      <c r="K322" s="167">
        <v>582.1</v>
      </c>
      <c r="L322" s="165">
        <v>55</v>
      </c>
      <c r="M322" s="163" t="s">
        <v>268</v>
      </c>
      <c r="N322" s="163" t="s">
        <v>272</v>
      </c>
      <c r="O322" s="166" t="s">
        <v>1086</v>
      </c>
      <c r="P322" s="167">
        <v>3195950.2899999996</v>
      </c>
      <c r="Q322" s="167">
        <v>0</v>
      </c>
      <c r="R322" s="167">
        <v>0</v>
      </c>
      <c r="S322" s="167">
        <f t="shared" si="90"/>
        <v>3195950.2899999996</v>
      </c>
      <c r="T322" s="167">
        <f t="shared" si="77"/>
        <v>3234.7674999999995</v>
      </c>
      <c r="U322" s="167">
        <v>4666.0479526315785</v>
      </c>
      <c r="V322" s="149">
        <f t="shared" si="79"/>
        <v>1431.280452631579</v>
      </c>
      <c r="W322" s="149">
        <f t="shared" si="91"/>
        <v>4666.0479526315785</v>
      </c>
      <c r="X322" s="149">
        <v>0</v>
      </c>
      <c r="Y322" s="368">
        <v>0</v>
      </c>
      <c r="Z322" s="368">
        <v>0</v>
      </c>
      <c r="AA322" s="368">
        <v>0</v>
      </c>
      <c r="AB322" s="368">
        <v>0</v>
      </c>
      <c r="AC322" s="368">
        <v>0</v>
      </c>
      <c r="AD322" s="368">
        <v>0</v>
      </c>
      <c r="AE322" s="368">
        <v>738.92</v>
      </c>
      <c r="AF322" s="396">
        <f t="shared" ref="AF322:AF324" si="95">6238.91*AE322/I322</f>
        <v>4666.0479526315785</v>
      </c>
      <c r="AG322" s="368">
        <v>0</v>
      </c>
      <c r="AH322" s="396">
        <v>0</v>
      </c>
      <c r="AI322" s="368">
        <v>0</v>
      </c>
      <c r="AJ322" s="396">
        <v>0</v>
      </c>
      <c r="AK322" s="368">
        <v>0</v>
      </c>
      <c r="AL322" s="368">
        <v>0</v>
      </c>
      <c r="AM322" s="368">
        <v>0</v>
      </c>
      <c r="AN322" s="368"/>
      <c r="AO322" s="368">
        <v>0</v>
      </c>
    </row>
    <row r="323" spans="1:41" s="152" customFormat="1" ht="36" customHeight="1" x14ac:dyDescent="0.9">
      <c r="A323" s="152">
        <v>1</v>
      </c>
      <c r="B323" s="90">
        <f>SUBTOTAL(103,$A$16:A323)</f>
        <v>294</v>
      </c>
      <c r="C323" s="89" t="s">
        <v>1560</v>
      </c>
      <c r="D323" s="163">
        <v>1926</v>
      </c>
      <c r="E323" s="163"/>
      <c r="F323" s="168" t="s">
        <v>270</v>
      </c>
      <c r="G323" s="163">
        <v>2</v>
      </c>
      <c r="H323" s="163">
        <v>2</v>
      </c>
      <c r="I323" s="167">
        <v>561</v>
      </c>
      <c r="J323" s="167">
        <v>469.4</v>
      </c>
      <c r="K323" s="167">
        <v>23.8</v>
      </c>
      <c r="L323" s="165">
        <v>11</v>
      </c>
      <c r="M323" s="163" t="s">
        <v>268</v>
      </c>
      <c r="N323" s="163" t="s">
        <v>269</v>
      </c>
      <c r="O323" s="166" t="s">
        <v>271</v>
      </c>
      <c r="P323" s="167">
        <v>1322373.3</v>
      </c>
      <c r="Q323" s="167">
        <v>0</v>
      </c>
      <c r="R323" s="167">
        <v>0</v>
      </c>
      <c r="S323" s="167">
        <f>P323-R323-Q323</f>
        <v>1322373.3</v>
      </c>
      <c r="T323" s="167">
        <f t="shared" si="77"/>
        <v>2357.171657754011</v>
      </c>
      <c r="U323" s="167">
        <v>3062.7376363636358</v>
      </c>
      <c r="V323" s="149">
        <f t="shared" si="79"/>
        <v>705.56597860962484</v>
      </c>
      <c r="W323" s="149">
        <f t="shared" si="91"/>
        <v>3062.7376363636358</v>
      </c>
      <c r="X323" s="149">
        <v>0</v>
      </c>
      <c r="Y323" s="368">
        <v>0</v>
      </c>
      <c r="Z323" s="368">
        <v>0</v>
      </c>
      <c r="AA323" s="368">
        <v>0</v>
      </c>
      <c r="AB323" s="368">
        <v>0</v>
      </c>
      <c r="AC323" s="368">
        <v>0</v>
      </c>
      <c r="AD323" s="368">
        <v>0</v>
      </c>
      <c r="AE323" s="368">
        <v>275.39999999999998</v>
      </c>
      <c r="AF323" s="396">
        <f t="shared" si="95"/>
        <v>3062.7376363636358</v>
      </c>
      <c r="AG323" s="368">
        <v>0</v>
      </c>
      <c r="AH323" s="396">
        <v>0</v>
      </c>
      <c r="AI323" s="368">
        <v>0</v>
      </c>
      <c r="AJ323" s="396">
        <v>0</v>
      </c>
      <c r="AK323" s="368">
        <v>0</v>
      </c>
      <c r="AL323" s="368">
        <v>0</v>
      </c>
      <c r="AM323" s="368">
        <v>0</v>
      </c>
      <c r="AN323" s="368"/>
      <c r="AO323" s="368">
        <v>0</v>
      </c>
    </row>
    <row r="324" spans="1:41" s="152" customFormat="1" ht="36" customHeight="1" x14ac:dyDescent="0.9">
      <c r="A324" s="152">
        <v>1</v>
      </c>
      <c r="B324" s="90">
        <f>SUBTOTAL(103,$A$16:A324)</f>
        <v>295</v>
      </c>
      <c r="C324" s="89" t="s">
        <v>1570</v>
      </c>
      <c r="D324" s="163" t="s">
        <v>1599</v>
      </c>
      <c r="E324" s="163"/>
      <c r="F324" s="168" t="s">
        <v>270</v>
      </c>
      <c r="G324" s="163">
        <v>2</v>
      </c>
      <c r="H324" s="163">
        <v>2</v>
      </c>
      <c r="I324" s="167">
        <v>334</v>
      </c>
      <c r="J324" s="167">
        <v>169.5</v>
      </c>
      <c r="K324" s="167">
        <v>169.5</v>
      </c>
      <c r="L324" s="165">
        <v>18</v>
      </c>
      <c r="M324" s="163" t="s">
        <v>268</v>
      </c>
      <c r="N324" s="163" t="s">
        <v>269</v>
      </c>
      <c r="O324" s="166" t="s">
        <v>271</v>
      </c>
      <c r="P324" s="167">
        <v>1654659.73</v>
      </c>
      <c r="Q324" s="167">
        <v>0</v>
      </c>
      <c r="R324" s="167">
        <v>0</v>
      </c>
      <c r="S324" s="167">
        <f>P324-R324-Q324</f>
        <v>1654659.73</v>
      </c>
      <c r="T324" s="167">
        <f t="shared" si="77"/>
        <v>4954.0710479041918</v>
      </c>
      <c r="U324" s="167">
        <v>6435.0433982035929</v>
      </c>
      <c r="V324" s="149">
        <f t="shared" si="79"/>
        <v>1480.9723502994011</v>
      </c>
      <c r="W324" s="149">
        <f t="shared" si="91"/>
        <v>6435.0433982035929</v>
      </c>
      <c r="X324" s="149">
        <v>0</v>
      </c>
      <c r="Y324" s="368">
        <v>0</v>
      </c>
      <c r="Z324" s="368">
        <v>0</v>
      </c>
      <c r="AA324" s="368">
        <v>0</v>
      </c>
      <c r="AB324" s="368">
        <v>0</v>
      </c>
      <c r="AC324" s="368">
        <v>0</v>
      </c>
      <c r="AD324" s="368">
        <v>0</v>
      </c>
      <c r="AE324" s="368">
        <v>344.5</v>
      </c>
      <c r="AF324" s="396">
        <f t="shared" si="95"/>
        <v>6435.0433982035929</v>
      </c>
      <c r="AG324" s="368">
        <v>0</v>
      </c>
      <c r="AH324" s="396">
        <v>0</v>
      </c>
      <c r="AI324" s="368">
        <v>0</v>
      </c>
      <c r="AJ324" s="396">
        <v>0</v>
      </c>
      <c r="AK324" s="368">
        <v>0</v>
      </c>
      <c r="AL324" s="368">
        <v>0</v>
      </c>
      <c r="AM324" s="368">
        <v>0</v>
      </c>
      <c r="AN324" s="368"/>
      <c r="AO324" s="368">
        <v>0</v>
      </c>
    </row>
    <row r="325" spans="1:41" s="152" customFormat="1" ht="36" customHeight="1" x14ac:dyDescent="0.9">
      <c r="B325" s="382" t="s">
        <v>837</v>
      </c>
      <c r="C325" s="388"/>
      <c r="D325" s="384" t="s">
        <v>903</v>
      </c>
      <c r="E325" s="163" t="s">
        <v>903</v>
      </c>
      <c r="F325" s="384" t="s">
        <v>903</v>
      </c>
      <c r="G325" s="384" t="s">
        <v>903</v>
      </c>
      <c r="H325" s="163" t="s">
        <v>903</v>
      </c>
      <c r="I325" s="386">
        <f>SUM(I326:I341)</f>
        <v>12781.9</v>
      </c>
      <c r="J325" s="164">
        <f>SUM(J326:J341)</f>
        <v>9687</v>
      </c>
      <c r="K325" s="164">
        <f>SUM(K326:K341)</f>
        <v>8255.1790000000001</v>
      </c>
      <c r="L325" s="165">
        <f>SUM(L326:L341)</f>
        <v>775</v>
      </c>
      <c r="M325" s="163" t="s">
        <v>903</v>
      </c>
      <c r="N325" s="163" t="s">
        <v>903</v>
      </c>
      <c r="O325" s="166" t="s">
        <v>903</v>
      </c>
      <c r="P325" s="386">
        <v>34780549.410000004</v>
      </c>
      <c r="Q325" s="164">
        <f>SUM(Q326:Q341)</f>
        <v>0</v>
      </c>
      <c r="R325" s="164">
        <f>SUM(R326:R341)</f>
        <v>0</v>
      </c>
      <c r="S325" s="164">
        <f>SUM(S326:S341)</f>
        <v>34780549.410000004</v>
      </c>
      <c r="T325" s="387">
        <f t="shared" si="77"/>
        <v>2721.0781972946124</v>
      </c>
      <c r="U325" s="387">
        <f>MAX(U326:U341)</f>
        <v>13413.400178238342</v>
      </c>
      <c r="V325" s="149">
        <f t="shared" si="79"/>
        <v>10692.321980943729</v>
      </c>
      <c r="W325" s="149"/>
      <c r="X325" s="149"/>
      <c r="Y325" s="368"/>
      <c r="Z325" s="368"/>
      <c r="AA325" s="368"/>
      <c r="AB325" s="368"/>
      <c r="AC325" s="368"/>
      <c r="AD325" s="368"/>
      <c r="AE325" s="368"/>
      <c r="AF325" s="368"/>
      <c r="AG325" s="368"/>
      <c r="AH325" s="368"/>
      <c r="AI325" s="368"/>
      <c r="AJ325" s="368"/>
      <c r="AK325" s="368"/>
      <c r="AL325" s="368"/>
      <c r="AM325" s="368"/>
      <c r="AN325" s="368"/>
      <c r="AO325" s="368"/>
    </row>
    <row r="326" spans="1:41" s="152" customFormat="1" ht="36" customHeight="1" x14ac:dyDescent="0.9">
      <c r="A326" s="152">
        <v>1</v>
      </c>
      <c r="B326" s="90">
        <f>SUBTOTAL(103,$A$16:A326)</f>
        <v>296</v>
      </c>
      <c r="C326" s="89" t="s">
        <v>233</v>
      </c>
      <c r="D326" s="163">
        <v>1970</v>
      </c>
      <c r="E326" s="163"/>
      <c r="F326" s="168" t="s">
        <v>270</v>
      </c>
      <c r="G326" s="163">
        <v>2</v>
      </c>
      <c r="H326" s="163">
        <v>1</v>
      </c>
      <c r="I326" s="167">
        <v>404.7</v>
      </c>
      <c r="J326" s="167">
        <v>318.7</v>
      </c>
      <c r="K326" s="167">
        <v>318.7</v>
      </c>
      <c r="L326" s="165">
        <v>25</v>
      </c>
      <c r="M326" s="163" t="s">
        <v>268</v>
      </c>
      <c r="N326" s="163" t="s">
        <v>272</v>
      </c>
      <c r="O326" s="166" t="s">
        <v>337</v>
      </c>
      <c r="P326" s="167">
        <v>1565544.36</v>
      </c>
      <c r="Q326" s="167">
        <v>0</v>
      </c>
      <c r="R326" s="167">
        <v>0</v>
      </c>
      <c r="S326" s="167">
        <f t="shared" ref="S326:S336" si="96">P326-Q326-R326</f>
        <v>1565544.36</v>
      </c>
      <c r="T326" s="167">
        <f t="shared" si="77"/>
        <v>3868.407116382506</v>
      </c>
      <c r="U326" s="167">
        <v>4913.1223548307389</v>
      </c>
      <c r="V326" s="149">
        <f t="shared" si="79"/>
        <v>1044.7152384482329</v>
      </c>
      <c r="W326" s="149">
        <f t="shared" ref="W326:W341" si="97">X326+Y326+Z326+AA326+AB326+AD326+AF326+AH326+AJ326+AL326+AN326+AO326</f>
        <v>4913.1223548307389</v>
      </c>
      <c r="X326" s="149">
        <v>0</v>
      </c>
      <c r="Y326" s="368">
        <v>0</v>
      </c>
      <c r="Z326" s="368">
        <v>0</v>
      </c>
      <c r="AA326" s="368">
        <v>0</v>
      </c>
      <c r="AB326" s="368">
        <v>0</v>
      </c>
      <c r="AC326" s="368">
        <v>0</v>
      </c>
      <c r="AD326" s="368">
        <v>0</v>
      </c>
      <c r="AE326" s="368">
        <v>318.7</v>
      </c>
      <c r="AF326" s="396">
        <f>6238.91*AE326/I326</f>
        <v>4913.1223548307389</v>
      </c>
      <c r="AG326" s="368">
        <v>0</v>
      </c>
      <c r="AH326" s="396">
        <v>0</v>
      </c>
      <c r="AI326" s="368">
        <v>0</v>
      </c>
      <c r="AJ326" s="396">
        <v>0</v>
      </c>
      <c r="AK326" s="368">
        <v>0</v>
      </c>
      <c r="AL326" s="368">
        <v>0</v>
      </c>
      <c r="AM326" s="368">
        <v>0</v>
      </c>
      <c r="AN326" s="368"/>
      <c r="AO326" s="368">
        <v>0</v>
      </c>
    </row>
    <row r="327" spans="1:41" s="152" customFormat="1" ht="36" customHeight="1" x14ac:dyDescent="0.9">
      <c r="A327" s="152">
        <v>1</v>
      </c>
      <c r="B327" s="90">
        <f>SUBTOTAL(103,$A$16:A327)</f>
        <v>297</v>
      </c>
      <c r="C327" s="89" t="s">
        <v>235</v>
      </c>
      <c r="D327" s="163">
        <v>1964</v>
      </c>
      <c r="E327" s="163"/>
      <c r="F327" s="168" t="s">
        <v>270</v>
      </c>
      <c r="G327" s="163">
        <v>2</v>
      </c>
      <c r="H327" s="163">
        <v>2</v>
      </c>
      <c r="I327" s="167">
        <v>604.29999999999995</v>
      </c>
      <c r="J327" s="167">
        <v>596.20000000000005</v>
      </c>
      <c r="K327" s="167">
        <v>596.20000000000005</v>
      </c>
      <c r="L327" s="165">
        <v>25</v>
      </c>
      <c r="M327" s="163" t="s">
        <v>268</v>
      </c>
      <c r="N327" s="163" t="s">
        <v>272</v>
      </c>
      <c r="O327" s="166" t="s">
        <v>338</v>
      </c>
      <c r="P327" s="167">
        <v>2567368.66</v>
      </c>
      <c r="Q327" s="167">
        <v>0</v>
      </c>
      <c r="R327" s="167">
        <v>0</v>
      </c>
      <c r="S327" s="167">
        <f t="shared" si="96"/>
        <v>2567368.66</v>
      </c>
      <c r="T327" s="167">
        <f t="shared" si="77"/>
        <v>4248.5001820287944</v>
      </c>
      <c r="U327" s="167">
        <v>5537.1623034916438</v>
      </c>
      <c r="V327" s="149">
        <f t="shared" si="79"/>
        <v>1288.6621214628494</v>
      </c>
      <c r="W327" s="149">
        <f t="shared" si="97"/>
        <v>5537.1623034916438</v>
      </c>
      <c r="X327" s="149">
        <v>0</v>
      </c>
      <c r="Y327" s="368">
        <v>0</v>
      </c>
      <c r="Z327" s="368">
        <v>0</v>
      </c>
      <c r="AA327" s="368">
        <v>0</v>
      </c>
      <c r="AB327" s="368">
        <v>0</v>
      </c>
      <c r="AC327" s="368">
        <v>0</v>
      </c>
      <c r="AD327" s="368">
        <v>0</v>
      </c>
      <c r="AE327" s="368">
        <v>0</v>
      </c>
      <c r="AF327" s="396">
        <v>0</v>
      </c>
      <c r="AG327" s="368">
        <v>0</v>
      </c>
      <c r="AH327" s="396">
        <v>0</v>
      </c>
      <c r="AI327" s="368">
        <v>449.8</v>
      </c>
      <c r="AJ327" s="397">
        <f>7439.1*AI327/I327</f>
        <v>5537.1623034916438</v>
      </c>
      <c r="AK327" s="368">
        <v>0</v>
      </c>
      <c r="AL327" s="368">
        <v>0</v>
      </c>
      <c r="AM327" s="368">
        <v>0</v>
      </c>
      <c r="AN327" s="368"/>
      <c r="AO327" s="368">
        <v>0</v>
      </c>
    </row>
    <row r="328" spans="1:41" s="152" customFormat="1" ht="36" customHeight="1" x14ac:dyDescent="0.9">
      <c r="A328" s="152">
        <v>1</v>
      </c>
      <c r="B328" s="90">
        <f>SUBTOTAL(103,$A$16:A328)</f>
        <v>298</v>
      </c>
      <c r="C328" s="89" t="s">
        <v>238</v>
      </c>
      <c r="D328" s="163">
        <v>1961</v>
      </c>
      <c r="E328" s="163"/>
      <c r="F328" s="168" t="s">
        <v>340</v>
      </c>
      <c r="G328" s="163">
        <v>2</v>
      </c>
      <c r="H328" s="163">
        <v>2</v>
      </c>
      <c r="I328" s="167">
        <v>605.1</v>
      </c>
      <c r="J328" s="167">
        <v>560.20000000000005</v>
      </c>
      <c r="K328" s="167">
        <v>521</v>
      </c>
      <c r="L328" s="165">
        <v>28</v>
      </c>
      <c r="M328" s="163" t="s">
        <v>268</v>
      </c>
      <c r="N328" s="163" t="s">
        <v>272</v>
      </c>
      <c r="O328" s="166" t="s">
        <v>337</v>
      </c>
      <c r="P328" s="167">
        <v>2325723.11</v>
      </c>
      <c r="Q328" s="167">
        <v>0</v>
      </c>
      <c r="R328" s="167">
        <v>0</v>
      </c>
      <c r="S328" s="167">
        <f t="shared" si="96"/>
        <v>2325723.11</v>
      </c>
      <c r="T328" s="167">
        <f t="shared" si="77"/>
        <v>3843.5351346884809</v>
      </c>
      <c r="U328" s="167">
        <v>4787.1854453809292</v>
      </c>
      <c r="V328" s="149">
        <f t="shared" si="79"/>
        <v>943.65031069244833</v>
      </c>
      <c r="W328" s="149">
        <f t="shared" si="97"/>
        <v>4787.1854453809292</v>
      </c>
      <c r="X328" s="149">
        <v>0</v>
      </c>
      <c r="Y328" s="368">
        <v>0</v>
      </c>
      <c r="Z328" s="368">
        <v>0</v>
      </c>
      <c r="AA328" s="368">
        <v>0</v>
      </c>
      <c r="AB328" s="368">
        <v>0</v>
      </c>
      <c r="AC328" s="368">
        <v>0</v>
      </c>
      <c r="AD328" s="368">
        <v>0</v>
      </c>
      <c r="AE328" s="368">
        <v>464.3</v>
      </c>
      <c r="AF328" s="396">
        <f t="shared" ref="AF328:AF331" si="98">6238.91*AE328/I328</f>
        <v>4787.1854453809292</v>
      </c>
      <c r="AG328" s="368">
        <v>0</v>
      </c>
      <c r="AH328" s="396">
        <v>0</v>
      </c>
      <c r="AI328" s="368">
        <v>0</v>
      </c>
      <c r="AJ328" s="396">
        <v>0</v>
      </c>
      <c r="AK328" s="368">
        <v>0</v>
      </c>
      <c r="AL328" s="368">
        <v>0</v>
      </c>
      <c r="AM328" s="368">
        <v>0</v>
      </c>
      <c r="AN328" s="368"/>
      <c r="AO328" s="368">
        <v>0</v>
      </c>
    </row>
    <row r="329" spans="1:41" s="152" customFormat="1" ht="36" customHeight="1" x14ac:dyDescent="0.9">
      <c r="A329" s="152">
        <v>1</v>
      </c>
      <c r="B329" s="90">
        <f>SUBTOTAL(103,$A$16:A329)</f>
        <v>299</v>
      </c>
      <c r="C329" s="89" t="s">
        <v>239</v>
      </c>
      <c r="D329" s="163">
        <v>1917</v>
      </c>
      <c r="E329" s="163"/>
      <c r="F329" s="168" t="s">
        <v>270</v>
      </c>
      <c r="G329" s="163">
        <v>2</v>
      </c>
      <c r="H329" s="163">
        <v>2</v>
      </c>
      <c r="I329" s="167">
        <v>336.7</v>
      </c>
      <c r="J329" s="167">
        <v>304.3</v>
      </c>
      <c r="K329" s="167">
        <v>304.3</v>
      </c>
      <c r="L329" s="165">
        <v>13</v>
      </c>
      <c r="M329" s="163" t="s">
        <v>268</v>
      </c>
      <c r="N329" s="163" t="s">
        <v>272</v>
      </c>
      <c r="O329" s="166" t="s">
        <v>337</v>
      </c>
      <c r="P329" s="167">
        <v>1317002.8400000001</v>
      </c>
      <c r="Q329" s="167">
        <v>0</v>
      </c>
      <c r="R329" s="167">
        <v>0</v>
      </c>
      <c r="S329" s="167">
        <f t="shared" si="96"/>
        <v>1317002.8400000001</v>
      </c>
      <c r="T329" s="167">
        <f t="shared" si="77"/>
        <v>3911.5023463023467</v>
      </c>
      <c r="U329" s="167">
        <v>5021.516513216513</v>
      </c>
      <c r="V329" s="149">
        <f t="shared" si="79"/>
        <v>1110.0141669141663</v>
      </c>
      <c r="W329" s="149">
        <f t="shared" si="97"/>
        <v>5021.516513216513</v>
      </c>
      <c r="X329" s="149">
        <v>0</v>
      </c>
      <c r="Y329" s="368">
        <v>0</v>
      </c>
      <c r="Z329" s="368">
        <v>0</v>
      </c>
      <c r="AA329" s="368">
        <v>0</v>
      </c>
      <c r="AB329" s="368">
        <v>0</v>
      </c>
      <c r="AC329" s="368">
        <v>0</v>
      </c>
      <c r="AD329" s="368">
        <v>0</v>
      </c>
      <c r="AE329" s="368">
        <v>271</v>
      </c>
      <c r="AF329" s="396">
        <f t="shared" si="98"/>
        <v>5021.516513216513</v>
      </c>
      <c r="AG329" s="368">
        <v>0</v>
      </c>
      <c r="AH329" s="396">
        <v>0</v>
      </c>
      <c r="AI329" s="368">
        <v>0</v>
      </c>
      <c r="AJ329" s="396">
        <v>0</v>
      </c>
      <c r="AK329" s="368">
        <v>0</v>
      </c>
      <c r="AL329" s="368">
        <v>0</v>
      </c>
      <c r="AM329" s="368">
        <v>0</v>
      </c>
      <c r="AN329" s="368"/>
      <c r="AO329" s="368">
        <v>0</v>
      </c>
    </row>
    <row r="330" spans="1:41" s="152" customFormat="1" ht="36" customHeight="1" x14ac:dyDescent="0.9">
      <c r="A330" s="152">
        <v>1</v>
      </c>
      <c r="B330" s="90">
        <f>SUBTOTAL(103,$A$16:A330)</f>
        <v>300</v>
      </c>
      <c r="C330" s="89" t="s">
        <v>234</v>
      </c>
      <c r="D330" s="169">
        <v>1970</v>
      </c>
      <c r="E330" s="163"/>
      <c r="F330" s="168" t="s">
        <v>270</v>
      </c>
      <c r="G330" s="163">
        <v>2</v>
      </c>
      <c r="H330" s="163">
        <v>1</v>
      </c>
      <c r="I330" s="167">
        <v>352</v>
      </c>
      <c r="J330" s="167">
        <v>321</v>
      </c>
      <c r="K330" s="167">
        <v>321</v>
      </c>
      <c r="L330" s="165">
        <v>20</v>
      </c>
      <c r="M330" s="163" t="s">
        <v>268</v>
      </c>
      <c r="N330" s="163" t="s">
        <v>272</v>
      </c>
      <c r="O330" s="166" t="s">
        <v>339</v>
      </c>
      <c r="P330" s="167">
        <v>1004301.26</v>
      </c>
      <c r="Q330" s="167">
        <v>0</v>
      </c>
      <c r="R330" s="167">
        <v>0</v>
      </c>
      <c r="S330" s="167">
        <f t="shared" si="96"/>
        <v>1004301.26</v>
      </c>
      <c r="T330" s="167">
        <f t="shared" si="77"/>
        <v>2853.1285795454546</v>
      </c>
      <c r="U330" s="167">
        <v>3707.5431642045455</v>
      </c>
      <c r="V330" s="149">
        <f t="shared" si="79"/>
        <v>854.41458465909091</v>
      </c>
      <c r="W330" s="149">
        <f t="shared" si="97"/>
        <v>3707.5431642045455</v>
      </c>
      <c r="X330" s="149">
        <v>0</v>
      </c>
      <c r="Y330" s="368">
        <v>0</v>
      </c>
      <c r="Z330" s="368">
        <v>0</v>
      </c>
      <c r="AA330" s="368">
        <v>0</v>
      </c>
      <c r="AB330" s="368">
        <v>0</v>
      </c>
      <c r="AC330" s="368">
        <v>0</v>
      </c>
      <c r="AD330" s="368">
        <v>0</v>
      </c>
      <c r="AE330" s="368">
        <v>209.18</v>
      </c>
      <c r="AF330" s="396">
        <f t="shared" si="98"/>
        <v>3707.5431642045455</v>
      </c>
      <c r="AG330" s="368">
        <v>0</v>
      </c>
      <c r="AH330" s="396">
        <v>0</v>
      </c>
      <c r="AI330" s="368">
        <v>0</v>
      </c>
      <c r="AJ330" s="396">
        <v>0</v>
      </c>
      <c r="AK330" s="368">
        <v>0</v>
      </c>
      <c r="AL330" s="368">
        <v>0</v>
      </c>
      <c r="AM330" s="368">
        <v>0</v>
      </c>
      <c r="AN330" s="368"/>
      <c r="AO330" s="368">
        <v>0</v>
      </c>
    </row>
    <row r="331" spans="1:41" s="152" customFormat="1" ht="36" customHeight="1" x14ac:dyDescent="0.9">
      <c r="A331" s="152">
        <v>1</v>
      </c>
      <c r="B331" s="90">
        <f>SUBTOTAL(103,$A$16:A331)</f>
        <v>301</v>
      </c>
      <c r="C331" s="89" t="s">
        <v>241</v>
      </c>
      <c r="D331" s="163">
        <v>1972</v>
      </c>
      <c r="E331" s="163"/>
      <c r="F331" s="168" t="s">
        <v>270</v>
      </c>
      <c r="G331" s="163">
        <v>2</v>
      </c>
      <c r="H331" s="163">
        <v>3</v>
      </c>
      <c r="I331" s="167">
        <v>899</v>
      </c>
      <c r="J331" s="167">
        <v>845</v>
      </c>
      <c r="K331" s="167">
        <v>845</v>
      </c>
      <c r="L331" s="165">
        <v>42</v>
      </c>
      <c r="M331" s="163" t="s">
        <v>268</v>
      </c>
      <c r="N331" s="163" t="s">
        <v>272</v>
      </c>
      <c r="O331" s="166" t="s">
        <v>337</v>
      </c>
      <c r="P331" s="167">
        <v>2694274.4</v>
      </c>
      <c r="Q331" s="167">
        <v>0</v>
      </c>
      <c r="R331" s="167">
        <v>0</v>
      </c>
      <c r="S331" s="167">
        <f t="shared" si="96"/>
        <v>2694274.4</v>
      </c>
      <c r="T331" s="167">
        <f t="shared" si="77"/>
        <v>2996.9681868743046</v>
      </c>
      <c r="U331" s="167">
        <v>3743.346</v>
      </c>
      <c r="V331" s="149">
        <f t="shared" si="79"/>
        <v>746.37781312569541</v>
      </c>
      <c r="W331" s="149">
        <f t="shared" si="97"/>
        <v>3743.346</v>
      </c>
      <c r="X331" s="149">
        <v>0</v>
      </c>
      <c r="Y331" s="368">
        <v>0</v>
      </c>
      <c r="Z331" s="368">
        <v>0</v>
      </c>
      <c r="AA331" s="368">
        <v>0</v>
      </c>
      <c r="AB331" s="368">
        <v>0</v>
      </c>
      <c r="AC331" s="368">
        <v>0</v>
      </c>
      <c r="AD331" s="368">
        <v>0</v>
      </c>
      <c r="AE331" s="368">
        <v>539.4</v>
      </c>
      <c r="AF331" s="396">
        <f t="shared" si="98"/>
        <v>3743.346</v>
      </c>
      <c r="AG331" s="368">
        <v>0</v>
      </c>
      <c r="AH331" s="396">
        <v>0</v>
      </c>
      <c r="AI331" s="368">
        <v>0</v>
      </c>
      <c r="AJ331" s="396">
        <v>0</v>
      </c>
      <c r="AK331" s="368">
        <v>0</v>
      </c>
      <c r="AL331" s="368">
        <v>0</v>
      </c>
      <c r="AM331" s="368">
        <v>0</v>
      </c>
      <c r="AN331" s="368"/>
      <c r="AO331" s="368">
        <v>0</v>
      </c>
    </row>
    <row r="332" spans="1:41" s="152" customFormat="1" ht="36" customHeight="1" x14ac:dyDescent="0.9">
      <c r="A332" s="152">
        <v>1</v>
      </c>
      <c r="B332" s="90">
        <f>SUBTOTAL(103,$A$16:A332)</f>
        <v>302</v>
      </c>
      <c r="C332" s="89" t="s">
        <v>1227</v>
      </c>
      <c r="D332" s="163">
        <v>1959</v>
      </c>
      <c r="E332" s="163"/>
      <c r="F332" s="168" t="s">
        <v>340</v>
      </c>
      <c r="G332" s="163">
        <v>2</v>
      </c>
      <c r="H332" s="163">
        <v>2</v>
      </c>
      <c r="I332" s="167">
        <v>654.4</v>
      </c>
      <c r="J332" s="167">
        <v>551.4</v>
      </c>
      <c r="K332" s="167">
        <v>551.4</v>
      </c>
      <c r="L332" s="165">
        <v>22</v>
      </c>
      <c r="M332" s="163" t="s">
        <v>268</v>
      </c>
      <c r="N332" s="163" t="s">
        <v>272</v>
      </c>
      <c r="O332" s="166" t="s">
        <v>338</v>
      </c>
      <c r="P332" s="167">
        <v>2857556.7199999997</v>
      </c>
      <c r="Q332" s="167">
        <v>0</v>
      </c>
      <c r="R332" s="167">
        <v>0</v>
      </c>
      <c r="S332" s="167">
        <f t="shared" si="96"/>
        <v>2857556.7199999997</v>
      </c>
      <c r="T332" s="167">
        <f t="shared" si="77"/>
        <v>4366.6820293398532</v>
      </c>
      <c r="U332" s="167">
        <v>8078.0383175427869</v>
      </c>
      <c r="V332" s="149">
        <f t="shared" si="79"/>
        <v>3711.3562882029337</v>
      </c>
      <c r="W332" s="149">
        <f t="shared" si="97"/>
        <v>8078.0383175427869</v>
      </c>
      <c r="X332" s="149">
        <v>0</v>
      </c>
      <c r="Y332" s="368">
        <v>0</v>
      </c>
      <c r="Z332" s="368">
        <v>0</v>
      </c>
      <c r="AA332" s="368">
        <v>0</v>
      </c>
      <c r="AB332" s="368">
        <v>0</v>
      </c>
      <c r="AC332" s="368">
        <v>0</v>
      </c>
      <c r="AD332" s="368">
        <v>0</v>
      </c>
      <c r="AE332" s="368">
        <v>0</v>
      </c>
      <c r="AF332" s="396">
        <v>0</v>
      </c>
      <c r="AG332" s="368">
        <v>0</v>
      </c>
      <c r="AH332" s="396">
        <v>0</v>
      </c>
      <c r="AI332" s="368">
        <v>677.5</v>
      </c>
      <c r="AJ332" s="397">
        <f>7802.61*AI332/I332</f>
        <v>8078.0383175427869</v>
      </c>
      <c r="AK332" s="368">
        <v>0</v>
      </c>
      <c r="AL332" s="368">
        <v>0</v>
      </c>
      <c r="AM332" s="368">
        <v>0</v>
      </c>
      <c r="AN332" s="368"/>
      <c r="AO332" s="368">
        <v>0</v>
      </c>
    </row>
    <row r="333" spans="1:41" s="152" customFormat="1" ht="36" customHeight="1" x14ac:dyDescent="0.9">
      <c r="A333" s="152">
        <v>1</v>
      </c>
      <c r="B333" s="90">
        <f>SUBTOTAL(103,$A$16:A333)</f>
        <v>303</v>
      </c>
      <c r="C333" s="89" t="s">
        <v>1228</v>
      </c>
      <c r="D333" s="163">
        <v>1977</v>
      </c>
      <c r="E333" s="163"/>
      <c r="F333" s="168" t="s">
        <v>270</v>
      </c>
      <c r="G333" s="163">
        <v>5</v>
      </c>
      <c r="H333" s="163">
        <v>1</v>
      </c>
      <c r="I333" s="167">
        <v>3819</v>
      </c>
      <c r="J333" s="167">
        <v>1968.3</v>
      </c>
      <c r="K333" s="167">
        <v>764.2</v>
      </c>
      <c r="L333" s="165">
        <v>379</v>
      </c>
      <c r="M333" s="163" t="s">
        <v>268</v>
      </c>
      <c r="N333" s="163" t="s">
        <v>272</v>
      </c>
      <c r="O333" s="166" t="s">
        <v>1327</v>
      </c>
      <c r="P333" s="167">
        <v>3331286.34</v>
      </c>
      <c r="Q333" s="167">
        <v>0</v>
      </c>
      <c r="R333" s="167">
        <v>0</v>
      </c>
      <c r="S333" s="167">
        <f t="shared" si="96"/>
        <v>3331286.34</v>
      </c>
      <c r="T333" s="167">
        <f t="shared" si="77"/>
        <v>872.29283582089545</v>
      </c>
      <c r="U333" s="167">
        <v>1081.8399999999999</v>
      </c>
      <c r="V333" s="149">
        <f t="shared" si="79"/>
        <v>209.54716417910447</v>
      </c>
      <c r="W333" s="149">
        <f t="shared" si="97"/>
        <v>1081.8399999999999</v>
      </c>
      <c r="X333" s="149">
        <v>101.55</v>
      </c>
      <c r="Y333" s="368">
        <v>0</v>
      </c>
      <c r="Z333" s="368">
        <v>0</v>
      </c>
      <c r="AA333" s="368">
        <v>184.98</v>
      </c>
      <c r="AB333" s="368">
        <v>795.31</v>
      </c>
      <c r="AC333" s="368">
        <v>0</v>
      </c>
      <c r="AD333" s="368">
        <v>0</v>
      </c>
      <c r="AE333" s="368">
        <v>0</v>
      </c>
      <c r="AF333" s="396">
        <v>0</v>
      </c>
      <c r="AG333" s="368">
        <v>0</v>
      </c>
      <c r="AH333" s="396">
        <v>0</v>
      </c>
      <c r="AI333" s="368">
        <v>0</v>
      </c>
      <c r="AJ333" s="396">
        <v>0</v>
      </c>
      <c r="AK333" s="368">
        <v>0</v>
      </c>
      <c r="AL333" s="368">
        <v>0</v>
      </c>
      <c r="AM333" s="368">
        <v>0</v>
      </c>
      <c r="AN333" s="368"/>
      <c r="AO333" s="368">
        <v>0</v>
      </c>
    </row>
    <row r="334" spans="1:41" s="152" customFormat="1" ht="36" customHeight="1" x14ac:dyDescent="0.9">
      <c r="A334" s="152">
        <v>1</v>
      </c>
      <c r="B334" s="90">
        <f>SUBTOTAL(103,$A$16:A334)</f>
        <v>304</v>
      </c>
      <c r="C334" s="89" t="s">
        <v>1229</v>
      </c>
      <c r="D334" s="163">
        <v>1951</v>
      </c>
      <c r="E334" s="163"/>
      <c r="F334" s="168" t="s">
        <v>340</v>
      </c>
      <c r="G334" s="163">
        <v>2</v>
      </c>
      <c r="H334" s="163">
        <v>2</v>
      </c>
      <c r="I334" s="167">
        <v>859.4</v>
      </c>
      <c r="J334" s="167">
        <v>766.5</v>
      </c>
      <c r="K334" s="167">
        <v>697.3</v>
      </c>
      <c r="L334" s="165">
        <v>43</v>
      </c>
      <c r="M334" s="163" t="s">
        <v>268</v>
      </c>
      <c r="N334" s="163" t="s">
        <v>272</v>
      </c>
      <c r="O334" s="166" t="s">
        <v>337</v>
      </c>
      <c r="P334" s="167">
        <v>3210077.19</v>
      </c>
      <c r="Q334" s="167">
        <v>0</v>
      </c>
      <c r="R334" s="167">
        <v>0</v>
      </c>
      <c r="S334" s="167">
        <f t="shared" si="96"/>
        <v>3210077.19</v>
      </c>
      <c r="T334" s="167">
        <f t="shared" si="77"/>
        <v>3735.2538864323947</v>
      </c>
      <c r="U334" s="167">
        <v>6854.7481382359783</v>
      </c>
      <c r="V334" s="149">
        <f t="shared" si="79"/>
        <v>3119.4942518035837</v>
      </c>
      <c r="W334" s="149">
        <f t="shared" si="97"/>
        <v>6854.7481382359783</v>
      </c>
      <c r="X334" s="149">
        <v>0</v>
      </c>
      <c r="Y334" s="368">
        <v>0</v>
      </c>
      <c r="Z334" s="368">
        <v>0</v>
      </c>
      <c r="AA334" s="368">
        <v>0</v>
      </c>
      <c r="AB334" s="368">
        <v>0</v>
      </c>
      <c r="AC334" s="368">
        <v>0</v>
      </c>
      <c r="AD334" s="368">
        <v>0</v>
      </c>
      <c r="AE334" s="368">
        <v>0</v>
      </c>
      <c r="AF334" s="396">
        <v>0</v>
      </c>
      <c r="AG334" s="368">
        <v>0</v>
      </c>
      <c r="AH334" s="396">
        <v>0</v>
      </c>
      <c r="AI334" s="368">
        <v>755</v>
      </c>
      <c r="AJ334" s="397">
        <f>7802.61*AI334/I334</f>
        <v>6854.7481382359783</v>
      </c>
      <c r="AK334" s="368">
        <v>0</v>
      </c>
      <c r="AL334" s="368">
        <v>0</v>
      </c>
      <c r="AM334" s="368">
        <v>0</v>
      </c>
      <c r="AN334" s="368"/>
      <c r="AO334" s="368">
        <v>0</v>
      </c>
    </row>
    <row r="335" spans="1:41" s="152" customFormat="1" ht="36" customHeight="1" x14ac:dyDescent="0.9">
      <c r="A335" s="152">
        <v>1</v>
      </c>
      <c r="B335" s="90">
        <f>SUBTOTAL(103,$A$16:A335)</f>
        <v>305</v>
      </c>
      <c r="C335" s="89" t="s">
        <v>1231</v>
      </c>
      <c r="D335" s="163">
        <v>1958</v>
      </c>
      <c r="E335" s="163"/>
      <c r="F335" s="168" t="s">
        <v>270</v>
      </c>
      <c r="G335" s="163">
        <v>2</v>
      </c>
      <c r="H335" s="163">
        <v>2</v>
      </c>
      <c r="I335" s="167">
        <v>482.5</v>
      </c>
      <c r="J335" s="167">
        <v>431.7</v>
      </c>
      <c r="K335" s="167">
        <v>367.4</v>
      </c>
      <c r="L335" s="165">
        <v>27</v>
      </c>
      <c r="M335" s="163" t="s">
        <v>268</v>
      </c>
      <c r="N335" s="163" t="s">
        <v>272</v>
      </c>
      <c r="O335" s="166" t="s">
        <v>337</v>
      </c>
      <c r="P335" s="167">
        <v>1811384.8699999999</v>
      </c>
      <c r="Q335" s="167">
        <v>0</v>
      </c>
      <c r="R335" s="167">
        <v>0</v>
      </c>
      <c r="S335" s="167">
        <f t="shared" si="96"/>
        <v>1811384.8699999999</v>
      </c>
      <c r="T335" s="167">
        <f t="shared" si="77"/>
        <v>3754.1655336787562</v>
      </c>
      <c r="U335" s="167">
        <v>13413.400178238342</v>
      </c>
      <c r="V335" s="149">
        <f t="shared" si="79"/>
        <v>9659.2346445595867</v>
      </c>
      <c r="W335" s="149">
        <f t="shared" si="97"/>
        <v>13413.400178238342</v>
      </c>
      <c r="X335" s="149">
        <v>0</v>
      </c>
      <c r="Y335" s="368">
        <v>0</v>
      </c>
      <c r="Z335" s="368">
        <v>0</v>
      </c>
      <c r="AA335" s="368">
        <v>0</v>
      </c>
      <c r="AB335" s="368">
        <v>0</v>
      </c>
      <c r="AC335" s="368">
        <v>0</v>
      </c>
      <c r="AD335" s="368">
        <v>0</v>
      </c>
      <c r="AE335" s="368">
        <v>0</v>
      </c>
      <c r="AF335" s="396">
        <v>0</v>
      </c>
      <c r="AG335" s="368">
        <v>0</v>
      </c>
      <c r="AH335" s="396">
        <v>0</v>
      </c>
      <c r="AI335" s="368">
        <v>0</v>
      </c>
      <c r="AJ335" s="396">
        <v>0</v>
      </c>
      <c r="AK335" s="368">
        <v>84.3</v>
      </c>
      <c r="AL335" s="396">
        <f>76773.02*AK335/I335</f>
        <v>13413.400178238342</v>
      </c>
      <c r="AM335" s="368">
        <v>0</v>
      </c>
      <c r="AN335" s="368"/>
      <c r="AO335" s="368">
        <v>0</v>
      </c>
    </row>
    <row r="336" spans="1:41" s="152" customFormat="1" ht="36" customHeight="1" x14ac:dyDescent="0.9">
      <c r="A336" s="152">
        <v>1</v>
      </c>
      <c r="B336" s="90">
        <f>SUBTOTAL(103,$A$16:A336)</f>
        <v>306</v>
      </c>
      <c r="C336" s="89" t="s">
        <v>1232</v>
      </c>
      <c r="D336" s="163">
        <v>1917</v>
      </c>
      <c r="E336" s="163"/>
      <c r="F336" s="168" t="s">
        <v>270</v>
      </c>
      <c r="G336" s="163">
        <v>2</v>
      </c>
      <c r="H336" s="163">
        <v>2</v>
      </c>
      <c r="I336" s="167">
        <v>333.7</v>
      </c>
      <c r="J336" s="167">
        <v>264.8</v>
      </c>
      <c r="K336" s="167">
        <v>264.79899999999998</v>
      </c>
      <c r="L336" s="165">
        <v>10</v>
      </c>
      <c r="M336" s="163" t="s">
        <v>268</v>
      </c>
      <c r="N336" s="163" t="s">
        <v>272</v>
      </c>
      <c r="O336" s="166" t="s">
        <v>337</v>
      </c>
      <c r="P336" s="167">
        <v>1787601.6700000002</v>
      </c>
      <c r="Q336" s="167">
        <v>0</v>
      </c>
      <c r="R336" s="167">
        <v>0</v>
      </c>
      <c r="S336" s="167">
        <f t="shared" si="96"/>
        <v>1787601.6700000002</v>
      </c>
      <c r="T336" s="167">
        <f t="shared" si="77"/>
        <v>5356.9124063530126</v>
      </c>
      <c r="U336" s="167">
        <v>6997.9742673059627</v>
      </c>
      <c r="V336" s="149">
        <f t="shared" si="79"/>
        <v>1641.0618609529502</v>
      </c>
      <c r="W336" s="149">
        <f t="shared" si="97"/>
        <v>6997.9742673059627</v>
      </c>
      <c r="X336" s="149">
        <v>0</v>
      </c>
      <c r="Y336" s="368">
        <v>0</v>
      </c>
      <c r="Z336" s="368">
        <v>0</v>
      </c>
      <c r="AA336" s="368">
        <v>0</v>
      </c>
      <c r="AB336" s="368">
        <v>0</v>
      </c>
      <c r="AC336" s="368">
        <v>0</v>
      </c>
      <c r="AD336" s="368">
        <v>0</v>
      </c>
      <c r="AE336" s="368">
        <v>374.3</v>
      </c>
      <c r="AF336" s="396">
        <f t="shared" ref="AF336:AF340" si="99">6238.91*AE336/I336</f>
        <v>6997.9742673059627</v>
      </c>
      <c r="AG336" s="368">
        <v>0</v>
      </c>
      <c r="AH336" s="396">
        <v>0</v>
      </c>
      <c r="AI336" s="368">
        <v>0</v>
      </c>
      <c r="AJ336" s="396">
        <v>0</v>
      </c>
      <c r="AK336" s="368">
        <v>0</v>
      </c>
      <c r="AL336" s="368">
        <v>0</v>
      </c>
      <c r="AM336" s="368">
        <v>0</v>
      </c>
      <c r="AN336" s="368"/>
      <c r="AO336" s="368">
        <v>0</v>
      </c>
    </row>
    <row r="337" spans="1:41" s="152" customFormat="1" ht="36" customHeight="1" x14ac:dyDescent="0.9">
      <c r="A337" s="152">
        <v>1</v>
      </c>
      <c r="B337" s="90">
        <f>SUBTOTAL(103,$A$16:A337)</f>
        <v>307</v>
      </c>
      <c r="C337" s="89" t="s">
        <v>1553</v>
      </c>
      <c r="D337" s="163">
        <v>1967</v>
      </c>
      <c r="E337" s="163"/>
      <c r="F337" s="168" t="s">
        <v>270</v>
      </c>
      <c r="G337" s="163">
        <v>2</v>
      </c>
      <c r="H337" s="163">
        <v>1</v>
      </c>
      <c r="I337" s="167">
        <v>391.7</v>
      </c>
      <c r="J337" s="167">
        <v>362.7</v>
      </c>
      <c r="K337" s="167">
        <v>362.7</v>
      </c>
      <c r="L337" s="165">
        <v>15</v>
      </c>
      <c r="M337" s="163" t="s">
        <v>268</v>
      </c>
      <c r="N337" s="163" t="s">
        <v>272</v>
      </c>
      <c r="O337" s="166" t="s">
        <v>338</v>
      </c>
      <c r="P337" s="167">
        <v>1422703.04</v>
      </c>
      <c r="Q337" s="167">
        <v>0</v>
      </c>
      <c r="R337" s="167">
        <v>0</v>
      </c>
      <c r="S337" s="167">
        <f>P337-R337-Q337</f>
        <v>1422703.04</v>
      </c>
      <c r="T337" s="167">
        <f t="shared" si="77"/>
        <v>3632.1241766658159</v>
      </c>
      <c r="U337" s="167">
        <v>5222.2400349757472</v>
      </c>
      <c r="V337" s="149">
        <f t="shared" si="79"/>
        <v>1590.1158583099314</v>
      </c>
      <c r="W337" s="149">
        <f t="shared" si="97"/>
        <v>5222.2400349757472</v>
      </c>
      <c r="X337" s="149">
        <v>0</v>
      </c>
      <c r="Y337" s="368">
        <v>0</v>
      </c>
      <c r="Z337" s="368">
        <v>0</v>
      </c>
      <c r="AA337" s="368">
        <v>0</v>
      </c>
      <c r="AB337" s="368">
        <v>0</v>
      </c>
      <c r="AC337" s="368">
        <v>0</v>
      </c>
      <c r="AD337" s="368">
        <v>0</v>
      </c>
      <c r="AE337" s="368">
        <v>327.87</v>
      </c>
      <c r="AF337" s="396">
        <f t="shared" si="99"/>
        <v>5222.2400349757472</v>
      </c>
      <c r="AG337" s="368">
        <v>0</v>
      </c>
      <c r="AH337" s="396">
        <v>0</v>
      </c>
      <c r="AI337" s="368">
        <v>0</v>
      </c>
      <c r="AJ337" s="396">
        <v>0</v>
      </c>
      <c r="AK337" s="368">
        <v>0</v>
      </c>
      <c r="AL337" s="368">
        <v>0</v>
      </c>
      <c r="AM337" s="368">
        <v>0</v>
      </c>
      <c r="AN337" s="368"/>
      <c r="AO337" s="368">
        <v>0</v>
      </c>
    </row>
    <row r="338" spans="1:41" s="152" customFormat="1" ht="36" customHeight="1" x14ac:dyDescent="0.9">
      <c r="A338" s="152">
        <v>1</v>
      </c>
      <c r="B338" s="90">
        <f>SUBTOTAL(103,$A$16:A338)</f>
        <v>308</v>
      </c>
      <c r="C338" s="89" t="s">
        <v>1554</v>
      </c>
      <c r="D338" s="163">
        <v>1969</v>
      </c>
      <c r="E338" s="163"/>
      <c r="F338" s="168" t="s">
        <v>270</v>
      </c>
      <c r="G338" s="163">
        <v>2</v>
      </c>
      <c r="H338" s="163">
        <v>2</v>
      </c>
      <c r="I338" s="167">
        <v>705.3</v>
      </c>
      <c r="J338" s="167">
        <v>681.2</v>
      </c>
      <c r="K338" s="167">
        <v>626.79999999999995</v>
      </c>
      <c r="L338" s="165">
        <v>32</v>
      </c>
      <c r="M338" s="163" t="s">
        <v>268</v>
      </c>
      <c r="N338" s="163" t="s">
        <v>272</v>
      </c>
      <c r="O338" s="166" t="s">
        <v>337</v>
      </c>
      <c r="P338" s="167">
        <v>2288459.5900000003</v>
      </c>
      <c r="Q338" s="167">
        <v>0</v>
      </c>
      <c r="R338" s="167">
        <v>0</v>
      </c>
      <c r="S338" s="167">
        <f>P338-R338-Q338</f>
        <v>2288459.5900000003</v>
      </c>
      <c r="T338" s="167">
        <f t="shared" si="77"/>
        <v>3244.6612647100533</v>
      </c>
      <c r="U338" s="167">
        <v>5312.1403974195382</v>
      </c>
      <c r="V338" s="149">
        <f t="shared" si="79"/>
        <v>2067.4791327094849</v>
      </c>
      <c r="W338" s="149">
        <f t="shared" si="97"/>
        <v>5312.1403974195382</v>
      </c>
      <c r="X338" s="149">
        <v>0</v>
      </c>
      <c r="Y338" s="368">
        <v>0</v>
      </c>
      <c r="Z338" s="368">
        <v>0</v>
      </c>
      <c r="AA338" s="368">
        <v>0</v>
      </c>
      <c r="AB338" s="368">
        <v>0</v>
      </c>
      <c r="AC338" s="368">
        <v>0</v>
      </c>
      <c r="AD338" s="368">
        <v>0</v>
      </c>
      <c r="AE338" s="368">
        <v>600.53</v>
      </c>
      <c r="AF338" s="396">
        <f t="shared" si="99"/>
        <v>5312.1403974195382</v>
      </c>
      <c r="AG338" s="368">
        <v>0</v>
      </c>
      <c r="AH338" s="396">
        <v>0</v>
      </c>
      <c r="AI338" s="368">
        <v>0</v>
      </c>
      <c r="AJ338" s="396">
        <v>0</v>
      </c>
      <c r="AK338" s="368">
        <v>0</v>
      </c>
      <c r="AL338" s="368">
        <v>0</v>
      </c>
      <c r="AM338" s="368">
        <v>0</v>
      </c>
      <c r="AN338" s="368"/>
      <c r="AO338" s="368">
        <v>0</v>
      </c>
    </row>
    <row r="339" spans="1:41" s="152" customFormat="1" ht="36" customHeight="1" x14ac:dyDescent="0.9">
      <c r="A339" s="152">
        <v>1</v>
      </c>
      <c r="B339" s="90">
        <f>SUBTOTAL(103,$A$16:A339)</f>
        <v>309</v>
      </c>
      <c r="C339" s="89" t="s">
        <v>1568</v>
      </c>
      <c r="D339" s="163">
        <v>1949</v>
      </c>
      <c r="E339" s="163"/>
      <c r="F339" s="168" t="s">
        <v>1328</v>
      </c>
      <c r="G339" s="163">
        <v>2</v>
      </c>
      <c r="H339" s="163">
        <v>2</v>
      </c>
      <c r="I339" s="167">
        <v>920.8</v>
      </c>
      <c r="J339" s="167">
        <v>760.8</v>
      </c>
      <c r="K339" s="167">
        <v>760.18</v>
      </c>
      <c r="L339" s="165">
        <v>42</v>
      </c>
      <c r="M339" s="163" t="s">
        <v>268</v>
      </c>
      <c r="N339" s="163" t="s">
        <v>272</v>
      </c>
      <c r="O339" s="166" t="s">
        <v>338</v>
      </c>
      <c r="P339" s="167">
        <v>2836351.9</v>
      </c>
      <c r="Q339" s="167">
        <v>0</v>
      </c>
      <c r="R339" s="167">
        <v>0</v>
      </c>
      <c r="S339" s="167">
        <f>P339-R339-Q339</f>
        <v>2836351.9</v>
      </c>
      <c r="T339" s="167">
        <f t="shared" ref="T339:T402" si="100">P339/I339</f>
        <v>3080.3126629018248</v>
      </c>
      <c r="U339" s="167">
        <v>4105.9724804517809</v>
      </c>
      <c r="V339" s="149">
        <f t="shared" si="79"/>
        <v>1025.6598175499562</v>
      </c>
      <c r="W339" s="149">
        <f t="shared" si="97"/>
        <v>4105.9724804517809</v>
      </c>
      <c r="X339" s="149">
        <v>0</v>
      </c>
      <c r="Y339" s="368">
        <v>0</v>
      </c>
      <c r="Z339" s="368">
        <v>0</v>
      </c>
      <c r="AA339" s="368">
        <v>0</v>
      </c>
      <c r="AB339" s="368">
        <v>0</v>
      </c>
      <c r="AC339" s="368">
        <v>0</v>
      </c>
      <c r="AD339" s="368">
        <v>0</v>
      </c>
      <c r="AE339" s="368">
        <v>606</v>
      </c>
      <c r="AF339" s="396">
        <f t="shared" si="99"/>
        <v>4105.9724804517809</v>
      </c>
      <c r="AG339" s="368">
        <v>0</v>
      </c>
      <c r="AH339" s="396">
        <v>0</v>
      </c>
      <c r="AI339" s="368">
        <v>0</v>
      </c>
      <c r="AJ339" s="396">
        <v>0</v>
      </c>
      <c r="AK339" s="368">
        <v>0</v>
      </c>
      <c r="AL339" s="368">
        <v>0</v>
      </c>
      <c r="AM339" s="368">
        <v>0</v>
      </c>
      <c r="AN339" s="368"/>
      <c r="AO339" s="368">
        <v>0</v>
      </c>
    </row>
    <row r="340" spans="1:41" s="152" customFormat="1" ht="36" customHeight="1" x14ac:dyDescent="0.9">
      <c r="A340" s="152">
        <v>1</v>
      </c>
      <c r="B340" s="90">
        <f>SUBTOTAL(103,$A$16:A340)</f>
        <v>310</v>
      </c>
      <c r="C340" s="89" t="s">
        <v>1569</v>
      </c>
      <c r="D340" s="163">
        <v>1961</v>
      </c>
      <c r="E340" s="163"/>
      <c r="F340" s="168" t="s">
        <v>270</v>
      </c>
      <c r="G340" s="163">
        <v>2</v>
      </c>
      <c r="H340" s="163">
        <v>2</v>
      </c>
      <c r="I340" s="167">
        <v>755.3</v>
      </c>
      <c r="J340" s="167">
        <v>704.1</v>
      </c>
      <c r="K340" s="167">
        <v>704.1</v>
      </c>
      <c r="L340" s="165">
        <v>31</v>
      </c>
      <c r="M340" s="163" t="s">
        <v>268</v>
      </c>
      <c r="N340" s="163" t="s">
        <v>272</v>
      </c>
      <c r="O340" s="166" t="s">
        <v>337</v>
      </c>
      <c r="P340" s="167">
        <v>2304536.62</v>
      </c>
      <c r="Q340" s="167">
        <v>0</v>
      </c>
      <c r="R340" s="167">
        <v>0</v>
      </c>
      <c r="S340" s="167">
        <f>P340-R340-Q340</f>
        <v>2304536.62</v>
      </c>
      <c r="T340" s="167">
        <f t="shared" si="100"/>
        <v>3051.1540050311137</v>
      </c>
      <c r="U340" s="167">
        <v>4890.6016731100226</v>
      </c>
      <c r="V340" s="149">
        <f t="shared" si="79"/>
        <v>1839.4476680789089</v>
      </c>
      <c r="W340" s="149">
        <f t="shared" si="97"/>
        <v>4890.6016731100226</v>
      </c>
      <c r="X340" s="149">
        <v>0</v>
      </c>
      <c r="Y340" s="368">
        <v>0</v>
      </c>
      <c r="Z340" s="368">
        <v>0</v>
      </c>
      <c r="AA340" s="368">
        <v>0</v>
      </c>
      <c r="AB340" s="368">
        <v>0</v>
      </c>
      <c r="AC340" s="368">
        <v>0</v>
      </c>
      <c r="AD340" s="368">
        <v>0</v>
      </c>
      <c r="AE340" s="368">
        <v>592.07000000000005</v>
      </c>
      <c r="AF340" s="396">
        <f t="shared" si="99"/>
        <v>4890.6016731100226</v>
      </c>
      <c r="AG340" s="368">
        <v>0</v>
      </c>
      <c r="AH340" s="396">
        <v>0</v>
      </c>
      <c r="AI340" s="368">
        <v>0</v>
      </c>
      <c r="AJ340" s="396">
        <v>0</v>
      </c>
      <c r="AK340" s="368">
        <v>0</v>
      </c>
      <c r="AL340" s="368">
        <v>0</v>
      </c>
      <c r="AM340" s="368">
        <v>0</v>
      </c>
      <c r="AN340" s="368"/>
      <c r="AO340" s="368">
        <v>0</v>
      </c>
    </row>
    <row r="341" spans="1:41" s="152" customFormat="1" ht="36" customHeight="1" x14ac:dyDescent="0.9">
      <c r="A341" s="152">
        <v>1</v>
      </c>
      <c r="B341" s="90">
        <f>SUBTOTAL(103,$A$16:A341)</f>
        <v>311</v>
      </c>
      <c r="C341" s="89" t="s">
        <v>1605</v>
      </c>
      <c r="D341" s="163">
        <v>1958</v>
      </c>
      <c r="E341" s="163"/>
      <c r="F341" s="168" t="s">
        <v>334</v>
      </c>
      <c r="G341" s="163">
        <v>2</v>
      </c>
      <c r="H341" s="163">
        <v>1</v>
      </c>
      <c r="I341" s="167">
        <v>658</v>
      </c>
      <c r="J341" s="167">
        <v>250.1</v>
      </c>
      <c r="K341" s="167">
        <v>250.1</v>
      </c>
      <c r="L341" s="165">
        <v>21</v>
      </c>
      <c r="M341" s="163" t="s">
        <v>268</v>
      </c>
      <c r="N341" s="163" t="s">
        <v>272</v>
      </c>
      <c r="O341" s="166" t="s">
        <v>337</v>
      </c>
      <c r="P341" s="167">
        <v>1456376.84</v>
      </c>
      <c r="Q341" s="167">
        <v>0</v>
      </c>
      <c r="R341" s="167">
        <v>0</v>
      </c>
      <c r="S341" s="167">
        <f>P341-R341-Q341</f>
        <v>1456376.84</v>
      </c>
      <c r="T341" s="167">
        <f t="shared" si="100"/>
        <v>2213.3386626139818</v>
      </c>
      <c r="U341" s="167">
        <v>2285.4679848024316</v>
      </c>
      <c r="V341" s="149">
        <f t="shared" ref="V341" si="101">U341-T341</f>
        <v>72.129322188449805</v>
      </c>
      <c r="W341" s="149">
        <f t="shared" si="97"/>
        <v>2285.4679848024316</v>
      </c>
      <c r="X341" s="149">
        <v>0</v>
      </c>
      <c r="Y341" s="368">
        <v>0</v>
      </c>
      <c r="Z341" s="368">
        <v>0</v>
      </c>
      <c r="AA341" s="368">
        <v>0</v>
      </c>
      <c r="AB341" s="368">
        <v>0</v>
      </c>
      <c r="AC341" s="368">
        <v>0</v>
      </c>
      <c r="AD341" s="368">
        <v>0</v>
      </c>
      <c r="AE341" s="368">
        <v>0</v>
      </c>
      <c r="AF341" s="396">
        <v>0</v>
      </c>
      <c r="AG341" s="368">
        <v>0</v>
      </c>
      <c r="AH341" s="396">
        <v>0</v>
      </c>
      <c r="AI341" s="368">
        <v>377.9</v>
      </c>
      <c r="AJ341" s="396">
        <f>3979.46*AI341/I341</f>
        <v>2285.4679848024316</v>
      </c>
      <c r="AK341" s="368">
        <v>0</v>
      </c>
      <c r="AL341" s="368">
        <v>0</v>
      </c>
      <c r="AM341" s="368">
        <v>0</v>
      </c>
      <c r="AN341" s="368"/>
      <c r="AO341" s="368">
        <v>0</v>
      </c>
    </row>
    <row r="342" spans="1:41" s="152" customFormat="1" ht="36" customHeight="1" x14ac:dyDescent="0.9">
      <c r="B342" s="382" t="s">
        <v>838</v>
      </c>
      <c r="C342" s="382"/>
      <c r="D342" s="384" t="s">
        <v>903</v>
      </c>
      <c r="E342" s="163" t="s">
        <v>903</v>
      </c>
      <c r="F342" s="384" t="s">
        <v>903</v>
      </c>
      <c r="G342" s="384" t="s">
        <v>903</v>
      </c>
      <c r="H342" s="163" t="s">
        <v>903</v>
      </c>
      <c r="I342" s="386">
        <f>SUM(I343:I348)</f>
        <v>2214.1</v>
      </c>
      <c r="J342" s="164">
        <f>SUM(J343:J348)</f>
        <v>1957.3</v>
      </c>
      <c r="K342" s="164">
        <f>SUM(K343:K348)</f>
        <v>1343.8999999999999</v>
      </c>
      <c r="L342" s="165">
        <f>SUM(L343:L348)</f>
        <v>77</v>
      </c>
      <c r="M342" s="163" t="s">
        <v>903</v>
      </c>
      <c r="N342" s="163" t="s">
        <v>903</v>
      </c>
      <c r="O342" s="166" t="s">
        <v>903</v>
      </c>
      <c r="P342" s="386">
        <v>4160433.67</v>
      </c>
      <c r="Q342" s="164">
        <f>SUM(Q343:Q348)</f>
        <v>0</v>
      </c>
      <c r="R342" s="164">
        <f>SUM(R343:R348)</f>
        <v>0</v>
      </c>
      <c r="S342" s="164">
        <f>SUM(S343:S348)</f>
        <v>4160433.67</v>
      </c>
      <c r="T342" s="387">
        <f t="shared" si="100"/>
        <v>1879.0631272300259</v>
      </c>
      <c r="U342" s="387">
        <f>MAX(U343:U348)</f>
        <v>9536.451573604063</v>
      </c>
      <c r="V342" s="149">
        <f t="shared" ref="V342:V404" si="102">U342-T342</f>
        <v>7657.3884463740369</v>
      </c>
      <c r="W342" s="149"/>
      <c r="X342" s="149"/>
      <c r="Y342" s="368"/>
      <c r="Z342" s="368"/>
      <c r="AA342" s="368"/>
      <c r="AB342" s="368"/>
      <c r="AC342" s="368"/>
      <c r="AD342" s="368"/>
      <c r="AE342" s="368"/>
      <c r="AF342" s="368"/>
      <c r="AG342" s="368"/>
      <c r="AH342" s="368"/>
      <c r="AI342" s="368"/>
      <c r="AJ342" s="368"/>
      <c r="AK342" s="368"/>
      <c r="AL342" s="368"/>
      <c r="AM342" s="368"/>
      <c r="AN342" s="368"/>
      <c r="AO342" s="368"/>
    </row>
    <row r="343" spans="1:41" s="152" customFormat="1" ht="36" customHeight="1" x14ac:dyDescent="0.9">
      <c r="A343" s="152">
        <v>1</v>
      </c>
      <c r="B343" s="90">
        <f>SUBTOTAL(103,$A$16:A343)</f>
        <v>312</v>
      </c>
      <c r="C343" s="89" t="s">
        <v>248</v>
      </c>
      <c r="D343" s="163">
        <v>1955</v>
      </c>
      <c r="E343" s="163"/>
      <c r="F343" s="168" t="s">
        <v>334</v>
      </c>
      <c r="G343" s="163">
        <v>2</v>
      </c>
      <c r="H343" s="163">
        <v>1</v>
      </c>
      <c r="I343" s="167">
        <v>374.6</v>
      </c>
      <c r="J343" s="167">
        <v>343.4</v>
      </c>
      <c r="K343" s="167">
        <v>211.5</v>
      </c>
      <c r="L343" s="165">
        <v>7</v>
      </c>
      <c r="M343" s="163" t="s">
        <v>268</v>
      </c>
      <c r="N343" s="163" t="s">
        <v>269</v>
      </c>
      <c r="O343" s="166" t="s">
        <v>271</v>
      </c>
      <c r="P343" s="167">
        <v>9547.9500000000007</v>
      </c>
      <c r="Q343" s="167">
        <v>0</v>
      </c>
      <c r="R343" s="167">
        <v>0</v>
      </c>
      <c r="S343" s="167">
        <f>P343-Q343-R343</f>
        <v>9547.9500000000007</v>
      </c>
      <c r="T343" s="167">
        <f t="shared" si="100"/>
        <v>25.488387613454353</v>
      </c>
      <c r="U343" s="167">
        <v>25.488387613454353</v>
      </c>
      <c r="V343" s="149">
        <f t="shared" si="102"/>
        <v>0</v>
      </c>
      <c r="W343" s="149">
        <f>T343</f>
        <v>25.488387613454353</v>
      </c>
      <c r="X343" s="149">
        <v>0</v>
      </c>
      <c r="Y343" s="368">
        <v>0</v>
      </c>
      <c r="Z343" s="368">
        <v>0</v>
      </c>
      <c r="AA343" s="368">
        <v>0</v>
      </c>
      <c r="AB343" s="368">
        <v>0</v>
      </c>
      <c r="AC343" s="368">
        <v>0</v>
      </c>
      <c r="AD343" s="368">
        <v>0</v>
      </c>
      <c r="AE343" s="368">
        <v>0</v>
      </c>
      <c r="AF343" s="396">
        <v>0</v>
      </c>
      <c r="AG343" s="368">
        <v>0</v>
      </c>
      <c r="AH343" s="396">
        <v>0</v>
      </c>
      <c r="AI343" s="368">
        <v>0</v>
      </c>
      <c r="AJ343" s="396">
        <v>0</v>
      </c>
      <c r="AK343" s="368">
        <v>0</v>
      </c>
      <c r="AL343" s="368">
        <v>0</v>
      </c>
      <c r="AM343" s="368">
        <v>0</v>
      </c>
      <c r="AN343" s="368"/>
      <c r="AO343" s="368">
        <v>0</v>
      </c>
    </row>
    <row r="344" spans="1:41" s="152" customFormat="1" ht="36" customHeight="1" x14ac:dyDescent="0.9">
      <c r="A344" s="152">
        <v>1</v>
      </c>
      <c r="B344" s="90">
        <f>SUBTOTAL(103,$A$16:A344)</f>
        <v>313</v>
      </c>
      <c r="C344" s="89" t="s">
        <v>249</v>
      </c>
      <c r="D344" s="163">
        <v>1954</v>
      </c>
      <c r="E344" s="163"/>
      <c r="F344" s="168" t="s">
        <v>270</v>
      </c>
      <c r="G344" s="163">
        <v>2</v>
      </c>
      <c r="H344" s="163">
        <v>1</v>
      </c>
      <c r="I344" s="167">
        <v>373.6</v>
      </c>
      <c r="J344" s="167">
        <v>342.5</v>
      </c>
      <c r="K344" s="167">
        <v>160.1</v>
      </c>
      <c r="L344" s="165">
        <v>12</v>
      </c>
      <c r="M344" s="163" t="s">
        <v>268</v>
      </c>
      <c r="N344" s="163" t="s">
        <v>269</v>
      </c>
      <c r="O344" s="166" t="s">
        <v>271</v>
      </c>
      <c r="P344" s="167">
        <v>167945.43</v>
      </c>
      <c r="Q344" s="167">
        <v>0</v>
      </c>
      <c r="R344" s="167">
        <v>0</v>
      </c>
      <c r="S344" s="167">
        <f>P344-Q344-R344</f>
        <v>167945.43</v>
      </c>
      <c r="T344" s="167">
        <f t="shared" si="100"/>
        <v>449.53273554603851</v>
      </c>
      <c r="U344" s="167">
        <v>449.53273554603851</v>
      </c>
      <c r="V344" s="149">
        <f t="shared" si="102"/>
        <v>0</v>
      </c>
      <c r="W344" s="149">
        <f>T344</f>
        <v>449.53273554603851</v>
      </c>
      <c r="X344" s="149">
        <v>0</v>
      </c>
      <c r="Y344" s="368">
        <v>0</v>
      </c>
      <c r="Z344" s="368">
        <v>0</v>
      </c>
      <c r="AA344" s="368">
        <v>184.98</v>
      </c>
      <c r="AB344" s="368">
        <v>0</v>
      </c>
      <c r="AC344" s="368">
        <v>0</v>
      </c>
      <c r="AD344" s="368">
        <v>0</v>
      </c>
      <c r="AE344" s="368">
        <v>0</v>
      </c>
      <c r="AF344" s="396">
        <v>0</v>
      </c>
      <c r="AG344" s="368">
        <v>0</v>
      </c>
      <c r="AH344" s="396">
        <v>0</v>
      </c>
      <c r="AI344" s="368">
        <v>0</v>
      </c>
      <c r="AJ344" s="396">
        <v>0</v>
      </c>
      <c r="AK344" s="368">
        <v>0</v>
      </c>
      <c r="AL344" s="368">
        <v>0</v>
      </c>
      <c r="AM344" s="368">
        <v>0</v>
      </c>
      <c r="AN344" s="368"/>
      <c r="AO344" s="368">
        <v>0</v>
      </c>
    </row>
    <row r="345" spans="1:41" s="152" customFormat="1" ht="36" customHeight="1" x14ac:dyDescent="0.9">
      <c r="A345" s="152">
        <v>1</v>
      </c>
      <c r="B345" s="90">
        <f>SUBTOTAL(103,$A$16:A345)</f>
        <v>314</v>
      </c>
      <c r="C345" s="89" t="s">
        <v>1235</v>
      </c>
      <c r="D345" s="163">
        <v>1968</v>
      </c>
      <c r="E345" s="163"/>
      <c r="F345" s="168" t="s">
        <v>270</v>
      </c>
      <c r="G345" s="163">
        <v>2</v>
      </c>
      <c r="H345" s="163">
        <v>1</v>
      </c>
      <c r="I345" s="167">
        <v>334.9</v>
      </c>
      <c r="J345" s="167">
        <v>302.2</v>
      </c>
      <c r="K345" s="167">
        <v>302.2</v>
      </c>
      <c r="L345" s="165">
        <v>16</v>
      </c>
      <c r="M345" s="163" t="s">
        <v>268</v>
      </c>
      <c r="N345" s="163" t="s">
        <v>269</v>
      </c>
      <c r="O345" s="166" t="s">
        <v>271</v>
      </c>
      <c r="P345" s="167">
        <v>383818.77</v>
      </c>
      <c r="Q345" s="167">
        <v>0</v>
      </c>
      <c r="R345" s="167">
        <v>0</v>
      </c>
      <c r="S345" s="167">
        <f>P345-Q345-R345</f>
        <v>383818.77</v>
      </c>
      <c r="T345" s="167">
        <f t="shared" si="100"/>
        <v>1146.069782024485</v>
      </c>
      <c r="U345" s="167">
        <v>9536.451573604063</v>
      </c>
      <c r="V345" s="149">
        <f t="shared" si="102"/>
        <v>8390.3817915795771</v>
      </c>
      <c r="W345" s="149">
        <f t="shared" ref="W345:W348" si="103">X345+Y345+Z345+AA345+AB345+AD345+AF345+AH345+AJ345+AL345+AN345+AO345</f>
        <v>9536.451573604063</v>
      </c>
      <c r="X345" s="149">
        <v>0</v>
      </c>
      <c r="Y345" s="368">
        <v>0</v>
      </c>
      <c r="Z345" s="368">
        <v>0</v>
      </c>
      <c r="AA345" s="368">
        <v>0</v>
      </c>
      <c r="AB345" s="368">
        <v>0</v>
      </c>
      <c r="AC345" s="368">
        <v>0</v>
      </c>
      <c r="AD345" s="368">
        <v>0</v>
      </c>
      <c r="AE345" s="368">
        <v>0</v>
      </c>
      <c r="AF345" s="396">
        <v>0</v>
      </c>
      <c r="AG345" s="368">
        <v>0</v>
      </c>
      <c r="AH345" s="396">
        <v>0</v>
      </c>
      <c r="AI345" s="368">
        <v>0</v>
      </c>
      <c r="AJ345" s="396">
        <v>0</v>
      </c>
      <c r="AK345" s="368">
        <v>41.6</v>
      </c>
      <c r="AL345" s="396">
        <f>76773.02*AK345/I345</f>
        <v>9536.451573604063</v>
      </c>
      <c r="AM345" s="368">
        <v>0</v>
      </c>
      <c r="AN345" s="368"/>
      <c r="AO345" s="368">
        <v>0</v>
      </c>
    </row>
    <row r="346" spans="1:41" s="152" customFormat="1" ht="36" customHeight="1" x14ac:dyDescent="0.9">
      <c r="A346" s="152">
        <v>1</v>
      </c>
      <c r="B346" s="90">
        <f>SUBTOTAL(103,$A$16:A346)</f>
        <v>315</v>
      </c>
      <c r="C346" s="89" t="s">
        <v>246</v>
      </c>
      <c r="D346" s="163">
        <v>1969</v>
      </c>
      <c r="E346" s="163"/>
      <c r="F346" s="168" t="s">
        <v>270</v>
      </c>
      <c r="G346" s="163">
        <v>2</v>
      </c>
      <c r="H346" s="163">
        <v>1</v>
      </c>
      <c r="I346" s="167">
        <v>384.6</v>
      </c>
      <c r="J346" s="167">
        <v>359.9</v>
      </c>
      <c r="K346" s="167">
        <v>359.9</v>
      </c>
      <c r="L346" s="165">
        <v>16</v>
      </c>
      <c r="M346" s="163" t="s">
        <v>268</v>
      </c>
      <c r="N346" s="163" t="s">
        <v>269</v>
      </c>
      <c r="O346" s="166" t="s">
        <v>271</v>
      </c>
      <c r="P346" s="167">
        <v>1440513.25</v>
      </c>
      <c r="Q346" s="167">
        <v>0</v>
      </c>
      <c r="R346" s="167">
        <v>0</v>
      </c>
      <c r="S346" s="167">
        <f>P346-Q346-R346</f>
        <v>1440513.25</v>
      </c>
      <c r="T346" s="167">
        <f t="shared" si="100"/>
        <v>3745.4842693707747</v>
      </c>
      <c r="U346" s="167">
        <v>7139.2922776911082</v>
      </c>
      <c r="V346" s="149">
        <f t="shared" si="102"/>
        <v>3393.8080083203336</v>
      </c>
      <c r="W346" s="149">
        <f t="shared" si="103"/>
        <v>7139.2922776911082</v>
      </c>
      <c r="X346" s="149">
        <v>0</v>
      </c>
      <c r="Y346" s="368">
        <v>0</v>
      </c>
      <c r="Z346" s="368">
        <v>0</v>
      </c>
      <c r="AA346" s="368">
        <v>0</v>
      </c>
      <c r="AB346" s="368">
        <v>0</v>
      </c>
      <c r="AC346" s="368">
        <v>0</v>
      </c>
      <c r="AD346" s="368">
        <v>0</v>
      </c>
      <c r="AE346" s="368">
        <v>0</v>
      </c>
      <c r="AF346" s="396">
        <v>0</v>
      </c>
      <c r="AG346" s="368">
        <v>0</v>
      </c>
      <c r="AH346" s="396">
        <v>0</v>
      </c>
      <c r="AI346" s="368">
        <v>369.1</v>
      </c>
      <c r="AJ346" s="397">
        <f>7439.1*AI346/I346</f>
        <v>7139.2922776911082</v>
      </c>
      <c r="AK346" s="368">
        <v>0</v>
      </c>
      <c r="AL346" s="368">
        <v>0</v>
      </c>
      <c r="AM346" s="368">
        <v>0</v>
      </c>
      <c r="AN346" s="368"/>
      <c r="AO346" s="368">
        <v>0</v>
      </c>
    </row>
    <row r="347" spans="1:41" s="152" customFormat="1" ht="36" customHeight="1" x14ac:dyDescent="0.9">
      <c r="A347" s="152">
        <v>1</v>
      </c>
      <c r="B347" s="90">
        <f>SUBTOTAL(103,$A$16:A347)</f>
        <v>316</v>
      </c>
      <c r="C347" s="89" t="s">
        <v>1555</v>
      </c>
      <c r="D347" s="163">
        <v>1960</v>
      </c>
      <c r="E347" s="163"/>
      <c r="F347" s="168" t="s">
        <v>270</v>
      </c>
      <c r="G347" s="163">
        <v>2</v>
      </c>
      <c r="H347" s="163">
        <v>1</v>
      </c>
      <c r="I347" s="167">
        <v>407.9</v>
      </c>
      <c r="J347" s="167">
        <v>299.10000000000002</v>
      </c>
      <c r="K347" s="167">
        <v>0</v>
      </c>
      <c r="L347" s="165">
        <v>9</v>
      </c>
      <c r="M347" s="163" t="s">
        <v>268</v>
      </c>
      <c r="N347" s="163" t="s">
        <v>269</v>
      </c>
      <c r="O347" s="166" t="s">
        <v>271</v>
      </c>
      <c r="P347" s="167">
        <v>944609.1</v>
      </c>
      <c r="Q347" s="167">
        <v>0</v>
      </c>
      <c r="R347" s="167">
        <v>0</v>
      </c>
      <c r="S347" s="167">
        <f>P347-R347-Q347</f>
        <v>944609.1</v>
      </c>
      <c r="T347" s="167">
        <f t="shared" si="100"/>
        <v>2315.785976955136</v>
      </c>
      <c r="U347" s="167">
        <v>3973.0798274086783</v>
      </c>
      <c r="V347" s="149">
        <f t="shared" si="102"/>
        <v>1657.2938504535423</v>
      </c>
      <c r="W347" s="149">
        <f t="shared" si="103"/>
        <v>3973.0798274086783</v>
      </c>
      <c r="X347" s="149">
        <v>0</v>
      </c>
      <c r="Y347" s="368">
        <v>0</v>
      </c>
      <c r="Z347" s="368">
        <v>0</v>
      </c>
      <c r="AA347" s="368">
        <v>0</v>
      </c>
      <c r="AB347" s="368">
        <v>0</v>
      </c>
      <c r="AC347" s="368">
        <v>0</v>
      </c>
      <c r="AD347" s="368">
        <v>0</v>
      </c>
      <c r="AE347" s="368">
        <v>259.76</v>
      </c>
      <c r="AF347" s="396">
        <f t="shared" ref="AF347:AF348" si="104">6238.91*AE347/I347</f>
        <v>3973.0798274086783</v>
      </c>
      <c r="AG347" s="368">
        <v>0</v>
      </c>
      <c r="AH347" s="396">
        <v>0</v>
      </c>
      <c r="AI347" s="368">
        <v>0</v>
      </c>
      <c r="AJ347" s="396">
        <v>0</v>
      </c>
      <c r="AK347" s="368">
        <v>0</v>
      </c>
      <c r="AL347" s="368">
        <v>0</v>
      </c>
      <c r="AM347" s="368">
        <v>0</v>
      </c>
      <c r="AN347" s="368"/>
      <c r="AO347" s="368">
        <v>0</v>
      </c>
    </row>
    <row r="348" spans="1:41" s="152" customFormat="1" ht="36" customHeight="1" x14ac:dyDescent="0.9">
      <c r="A348" s="152">
        <v>1</v>
      </c>
      <c r="B348" s="90">
        <f>SUBTOTAL(103,$A$16:A348)</f>
        <v>317</v>
      </c>
      <c r="C348" s="89" t="s">
        <v>1556</v>
      </c>
      <c r="D348" s="163">
        <v>1962</v>
      </c>
      <c r="E348" s="163"/>
      <c r="F348" s="168" t="s">
        <v>270</v>
      </c>
      <c r="G348" s="163">
        <v>2</v>
      </c>
      <c r="H348" s="163">
        <v>2</v>
      </c>
      <c r="I348" s="167">
        <v>338.5</v>
      </c>
      <c r="J348" s="167">
        <v>310.2</v>
      </c>
      <c r="K348" s="167">
        <v>310.2</v>
      </c>
      <c r="L348" s="165">
        <v>17</v>
      </c>
      <c r="M348" s="163" t="s">
        <v>268</v>
      </c>
      <c r="N348" s="163" t="s">
        <v>345</v>
      </c>
      <c r="O348" s="166" t="s">
        <v>1600</v>
      </c>
      <c r="P348" s="167">
        <v>1213999.1700000002</v>
      </c>
      <c r="Q348" s="167">
        <v>0</v>
      </c>
      <c r="R348" s="167">
        <v>0</v>
      </c>
      <c r="S348" s="167">
        <f>P348-R348-Q348</f>
        <v>1213999.1700000002</v>
      </c>
      <c r="T348" s="167">
        <f t="shared" si="100"/>
        <v>3586.4081831610047</v>
      </c>
      <c r="U348" s="167">
        <v>5695.1940620384048</v>
      </c>
      <c r="V348" s="149">
        <f t="shared" si="102"/>
        <v>2108.7858788774001</v>
      </c>
      <c r="W348" s="149">
        <f t="shared" si="103"/>
        <v>5695.1940620384048</v>
      </c>
      <c r="X348" s="149">
        <v>0</v>
      </c>
      <c r="Y348" s="368">
        <v>0</v>
      </c>
      <c r="Z348" s="368">
        <v>0</v>
      </c>
      <c r="AA348" s="368">
        <v>0</v>
      </c>
      <c r="AB348" s="368">
        <v>0</v>
      </c>
      <c r="AC348" s="368">
        <v>0</v>
      </c>
      <c r="AD348" s="368">
        <v>0</v>
      </c>
      <c r="AE348" s="368">
        <v>309</v>
      </c>
      <c r="AF348" s="396">
        <f t="shared" si="104"/>
        <v>5695.1940620384048</v>
      </c>
      <c r="AG348" s="368">
        <v>0</v>
      </c>
      <c r="AH348" s="396">
        <v>0</v>
      </c>
      <c r="AI348" s="368">
        <v>0</v>
      </c>
      <c r="AJ348" s="396">
        <v>0</v>
      </c>
      <c r="AK348" s="368">
        <v>0</v>
      </c>
      <c r="AL348" s="368">
        <v>0</v>
      </c>
      <c r="AM348" s="368">
        <v>0</v>
      </c>
      <c r="AN348" s="368"/>
      <c r="AO348" s="368">
        <v>0</v>
      </c>
    </row>
    <row r="349" spans="1:41" s="152" customFormat="1" ht="36" customHeight="1" x14ac:dyDescent="0.9">
      <c r="B349" s="382" t="s">
        <v>839</v>
      </c>
      <c r="C349" s="382"/>
      <c r="D349" s="384" t="s">
        <v>903</v>
      </c>
      <c r="E349" s="163" t="s">
        <v>903</v>
      </c>
      <c r="F349" s="384" t="s">
        <v>903</v>
      </c>
      <c r="G349" s="384" t="s">
        <v>903</v>
      </c>
      <c r="H349" s="163" t="s">
        <v>903</v>
      </c>
      <c r="I349" s="386">
        <f>SUM(I350:I351)</f>
        <v>1535</v>
      </c>
      <c r="J349" s="164">
        <f t="shared" ref="J349:L349" si="105">SUM(J350:J351)</f>
        <v>1112.8</v>
      </c>
      <c r="K349" s="164">
        <f t="shared" si="105"/>
        <v>973.2</v>
      </c>
      <c r="L349" s="165">
        <f t="shared" si="105"/>
        <v>47</v>
      </c>
      <c r="M349" s="163" t="s">
        <v>903</v>
      </c>
      <c r="N349" s="163" t="s">
        <v>903</v>
      </c>
      <c r="O349" s="166" t="s">
        <v>903</v>
      </c>
      <c r="P349" s="387">
        <v>4763676.91</v>
      </c>
      <c r="Q349" s="167">
        <f t="shared" ref="Q349:S349" si="106">SUM(Q350:Q351)</f>
        <v>0</v>
      </c>
      <c r="R349" s="167">
        <f t="shared" si="106"/>
        <v>0</v>
      </c>
      <c r="S349" s="167">
        <f t="shared" si="106"/>
        <v>4763676.91</v>
      </c>
      <c r="T349" s="387">
        <f t="shared" si="100"/>
        <v>3103.3725798045602</v>
      </c>
      <c r="U349" s="387">
        <f>MAX(U350:U351)</f>
        <v>8414.2384817302955</v>
      </c>
      <c r="V349" s="149">
        <f t="shared" si="102"/>
        <v>5310.8659019257357</v>
      </c>
      <c r="W349" s="149"/>
      <c r="X349" s="149"/>
      <c r="Y349" s="368"/>
      <c r="Z349" s="368"/>
      <c r="AA349" s="368"/>
      <c r="AB349" s="368"/>
      <c r="AC349" s="368"/>
      <c r="AD349" s="368"/>
      <c r="AE349" s="368"/>
      <c r="AF349" s="368"/>
      <c r="AG349" s="368"/>
      <c r="AH349" s="368"/>
      <c r="AI349" s="368"/>
      <c r="AJ349" s="368"/>
      <c r="AK349" s="368"/>
      <c r="AL349" s="368"/>
      <c r="AM349" s="368"/>
      <c r="AN349" s="368"/>
      <c r="AO349" s="368"/>
    </row>
    <row r="350" spans="1:41" s="152" customFormat="1" ht="36" customHeight="1" x14ac:dyDescent="0.9">
      <c r="A350" s="152">
        <v>1</v>
      </c>
      <c r="B350" s="90">
        <f>SUBTOTAL(103,$A$16:A350)</f>
        <v>318</v>
      </c>
      <c r="C350" s="89" t="s">
        <v>243</v>
      </c>
      <c r="D350" s="163">
        <v>1969</v>
      </c>
      <c r="E350" s="163"/>
      <c r="F350" s="168" t="s">
        <v>315</v>
      </c>
      <c r="G350" s="163">
        <v>2</v>
      </c>
      <c r="H350" s="163">
        <v>2</v>
      </c>
      <c r="I350" s="167">
        <v>924.7</v>
      </c>
      <c r="J350" s="167">
        <v>556</v>
      </c>
      <c r="K350" s="167">
        <v>474.7</v>
      </c>
      <c r="L350" s="165">
        <v>25</v>
      </c>
      <c r="M350" s="163" t="s">
        <v>268</v>
      </c>
      <c r="N350" s="163" t="s">
        <v>269</v>
      </c>
      <c r="O350" s="166" t="s">
        <v>271</v>
      </c>
      <c r="P350" s="167">
        <v>2286802.33</v>
      </c>
      <c r="Q350" s="167">
        <v>0</v>
      </c>
      <c r="R350" s="167">
        <v>0</v>
      </c>
      <c r="S350" s="167">
        <f>P350-Q350-R350</f>
        <v>2286802.33</v>
      </c>
      <c r="T350" s="167">
        <f t="shared" si="100"/>
        <v>2473.0207959338163</v>
      </c>
      <c r="U350" s="167">
        <v>4139.6782372661401</v>
      </c>
      <c r="V350" s="149">
        <f t="shared" si="102"/>
        <v>1666.6574413323237</v>
      </c>
      <c r="W350" s="149">
        <f t="shared" ref="W350:W351" si="107">X350+Y350+Z350+AA350+AB350+AD350+AF350+AH350+AJ350+AL350+AN350+AO350</f>
        <v>4139.6782372661401</v>
      </c>
      <c r="X350" s="149">
        <v>0</v>
      </c>
      <c r="Y350" s="368">
        <v>0</v>
      </c>
      <c r="Z350" s="368">
        <v>0</v>
      </c>
      <c r="AA350" s="368">
        <v>0</v>
      </c>
      <c r="AB350" s="368">
        <v>0</v>
      </c>
      <c r="AC350" s="368">
        <v>0</v>
      </c>
      <c r="AD350" s="368">
        <v>0</v>
      </c>
      <c r="AE350" s="368">
        <v>0</v>
      </c>
      <c r="AF350" s="396">
        <v>0</v>
      </c>
      <c r="AG350" s="368">
        <v>0</v>
      </c>
      <c r="AH350" s="396">
        <v>0</v>
      </c>
      <c r="AI350" s="368">
        <v>490.6</v>
      </c>
      <c r="AJ350" s="397">
        <f t="shared" ref="AJ350:AJ351" si="108">7802.61*AI350/I350</f>
        <v>4139.6782372661401</v>
      </c>
      <c r="AK350" s="368">
        <v>0</v>
      </c>
      <c r="AL350" s="368">
        <v>0</v>
      </c>
      <c r="AM350" s="368">
        <v>0</v>
      </c>
      <c r="AN350" s="368"/>
      <c r="AO350" s="368">
        <v>0</v>
      </c>
    </row>
    <row r="351" spans="1:41" s="152" customFormat="1" ht="36" customHeight="1" x14ac:dyDescent="0.9">
      <c r="A351" s="152">
        <v>1</v>
      </c>
      <c r="B351" s="90">
        <f>SUBTOTAL(103,$A$16:A351)</f>
        <v>319</v>
      </c>
      <c r="C351" s="89" t="s">
        <v>1233</v>
      </c>
      <c r="D351" s="163">
        <v>1984</v>
      </c>
      <c r="E351" s="163"/>
      <c r="F351" s="168" t="s">
        <v>322</v>
      </c>
      <c r="G351" s="163">
        <v>2</v>
      </c>
      <c r="H351" s="163">
        <v>2</v>
      </c>
      <c r="I351" s="167">
        <v>610.29999999999995</v>
      </c>
      <c r="J351" s="167">
        <v>556.79999999999995</v>
      </c>
      <c r="K351" s="167">
        <v>498.5</v>
      </c>
      <c r="L351" s="165">
        <v>22</v>
      </c>
      <c r="M351" s="163" t="s">
        <v>268</v>
      </c>
      <c r="N351" s="163" t="s">
        <v>269</v>
      </c>
      <c r="O351" s="166" t="s">
        <v>271</v>
      </c>
      <c r="P351" s="167">
        <v>2476874.58</v>
      </c>
      <c r="Q351" s="167">
        <v>0</v>
      </c>
      <c r="R351" s="167">
        <v>0</v>
      </c>
      <c r="S351" s="167">
        <f>P351-Q351-R351</f>
        <v>2476874.58</v>
      </c>
      <c r="T351" s="167">
        <f t="shared" si="100"/>
        <v>4058.4541700802888</v>
      </c>
      <c r="U351" s="167">
        <v>8414.2384817302955</v>
      </c>
      <c r="V351" s="149">
        <f t="shared" si="102"/>
        <v>4355.7843116500062</v>
      </c>
      <c r="W351" s="149">
        <f t="shared" si="107"/>
        <v>8414.2384817302955</v>
      </c>
      <c r="X351" s="149">
        <v>0</v>
      </c>
      <c r="Y351" s="368">
        <v>0</v>
      </c>
      <c r="Z351" s="368">
        <v>0</v>
      </c>
      <c r="AA351" s="368">
        <v>0</v>
      </c>
      <c r="AB351" s="368">
        <v>0</v>
      </c>
      <c r="AC351" s="368">
        <v>0</v>
      </c>
      <c r="AD351" s="368">
        <v>0</v>
      </c>
      <c r="AE351" s="368">
        <v>0</v>
      </c>
      <c r="AF351" s="396">
        <v>0</v>
      </c>
      <c r="AG351" s="368">
        <v>0</v>
      </c>
      <c r="AH351" s="396">
        <v>0</v>
      </c>
      <c r="AI351" s="368">
        <v>658.14</v>
      </c>
      <c r="AJ351" s="397">
        <f t="shared" si="108"/>
        <v>8414.2384817302955</v>
      </c>
      <c r="AK351" s="368">
        <v>0</v>
      </c>
      <c r="AL351" s="368">
        <v>0</v>
      </c>
      <c r="AM351" s="368">
        <v>0</v>
      </c>
      <c r="AN351" s="368"/>
      <c r="AO351" s="368">
        <v>0</v>
      </c>
    </row>
    <row r="352" spans="1:41" s="152" customFormat="1" ht="36" customHeight="1" x14ac:dyDescent="0.9">
      <c r="B352" s="382" t="s">
        <v>840</v>
      </c>
      <c r="C352" s="389"/>
      <c r="D352" s="384" t="s">
        <v>903</v>
      </c>
      <c r="E352" s="163" t="s">
        <v>903</v>
      </c>
      <c r="F352" s="384" t="s">
        <v>903</v>
      </c>
      <c r="G352" s="384" t="s">
        <v>903</v>
      </c>
      <c r="H352" s="163" t="s">
        <v>903</v>
      </c>
      <c r="I352" s="386">
        <f>SUM(I353:I354)</f>
        <v>1746.5</v>
      </c>
      <c r="J352" s="164">
        <f>SUM(J353:J354)</f>
        <v>1598.5</v>
      </c>
      <c r="K352" s="164">
        <f>SUM(K353:K354)</f>
        <v>1405.9</v>
      </c>
      <c r="L352" s="165">
        <f>SUM(L353:L354)</f>
        <v>90</v>
      </c>
      <c r="M352" s="163" t="s">
        <v>903</v>
      </c>
      <c r="N352" s="163" t="s">
        <v>903</v>
      </c>
      <c r="O352" s="166" t="s">
        <v>903</v>
      </c>
      <c r="P352" s="387">
        <v>7840990.7699999996</v>
      </c>
      <c r="Q352" s="167">
        <f>SUM(Q353:Q354)</f>
        <v>0</v>
      </c>
      <c r="R352" s="167">
        <f>SUM(R353:R354)</f>
        <v>0</v>
      </c>
      <c r="S352" s="167">
        <f>SUM(S353:S354)</f>
        <v>7840990.7699999996</v>
      </c>
      <c r="T352" s="387">
        <f t="shared" si="100"/>
        <v>4489.5452447752641</v>
      </c>
      <c r="U352" s="387">
        <f>MAX(U353:U354)</f>
        <v>5266.7086997685665</v>
      </c>
      <c r="V352" s="149">
        <f t="shared" si="102"/>
        <v>777.16345499330237</v>
      </c>
      <c r="W352" s="149"/>
      <c r="X352" s="149"/>
      <c r="Y352" s="368"/>
      <c r="Z352" s="368"/>
      <c r="AA352" s="368"/>
      <c r="AB352" s="368"/>
      <c r="AC352" s="368"/>
      <c r="AD352" s="368"/>
      <c r="AE352" s="368"/>
      <c r="AF352" s="368"/>
      <c r="AG352" s="368"/>
      <c r="AH352" s="368"/>
      <c r="AI352" s="368"/>
      <c r="AJ352" s="368"/>
      <c r="AK352" s="368"/>
      <c r="AL352" s="368"/>
      <c r="AM352" s="368"/>
      <c r="AN352" s="368"/>
      <c r="AO352" s="368"/>
    </row>
    <row r="353" spans="1:41" s="152" customFormat="1" ht="36" customHeight="1" x14ac:dyDescent="0.9">
      <c r="A353" s="152">
        <v>1</v>
      </c>
      <c r="B353" s="90">
        <f>SUBTOTAL(103,$A$16:A353)</f>
        <v>320</v>
      </c>
      <c r="C353" s="170" t="s">
        <v>0</v>
      </c>
      <c r="D353" s="163">
        <v>1975</v>
      </c>
      <c r="E353" s="163"/>
      <c r="F353" s="168" t="s">
        <v>270</v>
      </c>
      <c r="G353" s="163">
        <v>2</v>
      </c>
      <c r="H353" s="163">
        <v>2</v>
      </c>
      <c r="I353" s="167">
        <v>795.9</v>
      </c>
      <c r="J353" s="167">
        <v>735.5</v>
      </c>
      <c r="K353" s="167">
        <v>680.2</v>
      </c>
      <c r="L353" s="165">
        <v>37</v>
      </c>
      <c r="M353" s="163" t="s">
        <v>268</v>
      </c>
      <c r="N353" s="163" t="s">
        <v>269</v>
      </c>
      <c r="O353" s="166" t="s">
        <v>271</v>
      </c>
      <c r="P353" s="167">
        <v>2834457.48</v>
      </c>
      <c r="Q353" s="167">
        <v>0</v>
      </c>
      <c r="R353" s="167">
        <v>0</v>
      </c>
      <c r="S353" s="167">
        <f>P353-Q353-R353</f>
        <v>2834457.48</v>
      </c>
      <c r="T353" s="167">
        <f t="shared" si="100"/>
        <v>3561.3236336223144</v>
      </c>
      <c r="U353" s="167">
        <v>4845.1693315743187</v>
      </c>
      <c r="V353" s="149">
        <f t="shared" si="102"/>
        <v>1283.8456979520042</v>
      </c>
      <c r="W353" s="149">
        <f t="shared" ref="W353" si="109">X353+Y353+Z353+AA353+AB353+AD353+AF353+AH353+AJ353+AL353+AN353+AO353</f>
        <v>4845.1693315743187</v>
      </c>
      <c r="X353" s="149">
        <v>0</v>
      </c>
      <c r="Y353" s="368">
        <v>0</v>
      </c>
      <c r="Z353" s="368">
        <v>0</v>
      </c>
      <c r="AA353" s="368">
        <v>0</v>
      </c>
      <c r="AB353" s="368">
        <v>0</v>
      </c>
      <c r="AC353" s="368">
        <v>0</v>
      </c>
      <c r="AD353" s="368">
        <v>0</v>
      </c>
      <c r="AE353" s="368">
        <v>618.1</v>
      </c>
      <c r="AF353" s="396">
        <f t="shared" ref="AF353" si="110">6238.91*AE353/I353</f>
        <v>4845.1693315743187</v>
      </c>
      <c r="AG353" s="368">
        <v>0</v>
      </c>
      <c r="AH353" s="396">
        <v>0</v>
      </c>
      <c r="AI353" s="368">
        <v>0</v>
      </c>
      <c r="AJ353" s="396">
        <v>0</v>
      </c>
      <c r="AK353" s="368">
        <v>0</v>
      </c>
      <c r="AL353" s="368">
        <v>0</v>
      </c>
      <c r="AM353" s="368">
        <v>0</v>
      </c>
      <c r="AN353" s="368"/>
      <c r="AO353" s="368">
        <v>0</v>
      </c>
    </row>
    <row r="354" spans="1:41" s="152" customFormat="1" ht="36" customHeight="1" x14ac:dyDescent="0.9">
      <c r="A354" s="152">
        <v>1</v>
      </c>
      <c r="B354" s="90">
        <f>SUBTOTAL(103,$A$16:A354)</f>
        <v>321</v>
      </c>
      <c r="C354" s="89" t="s">
        <v>5</v>
      </c>
      <c r="D354" s="163">
        <v>1979</v>
      </c>
      <c r="E354" s="163"/>
      <c r="F354" s="168" t="s">
        <v>270</v>
      </c>
      <c r="G354" s="163">
        <v>2</v>
      </c>
      <c r="H354" s="163">
        <v>3</v>
      </c>
      <c r="I354" s="167">
        <v>950.6</v>
      </c>
      <c r="J354" s="167">
        <v>863</v>
      </c>
      <c r="K354" s="167">
        <v>725.7</v>
      </c>
      <c r="L354" s="165">
        <v>53</v>
      </c>
      <c r="M354" s="163" t="s">
        <v>268</v>
      </c>
      <c r="N354" s="163" t="s">
        <v>269</v>
      </c>
      <c r="O354" s="166" t="s">
        <v>271</v>
      </c>
      <c r="P354" s="167">
        <v>5006533.2899999991</v>
      </c>
      <c r="Q354" s="167">
        <v>0</v>
      </c>
      <c r="R354" s="167">
        <v>0</v>
      </c>
      <c r="S354" s="167">
        <f>P354-Q354-R354</f>
        <v>5006533.2899999991</v>
      </c>
      <c r="T354" s="167">
        <f t="shared" si="100"/>
        <v>5266.7086997685665</v>
      </c>
      <c r="U354" s="167">
        <v>5266.7086997685665</v>
      </c>
      <c r="V354" s="149">
        <f t="shared" si="102"/>
        <v>0</v>
      </c>
      <c r="W354" s="149">
        <f>T354</f>
        <v>5266.7086997685665</v>
      </c>
      <c r="X354" s="149">
        <v>0</v>
      </c>
      <c r="Y354" s="368">
        <v>0</v>
      </c>
      <c r="Z354" s="368">
        <v>0</v>
      </c>
      <c r="AA354" s="368">
        <v>0</v>
      </c>
      <c r="AB354" s="368">
        <v>0</v>
      </c>
      <c r="AC354" s="368">
        <v>0</v>
      </c>
      <c r="AD354" s="368">
        <v>0</v>
      </c>
      <c r="AE354" s="368">
        <v>722.14</v>
      </c>
      <c r="AF354" s="396">
        <f>6436.53*AE354/I354</f>
        <v>4889.6231582158634</v>
      </c>
      <c r="AG354" s="368">
        <v>0</v>
      </c>
      <c r="AH354" s="396">
        <v>0</v>
      </c>
      <c r="AI354" s="368">
        <v>0</v>
      </c>
      <c r="AJ354" s="396">
        <v>0</v>
      </c>
      <c r="AK354" s="368">
        <v>0</v>
      </c>
      <c r="AL354" s="368">
        <v>0</v>
      </c>
      <c r="AM354" s="368">
        <v>0</v>
      </c>
      <c r="AN354" s="368"/>
      <c r="AO354" s="368">
        <v>0</v>
      </c>
    </row>
    <row r="355" spans="1:41" s="152" customFormat="1" ht="36" customHeight="1" x14ac:dyDescent="0.9">
      <c r="B355" s="382" t="s">
        <v>841</v>
      </c>
      <c r="C355" s="388"/>
      <c r="D355" s="384" t="s">
        <v>903</v>
      </c>
      <c r="E355" s="163" t="s">
        <v>903</v>
      </c>
      <c r="F355" s="384" t="s">
        <v>903</v>
      </c>
      <c r="G355" s="384" t="s">
        <v>903</v>
      </c>
      <c r="H355" s="163" t="s">
        <v>903</v>
      </c>
      <c r="I355" s="386">
        <f>SUM(I356:I358)</f>
        <v>5687.8</v>
      </c>
      <c r="J355" s="164">
        <f>SUM(J356:J358)</f>
        <v>4407.8999999999996</v>
      </c>
      <c r="K355" s="164">
        <f>SUM(K356:K358)</f>
        <v>2836.1</v>
      </c>
      <c r="L355" s="165">
        <f>SUM(L356:L358)</f>
        <v>224</v>
      </c>
      <c r="M355" s="163" t="s">
        <v>903</v>
      </c>
      <c r="N355" s="163" t="s">
        <v>903</v>
      </c>
      <c r="O355" s="166" t="s">
        <v>903</v>
      </c>
      <c r="P355" s="386">
        <v>8430489</v>
      </c>
      <c r="Q355" s="164">
        <f>SUM(Q356:Q358)</f>
        <v>0</v>
      </c>
      <c r="R355" s="164">
        <f>SUM(R356:R358)</f>
        <v>0</v>
      </c>
      <c r="S355" s="164">
        <f>SUM(S356:S358)</f>
        <v>8430489</v>
      </c>
      <c r="T355" s="387">
        <f t="shared" si="100"/>
        <v>1482.2055979464819</v>
      </c>
      <c r="U355" s="387">
        <f>MAX(U356:U358)</f>
        <v>5616.3992898230081</v>
      </c>
      <c r="V355" s="149">
        <f t="shared" si="102"/>
        <v>4134.1936918765259</v>
      </c>
      <c r="W355" s="149"/>
      <c r="X355" s="149"/>
      <c r="Y355" s="368"/>
      <c r="Z355" s="368"/>
      <c r="AA355" s="368"/>
      <c r="AB355" s="368"/>
      <c r="AC355" s="368"/>
      <c r="AD355" s="368"/>
      <c r="AE355" s="368"/>
      <c r="AF355" s="368"/>
      <c r="AG355" s="368"/>
      <c r="AH355" s="368"/>
      <c r="AI355" s="368"/>
      <c r="AJ355" s="368"/>
      <c r="AK355" s="368"/>
      <c r="AL355" s="368"/>
      <c r="AM355" s="368"/>
      <c r="AN355" s="368"/>
      <c r="AO355" s="368"/>
    </row>
    <row r="356" spans="1:41" s="152" customFormat="1" ht="36" customHeight="1" x14ac:dyDescent="0.9">
      <c r="A356" s="152">
        <v>1</v>
      </c>
      <c r="B356" s="90">
        <f>SUBTOTAL(103,$A$16:A356)</f>
        <v>322</v>
      </c>
      <c r="C356" s="89" t="s">
        <v>704</v>
      </c>
      <c r="D356" s="163">
        <v>1928</v>
      </c>
      <c r="E356" s="163"/>
      <c r="F356" s="168" t="s">
        <v>334</v>
      </c>
      <c r="G356" s="163" t="s">
        <v>307</v>
      </c>
      <c r="H356" s="163" t="s">
        <v>308</v>
      </c>
      <c r="I356" s="167">
        <v>253.1</v>
      </c>
      <c r="J356" s="167">
        <v>231.8</v>
      </c>
      <c r="K356" s="167">
        <v>185.3</v>
      </c>
      <c r="L356" s="165">
        <v>14</v>
      </c>
      <c r="M356" s="163" t="s">
        <v>268</v>
      </c>
      <c r="N356" s="163" t="s">
        <v>272</v>
      </c>
      <c r="O356" s="166" t="s">
        <v>738</v>
      </c>
      <c r="P356" s="167">
        <v>51949.1</v>
      </c>
      <c r="Q356" s="167">
        <v>0</v>
      </c>
      <c r="R356" s="167">
        <v>0</v>
      </c>
      <c r="S356" s="167">
        <f>P356-Q356-R356</f>
        <v>51949.1</v>
      </c>
      <c r="T356" s="167">
        <f t="shared" si="100"/>
        <v>205.25128407743975</v>
      </c>
      <c r="U356" s="167">
        <v>205.25128407743975</v>
      </c>
      <c r="V356" s="149">
        <f t="shared" si="102"/>
        <v>0</v>
      </c>
      <c r="W356" s="149">
        <f>T356</f>
        <v>205.25128407743975</v>
      </c>
      <c r="X356" s="149">
        <v>0</v>
      </c>
      <c r="Y356" s="368">
        <v>0</v>
      </c>
      <c r="Z356" s="368">
        <v>0</v>
      </c>
      <c r="AA356" s="368">
        <v>0</v>
      </c>
      <c r="AB356" s="368">
        <v>0</v>
      </c>
      <c r="AC356" s="368">
        <v>0</v>
      </c>
      <c r="AD356" s="368">
        <v>0</v>
      </c>
      <c r="AE356" s="368">
        <v>0</v>
      </c>
      <c r="AF356" s="396">
        <v>0</v>
      </c>
      <c r="AG356" s="368">
        <v>0</v>
      </c>
      <c r="AH356" s="396">
        <v>0</v>
      </c>
      <c r="AI356" s="368">
        <v>0</v>
      </c>
      <c r="AJ356" s="396">
        <v>0</v>
      </c>
      <c r="AK356" s="368">
        <v>0</v>
      </c>
      <c r="AL356" s="368">
        <v>0</v>
      </c>
      <c r="AM356" s="368">
        <v>0</v>
      </c>
      <c r="AN356" s="368"/>
      <c r="AO356" s="368">
        <v>0</v>
      </c>
    </row>
    <row r="357" spans="1:41" s="152" customFormat="1" ht="36" customHeight="1" x14ac:dyDescent="0.9">
      <c r="A357" s="152">
        <v>1</v>
      </c>
      <c r="B357" s="90">
        <f>SUBTOTAL(103,$A$16:A357)</f>
        <v>323</v>
      </c>
      <c r="C357" s="89" t="s">
        <v>1236</v>
      </c>
      <c r="D357" s="163">
        <v>1972</v>
      </c>
      <c r="E357" s="163">
        <v>2010</v>
      </c>
      <c r="F357" s="168" t="s">
        <v>270</v>
      </c>
      <c r="G357" s="163">
        <v>5</v>
      </c>
      <c r="H357" s="163">
        <v>3</v>
      </c>
      <c r="I357" s="167">
        <v>4982.7</v>
      </c>
      <c r="J357" s="167">
        <v>3759.2</v>
      </c>
      <c r="K357" s="167">
        <v>2276.1</v>
      </c>
      <c r="L357" s="165">
        <v>197</v>
      </c>
      <c r="M357" s="163" t="s">
        <v>268</v>
      </c>
      <c r="N357" s="163" t="s">
        <v>272</v>
      </c>
      <c r="O357" s="166" t="s">
        <v>738</v>
      </c>
      <c r="P357" s="167">
        <v>6562845.1299999999</v>
      </c>
      <c r="Q357" s="167">
        <v>0</v>
      </c>
      <c r="R357" s="167">
        <v>0</v>
      </c>
      <c r="S357" s="167">
        <f>P357-Q357-R357</f>
        <v>6562845.1299999999</v>
      </c>
      <c r="T357" s="167">
        <f t="shared" si="100"/>
        <v>1317.1262829389689</v>
      </c>
      <c r="U357" s="167">
        <v>3259.66</v>
      </c>
      <c r="V357" s="149">
        <f t="shared" si="102"/>
        <v>1942.533717061031</v>
      </c>
      <c r="W357" s="149">
        <f t="shared" ref="W357:W358" si="111">X357+Y357+Z357+AA357+AB357+AD357+AF357+AH357+AJ357+AL357+AN357+AO357</f>
        <v>3259.66</v>
      </c>
      <c r="X357" s="149">
        <v>0</v>
      </c>
      <c r="Y357" s="368">
        <v>0</v>
      </c>
      <c r="Z357" s="368">
        <v>3259.66</v>
      </c>
      <c r="AA357" s="368">
        <v>0</v>
      </c>
      <c r="AB357" s="368">
        <v>0</v>
      </c>
      <c r="AC357" s="368">
        <v>0</v>
      </c>
      <c r="AD357" s="368">
        <v>0</v>
      </c>
      <c r="AE357" s="368">
        <v>0</v>
      </c>
      <c r="AF357" s="396">
        <v>0</v>
      </c>
      <c r="AG357" s="368">
        <v>0</v>
      </c>
      <c r="AH357" s="396">
        <v>0</v>
      </c>
      <c r="AI357" s="368">
        <v>0</v>
      </c>
      <c r="AJ357" s="396">
        <v>0</v>
      </c>
      <c r="AK357" s="368">
        <v>0</v>
      </c>
      <c r="AL357" s="368">
        <v>0</v>
      </c>
      <c r="AM357" s="368">
        <v>0</v>
      </c>
      <c r="AN357" s="368"/>
      <c r="AO357" s="368">
        <v>0</v>
      </c>
    </row>
    <row r="358" spans="1:41" s="152" customFormat="1" ht="36" customHeight="1" x14ac:dyDescent="0.9">
      <c r="A358" s="152">
        <v>1</v>
      </c>
      <c r="B358" s="90">
        <f>SUBTOTAL(103,$A$16:A358)</f>
        <v>324</v>
      </c>
      <c r="C358" s="89" t="s">
        <v>1592</v>
      </c>
      <c r="D358" s="163">
        <v>1985</v>
      </c>
      <c r="E358" s="163"/>
      <c r="F358" s="168" t="s">
        <v>270</v>
      </c>
      <c r="G358" s="163">
        <v>2</v>
      </c>
      <c r="H358" s="163">
        <v>1</v>
      </c>
      <c r="I358" s="167">
        <v>452</v>
      </c>
      <c r="J358" s="167">
        <v>416.9</v>
      </c>
      <c r="K358" s="167">
        <f>J358-42.2</f>
        <v>374.7</v>
      </c>
      <c r="L358" s="165">
        <v>13</v>
      </c>
      <c r="M358" s="163" t="s">
        <v>268</v>
      </c>
      <c r="N358" s="163" t="s">
        <v>272</v>
      </c>
      <c r="O358" s="166" t="s">
        <v>1601</v>
      </c>
      <c r="P358" s="167">
        <v>1815694.77</v>
      </c>
      <c r="Q358" s="167">
        <v>0</v>
      </c>
      <c r="R358" s="167">
        <v>0</v>
      </c>
      <c r="S358" s="167">
        <f>P358-R358-Q358</f>
        <v>1815694.77</v>
      </c>
      <c r="T358" s="167">
        <f t="shared" si="100"/>
        <v>4017.0238274336284</v>
      </c>
      <c r="U358" s="167">
        <v>5616.3992898230081</v>
      </c>
      <c r="V358" s="149">
        <f t="shared" si="102"/>
        <v>1599.3754623893797</v>
      </c>
      <c r="W358" s="149">
        <f t="shared" si="111"/>
        <v>5616.3992898230081</v>
      </c>
      <c r="X358" s="149">
        <v>0</v>
      </c>
      <c r="Y358" s="368">
        <v>0</v>
      </c>
      <c r="Z358" s="368">
        <v>0</v>
      </c>
      <c r="AA358" s="368">
        <v>0</v>
      </c>
      <c r="AB358" s="368">
        <v>0</v>
      </c>
      <c r="AC358" s="368">
        <v>0</v>
      </c>
      <c r="AD358" s="368">
        <v>0</v>
      </c>
      <c r="AE358" s="368">
        <v>406.9</v>
      </c>
      <c r="AF358" s="396">
        <f>6238.91*AE358/I358</f>
        <v>5616.3992898230081</v>
      </c>
      <c r="AG358" s="368">
        <v>0</v>
      </c>
      <c r="AH358" s="396">
        <v>0</v>
      </c>
      <c r="AI358" s="368">
        <v>0</v>
      </c>
      <c r="AJ358" s="396">
        <v>0</v>
      </c>
      <c r="AK358" s="368">
        <v>0</v>
      </c>
      <c r="AL358" s="368">
        <v>0</v>
      </c>
      <c r="AM358" s="368">
        <v>0</v>
      </c>
      <c r="AN358" s="368"/>
      <c r="AO358" s="368">
        <v>0</v>
      </c>
    </row>
    <row r="359" spans="1:41" s="152" customFormat="1" ht="36" customHeight="1" x14ac:dyDescent="0.9">
      <c r="B359" s="382" t="s">
        <v>842</v>
      </c>
      <c r="C359" s="382"/>
      <c r="D359" s="384" t="s">
        <v>903</v>
      </c>
      <c r="E359" s="163" t="s">
        <v>903</v>
      </c>
      <c r="F359" s="384" t="s">
        <v>903</v>
      </c>
      <c r="G359" s="384" t="s">
        <v>903</v>
      </c>
      <c r="H359" s="163" t="s">
        <v>903</v>
      </c>
      <c r="I359" s="386">
        <f>SUM(I360:I361)</f>
        <v>9027.7200000000012</v>
      </c>
      <c r="J359" s="164">
        <f t="shared" ref="J359:L359" si="112">SUM(J360:J361)</f>
        <v>7419.7</v>
      </c>
      <c r="K359" s="164">
        <f t="shared" si="112"/>
        <v>5882.4</v>
      </c>
      <c r="L359" s="165">
        <f t="shared" si="112"/>
        <v>298</v>
      </c>
      <c r="M359" s="163" t="s">
        <v>903</v>
      </c>
      <c r="N359" s="163" t="s">
        <v>903</v>
      </c>
      <c r="O359" s="166" t="s">
        <v>903</v>
      </c>
      <c r="P359" s="386">
        <v>9250134.5000000019</v>
      </c>
      <c r="Q359" s="164">
        <f t="shared" ref="Q359:S359" si="113">SUM(Q360:Q361)</f>
        <v>0</v>
      </c>
      <c r="R359" s="164">
        <f t="shared" si="113"/>
        <v>0</v>
      </c>
      <c r="S359" s="164">
        <f t="shared" si="113"/>
        <v>9250134.5000000019</v>
      </c>
      <c r="T359" s="387">
        <f t="shared" si="100"/>
        <v>1024.6368407527041</v>
      </c>
      <c r="U359" s="387">
        <f>MAX(U360:U361)</f>
        <v>3444.64</v>
      </c>
      <c r="V359" s="149">
        <f t="shared" si="102"/>
        <v>2420.003159247296</v>
      </c>
      <c r="W359" s="149"/>
      <c r="X359" s="149"/>
      <c r="Y359" s="368"/>
      <c r="Z359" s="368"/>
      <c r="AA359" s="368"/>
      <c r="AB359" s="368"/>
      <c r="AC359" s="368"/>
      <c r="AD359" s="368"/>
      <c r="AE359" s="368"/>
      <c r="AF359" s="368"/>
      <c r="AG359" s="368"/>
      <c r="AH359" s="368"/>
      <c r="AI359" s="368"/>
      <c r="AJ359" s="368"/>
      <c r="AK359" s="368"/>
      <c r="AL359" s="368"/>
      <c r="AM359" s="368"/>
      <c r="AN359" s="368"/>
      <c r="AO359" s="368"/>
    </row>
    <row r="360" spans="1:41" s="152" customFormat="1" ht="36" customHeight="1" x14ac:dyDescent="0.9">
      <c r="A360" s="152">
        <v>1</v>
      </c>
      <c r="B360" s="90">
        <f>SUBTOTAL(103,$A$16:A360)</f>
        <v>325</v>
      </c>
      <c r="C360" s="89" t="s">
        <v>710</v>
      </c>
      <c r="D360" s="163">
        <v>1976</v>
      </c>
      <c r="E360" s="163">
        <v>2007</v>
      </c>
      <c r="F360" s="168" t="s">
        <v>315</v>
      </c>
      <c r="G360" s="163">
        <v>5</v>
      </c>
      <c r="H360" s="163">
        <v>6</v>
      </c>
      <c r="I360" s="167">
        <v>5095.72</v>
      </c>
      <c r="J360" s="167">
        <v>4603.3999999999996</v>
      </c>
      <c r="K360" s="167">
        <v>4603.3999999999996</v>
      </c>
      <c r="L360" s="165">
        <v>160</v>
      </c>
      <c r="M360" s="163" t="s">
        <v>268</v>
      </c>
      <c r="N360" s="163" t="s">
        <v>272</v>
      </c>
      <c r="O360" s="166" t="s">
        <v>739</v>
      </c>
      <c r="P360" s="167">
        <v>3971480.2600000002</v>
      </c>
      <c r="Q360" s="167">
        <v>0</v>
      </c>
      <c r="R360" s="167">
        <v>0</v>
      </c>
      <c r="S360" s="167">
        <f>P360-Q360-R360</f>
        <v>3971480.2600000002</v>
      </c>
      <c r="T360" s="167">
        <f t="shared" si="100"/>
        <v>779.37568390727904</v>
      </c>
      <c r="U360" s="167">
        <v>1519.4098792712314</v>
      </c>
      <c r="V360" s="149">
        <f t="shared" si="102"/>
        <v>740.03419536395234</v>
      </c>
      <c r="W360" s="149">
        <f t="shared" ref="W360:W361" si="114">X360+Y360+Z360+AA360+AB360+AD360+AF360+AH360+AJ360+AL360+AN360+AO360</f>
        <v>1519.4098792712314</v>
      </c>
      <c r="X360" s="149">
        <v>0</v>
      </c>
      <c r="Y360" s="368">
        <v>0</v>
      </c>
      <c r="Z360" s="368">
        <v>0</v>
      </c>
      <c r="AA360" s="368">
        <v>0</v>
      </c>
      <c r="AB360" s="368">
        <v>0</v>
      </c>
      <c r="AC360" s="368">
        <v>0</v>
      </c>
      <c r="AD360" s="368">
        <v>0</v>
      </c>
      <c r="AE360" s="368">
        <v>1241</v>
      </c>
      <c r="AF360" s="396">
        <f>6238.91*AE360/I360</f>
        <v>1519.4098792712314</v>
      </c>
      <c r="AG360" s="368">
        <v>0</v>
      </c>
      <c r="AH360" s="396">
        <v>0</v>
      </c>
      <c r="AI360" s="368">
        <v>0</v>
      </c>
      <c r="AJ360" s="396">
        <v>0</v>
      </c>
      <c r="AK360" s="368">
        <v>0</v>
      </c>
      <c r="AL360" s="368">
        <v>0</v>
      </c>
      <c r="AM360" s="368">
        <v>0</v>
      </c>
      <c r="AN360" s="368"/>
      <c r="AO360" s="368">
        <v>0</v>
      </c>
    </row>
    <row r="361" spans="1:41" s="152" customFormat="1" ht="36" customHeight="1" x14ac:dyDescent="0.9">
      <c r="A361" s="152">
        <v>1</v>
      </c>
      <c r="B361" s="90">
        <f>SUBTOTAL(103,$A$16:A361)</f>
        <v>326</v>
      </c>
      <c r="C361" s="89" t="s">
        <v>1237</v>
      </c>
      <c r="D361" s="163">
        <v>1975</v>
      </c>
      <c r="E361" s="163">
        <v>2015</v>
      </c>
      <c r="F361" s="168" t="s">
        <v>270</v>
      </c>
      <c r="G361" s="163">
        <v>3</v>
      </c>
      <c r="H361" s="163">
        <v>2</v>
      </c>
      <c r="I361" s="167">
        <v>3932</v>
      </c>
      <c r="J361" s="167">
        <v>2816.3</v>
      </c>
      <c r="K361" s="167">
        <v>1279</v>
      </c>
      <c r="L361" s="165">
        <v>138</v>
      </c>
      <c r="M361" s="163" t="s">
        <v>268</v>
      </c>
      <c r="N361" s="163" t="s">
        <v>272</v>
      </c>
      <c r="O361" s="166" t="s">
        <v>738</v>
      </c>
      <c r="P361" s="167">
        <v>5278654.2400000012</v>
      </c>
      <c r="Q361" s="167">
        <v>0</v>
      </c>
      <c r="R361" s="167">
        <v>0</v>
      </c>
      <c r="S361" s="167">
        <f>P361-Q361-R361</f>
        <v>5278654.2400000012</v>
      </c>
      <c r="T361" s="167">
        <f t="shared" si="100"/>
        <v>1342.4858189216686</v>
      </c>
      <c r="U361" s="167">
        <v>3444.64</v>
      </c>
      <c r="V361" s="149">
        <f t="shared" si="102"/>
        <v>2102.154181078331</v>
      </c>
      <c r="W361" s="149">
        <f t="shared" si="114"/>
        <v>3444.64</v>
      </c>
      <c r="X361" s="149">
        <v>0</v>
      </c>
      <c r="Y361" s="368">
        <v>0</v>
      </c>
      <c r="Z361" s="368">
        <v>3259.66</v>
      </c>
      <c r="AA361" s="368">
        <v>184.98</v>
      </c>
      <c r="AB361" s="368">
        <v>0</v>
      </c>
      <c r="AC361" s="368">
        <v>0</v>
      </c>
      <c r="AD361" s="368">
        <v>0</v>
      </c>
      <c r="AE361" s="368">
        <v>0</v>
      </c>
      <c r="AF361" s="396">
        <v>0</v>
      </c>
      <c r="AG361" s="368">
        <v>0</v>
      </c>
      <c r="AH361" s="396">
        <v>0</v>
      </c>
      <c r="AI361" s="368">
        <v>0</v>
      </c>
      <c r="AJ361" s="396">
        <v>0</v>
      </c>
      <c r="AK361" s="368">
        <v>0</v>
      </c>
      <c r="AL361" s="368">
        <v>0</v>
      </c>
      <c r="AM361" s="368">
        <v>0</v>
      </c>
      <c r="AN361" s="368"/>
      <c r="AO361" s="368">
        <v>0</v>
      </c>
    </row>
    <row r="362" spans="1:41" s="152" customFormat="1" ht="36" customHeight="1" x14ac:dyDescent="0.9">
      <c r="B362" s="382" t="s">
        <v>843</v>
      </c>
      <c r="C362" s="382"/>
      <c r="D362" s="384" t="s">
        <v>903</v>
      </c>
      <c r="E362" s="163" t="s">
        <v>903</v>
      </c>
      <c r="F362" s="384" t="s">
        <v>903</v>
      </c>
      <c r="G362" s="384" t="s">
        <v>903</v>
      </c>
      <c r="H362" s="163" t="s">
        <v>903</v>
      </c>
      <c r="I362" s="386">
        <f>I363</f>
        <v>846.4</v>
      </c>
      <c r="J362" s="164">
        <f>J363</f>
        <v>794.7</v>
      </c>
      <c r="K362" s="164">
        <f>K363</f>
        <v>794.7</v>
      </c>
      <c r="L362" s="165">
        <f>L363</f>
        <v>26</v>
      </c>
      <c r="M362" s="163" t="s">
        <v>903</v>
      </c>
      <c r="N362" s="163" t="s">
        <v>903</v>
      </c>
      <c r="O362" s="166" t="s">
        <v>903</v>
      </c>
      <c r="P362" s="387">
        <v>7261486.2599999998</v>
      </c>
      <c r="Q362" s="167">
        <f>Q363</f>
        <v>0</v>
      </c>
      <c r="R362" s="167">
        <f>R363</f>
        <v>0</v>
      </c>
      <c r="S362" s="167">
        <f>S363</f>
        <v>7261486.2599999998</v>
      </c>
      <c r="T362" s="387">
        <f t="shared" si="100"/>
        <v>8579.2607041587908</v>
      </c>
      <c r="U362" s="387">
        <f>MAX(U363)</f>
        <v>10368.151683246693</v>
      </c>
      <c r="V362" s="149">
        <f t="shared" si="102"/>
        <v>1788.8909790879025</v>
      </c>
      <c r="W362" s="149"/>
      <c r="X362" s="149"/>
      <c r="Y362" s="368"/>
      <c r="Z362" s="368"/>
      <c r="AA362" s="368"/>
      <c r="AB362" s="368"/>
      <c r="AC362" s="368"/>
      <c r="AD362" s="368"/>
      <c r="AE362" s="368"/>
      <c r="AF362" s="368"/>
      <c r="AG362" s="368"/>
      <c r="AH362" s="368"/>
      <c r="AI362" s="368"/>
      <c r="AJ362" s="368"/>
      <c r="AK362" s="368"/>
      <c r="AL362" s="368"/>
      <c r="AM362" s="368"/>
      <c r="AN362" s="368"/>
      <c r="AO362" s="368"/>
    </row>
    <row r="363" spans="1:41" s="152" customFormat="1" ht="36" customHeight="1" x14ac:dyDescent="0.9">
      <c r="A363" s="152">
        <v>1</v>
      </c>
      <c r="B363" s="90">
        <f>SUBTOTAL(103,$A$16:A363)</f>
        <v>327</v>
      </c>
      <c r="C363" s="89" t="s">
        <v>808</v>
      </c>
      <c r="D363" s="163">
        <v>1981</v>
      </c>
      <c r="E363" s="163"/>
      <c r="F363" s="168" t="s">
        <v>270</v>
      </c>
      <c r="G363" s="163">
        <v>2</v>
      </c>
      <c r="H363" s="163">
        <v>2</v>
      </c>
      <c r="I363" s="167">
        <v>846.4</v>
      </c>
      <c r="J363" s="167">
        <v>794.7</v>
      </c>
      <c r="K363" s="167">
        <v>794.7</v>
      </c>
      <c r="L363" s="165">
        <v>26</v>
      </c>
      <c r="M363" s="163" t="s">
        <v>268</v>
      </c>
      <c r="N363" s="163" t="s">
        <v>272</v>
      </c>
      <c r="O363" s="166" t="s">
        <v>738</v>
      </c>
      <c r="P363" s="167">
        <v>7261486.2599999998</v>
      </c>
      <c r="Q363" s="167">
        <v>0</v>
      </c>
      <c r="R363" s="167">
        <v>0</v>
      </c>
      <c r="S363" s="167">
        <f>P363-Q363-R363</f>
        <v>7261486.2599999998</v>
      </c>
      <c r="T363" s="167">
        <f t="shared" si="100"/>
        <v>8579.2607041587908</v>
      </c>
      <c r="U363" s="167">
        <v>10368.151683246693</v>
      </c>
      <c r="V363" s="149">
        <f>U363-T363</f>
        <v>1788.8909790879025</v>
      </c>
      <c r="W363" s="149">
        <f>X363+Y363+Z363+AA363+AB363+AD363+AF363+AH363+AJ363+AL363+AN363+AO363</f>
        <v>10368.151683246693</v>
      </c>
      <c r="X363" s="149">
        <v>0</v>
      </c>
      <c r="Y363" s="368">
        <v>0</v>
      </c>
      <c r="Z363" s="368">
        <v>0</v>
      </c>
      <c r="AA363" s="368">
        <v>0</v>
      </c>
      <c r="AB363" s="368">
        <v>0</v>
      </c>
      <c r="AC363" s="368">
        <v>0</v>
      </c>
      <c r="AD363" s="368">
        <v>0</v>
      </c>
      <c r="AE363" s="368">
        <v>552.27</v>
      </c>
      <c r="AF363" s="396">
        <f>6238.91*AE363/I363</f>
        <v>4070.8445483223063</v>
      </c>
      <c r="AG363" s="368">
        <v>0</v>
      </c>
      <c r="AH363" s="396">
        <v>0</v>
      </c>
      <c r="AI363" s="368">
        <v>716.49</v>
      </c>
      <c r="AJ363" s="397">
        <f>7439.1*AI363/I363</f>
        <v>6297.3071349243864</v>
      </c>
      <c r="AK363" s="368">
        <v>0</v>
      </c>
      <c r="AL363" s="368">
        <v>0</v>
      </c>
      <c r="AM363" s="368">
        <v>0</v>
      </c>
      <c r="AN363" s="368"/>
      <c r="AO363" s="368">
        <v>0</v>
      </c>
    </row>
    <row r="364" spans="1:41" s="152" customFormat="1" ht="36" customHeight="1" x14ac:dyDescent="0.9">
      <c r="B364" s="382" t="s">
        <v>844</v>
      </c>
      <c r="C364" s="388"/>
      <c r="D364" s="384" t="s">
        <v>903</v>
      </c>
      <c r="E364" s="163" t="s">
        <v>903</v>
      </c>
      <c r="F364" s="384" t="s">
        <v>903</v>
      </c>
      <c r="G364" s="384" t="s">
        <v>903</v>
      </c>
      <c r="H364" s="163" t="s">
        <v>903</v>
      </c>
      <c r="I364" s="386">
        <f>SUM(I365:I379)</f>
        <v>47247.65</v>
      </c>
      <c r="J364" s="164">
        <f>SUM(J365:J379)</f>
        <v>36559.94</v>
      </c>
      <c r="K364" s="164">
        <f>SUM(K365:K379)</f>
        <v>35483.350000000006</v>
      </c>
      <c r="L364" s="165">
        <f>SUM(L365:L379)</f>
        <v>1628</v>
      </c>
      <c r="M364" s="163" t="s">
        <v>903</v>
      </c>
      <c r="N364" s="163" t="s">
        <v>903</v>
      </c>
      <c r="O364" s="166" t="s">
        <v>903</v>
      </c>
      <c r="P364" s="386">
        <v>51632572.710000001</v>
      </c>
      <c r="Q364" s="164">
        <f>SUM(Q365:Q379)</f>
        <v>0</v>
      </c>
      <c r="R364" s="164">
        <f>SUM(R365:R379)</f>
        <v>0</v>
      </c>
      <c r="S364" s="164">
        <f>SUM(S365:S379)</f>
        <v>51632572.710000001</v>
      </c>
      <c r="T364" s="387">
        <f t="shared" si="100"/>
        <v>1092.8072128455067</v>
      </c>
      <c r="U364" s="387">
        <f>MAX(U365:U379)</f>
        <v>5525.0933428338767</v>
      </c>
      <c r="V364" s="149">
        <f t="shared" si="102"/>
        <v>4432.2861299883698</v>
      </c>
      <c r="W364" s="149"/>
      <c r="X364" s="149"/>
      <c r="Y364" s="368"/>
      <c r="Z364" s="368"/>
      <c r="AA364" s="368"/>
      <c r="AB364" s="368"/>
      <c r="AC364" s="368"/>
      <c r="AD364" s="368"/>
      <c r="AE364" s="368"/>
      <c r="AF364" s="368"/>
      <c r="AG364" s="368"/>
      <c r="AH364" s="368"/>
      <c r="AI364" s="368"/>
      <c r="AJ364" s="368"/>
      <c r="AK364" s="368"/>
      <c r="AL364" s="368"/>
      <c r="AM364" s="368"/>
      <c r="AN364" s="368"/>
      <c r="AO364" s="368"/>
    </row>
    <row r="365" spans="1:41" s="152" customFormat="1" ht="36" customHeight="1" x14ac:dyDescent="0.9">
      <c r="A365" s="152">
        <v>1</v>
      </c>
      <c r="B365" s="90">
        <f>SUBTOTAL(103,$A$16:A365)</f>
        <v>328</v>
      </c>
      <c r="C365" s="89" t="s">
        <v>114</v>
      </c>
      <c r="D365" s="163">
        <v>1973</v>
      </c>
      <c r="E365" s="163"/>
      <c r="F365" s="168" t="s">
        <v>270</v>
      </c>
      <c r="G365" s="163">
        <v>2</v>
      </c>
      <c r="H365" s="163">
        <v>2</v>
      </c>
      <c r="I365" s="167">
        <v>781.03</v>
      </c>
      <c r="J365" s="167">
        <v>720.97</v>
      </c>
      <c r="K365" s="167">
        <v>681.23</v>
      </c>
      <c r="L365" s="165">
        <v>38</v>
      </c>
      <c r="M365" s="163" t="s">
        <v>268</v>
      </c>
      <c r="N365" s="163" t="s">
        <v>272</v>
      </c>
      <c r="O365" s="166" t="s">
        <v>287</v>
      </c>
      <c r="P365" s="167">
        <v>54256.44</v>
      </c>
      <c r="Q365" s="167">
        <v>0</v>
      </c>
      <c r="R365" s="167">
        <v>0</v>
      </c>
      <c r="S365" s="167">
        <f t="shared" ref="S365:S377" si="115">P365-Q365-R365</f>
        <v>54256.44</v>
      </c>
      <c r="T365" s="167">
        <f t="shared" si="100"/>
        <v>69.467805333982056</v>
      </c>
      <c r="U365" s="167">
        <v>69.467805333982056</v>
      </c>
      <c r="V365" s="149">
        <f t="shared" si="102"/>
        <v>0</v>
      </c>
      <c r="W365" s="149">
        <f>T365</f>
        <v>69.467805333982056</v>
      </c>
      <c r="X365" s="149">
        <v>0</v>
      </c>
      <c r="Y365" s="368">
        <v>0</v>
      </c>
      <c r="Z365" s="368">
        <v>0</v>
      </c>
      <c r="AA365" s="368">
        <v>0</v>
      </c>
      <c r="AB365" s="368">
        <v>0</v>
      </c>
      <c r="AC365" s="368">
        <v>0</v>
      </c>
      <c r="AD365" s="368">
        <v>0</v>
      </c>
      <c r="AE365" s="368">
        <v>0</v>
      </c>
      <c r="AF365" s="396">
        <v>0</v>
      </c>
      <c r="AG365" s="368">
        <v>0</v>
      </c>
      <c r="AH365" s="396">
        <v>0</v>
      </c>
      <c r="AI365" s="368">
        <v>0</v>
      </c>
      <c r="AJ365" s="396">
        <v>0</v>
      </c>
      <c r="AK365" s="368">
        <v>0</v>
      </c>
      <c r="AL365" s="368">
        <v>0</v>
      </c>
      <c r="AM365" s="368">
        <v>0</v>
      </c>
      <c r="AN365" s="368"/>
      <c r="AO365" s="368">
        <v>0</v>
      </c>
    </row>
    <row r="366" spans="1:41" s="152" customFormat="1" ht="36" customHeight="1" x14ac:dyDescent="0.9">
      <c r="A366" s="152">
        <v>1</v>
      </c>
      <c r="B366" s="90">
        <f>SUBTOTAL(103,$A$16:A366)</f>
        <v>329</v>
      </c>
      <c r="C366" s="89" t="s">
        <v>117</v>
      </c>
      <c r="D366" s="163">
        <v>1972</v>
      </c>
      <c r="E366" s="163"/>
      <c r="F366" s="168" t="s">
        <v>270</v>
      </c>
      <c r="G366" s="163">
        <v>2</v>
      </c>
      <c r="H366" s="163">
        <v>2</v>
      </c>
      <c r="I366" s="167">
        <v>788.14</v>
      </c>
      <c r="J366" s="167">
        <v>731.72</v>
      </c>
      <c r="K366" s="167">
        <v>674.63</v>
      </c>
      <c r="L366" s="165">
        <v>35</v>
      </c>
      <c r="M366" s="163" t="s">
        <v>268</v>
      </c>
      <c r="N366" s="163" t="s">
        <v>272</v>
      </c>
      <c r="O366" s="166" t="s">
        <v>287</v>
      </c>
      <c r="P366" s="167">
        <v>3010935.87</v>
      </c>
      <c r="Q366" s="167">
        <v>0</v>
      </c>
      <c r="R366" s="167">
        <v>0</v>
      </c>
      <c r="S366" s="167">
        <f t="shared" si="115"/>
        <v>3010935.87</v>
      </c>
      <c r="T366" s="167">
        <f t="shared" si="100"/>
        <v>3820.3058720531885</v>
      </c>
      <c r="U366" s="167">
        <v>4931.6630674753214</v>
      </c>
      <c r="V366" s="149">
        <f t="shared" si="102"/>
        <v>1111.3571954221329</v>
      </c>
      <c r="W366" s="149">
        <f t="shared" ref="W366:W379" si="116">X366+Y366+Z366+AA366+AB366+AD366+AF366+AH366+AJ366+AL366+AN366+AO366</f>
        <v>4931.6630674753214</v>
      </c>
      <c r="X366" s="149">
        <v>0</v>
      </c>
      <c r="Y366" s="368">
        <v>0</v>
      </c>
      <c r="Z366" s="368">
        <v>0</v>
      </c>
      <c r="AA366" s="368">
        <v>0</v>
      </c>
      <c r="AB366" s="368">
        <v>0</v>
      </c>
      <c r="AC366" s="368">
        <v>0</v>
      </c>
      <c r="AD366" s="368">
        <v>0</v>
      </c>
      <c r="AE366" s="368">
        <v>623</v>
      </c>
      <c r="AF366" s="396">
        <f t="shared" ref="AF366:AF370" si="117">6238.91*AE366/I366</f>
        <v>4931.6630674753214</v>
      </c>
      <c r="AG366" s="368">
        <v>0</v>
      </c>
      <c r="AH366" s="396">
        <v>0</v>
      </c>
      <c r="AI366" s="368">
        <v>0</v>
      </c>
      <c r="AJ366" s="396">
        <v>0</v>
      </c>
      <c r="AK366" s="368">
        <v>0</v>
      </c>
      <c r="AL366" s="368">
        <v>0</v>
      </c>
      <c r="AM366" s="368">
        <v>0</v>
      </c>
      <c r="AN366" s="368"/>
      <c r="AO366" s="368">
        <v>0</v>
      </c>
    </row>
    <row r="367" spans="1:41" s="152" customFormat="1" ht="36" customHeight="1" x14ac:dyDescent="0.9">
      <c r="A367" s="152">
        <v>1</v>
      </c>
      <c r="B367" s="90">
        <f>SUBTOTAL(103,$A$16:A367)</f>
        <v>330</v>
      </c>
      <c r="C367" s="89" t="s">
        <v>113</v>
      </c>
      <c r="D367" s="163">
        <v>1969</v>
      </c>
      <c r="E367" s="163"/>
      <c r="F367" s="168" t="s">
        <v>270</v>
      </c>
      <c r="G367" s="163">
        <v>2</v>
      </c>
      <c r="H367" s="163">
        <v>1</v>
      </c>
      <c r="I367" s="167">
        <v>399.42</v>
      </c>
      <c r="J367" s="167">
        <v>370.5</v>
      </c>
      <c r="K367" s="167">
        <v>326.83</v>
      </c>
      <c r="L367" s="165">
        <v>18</v>
      </c>
      <c r="M367" s="163" t="s">
        <v>268</v>
      </c>
      <c r="N367" s="163" t="s">
        <v>272</v>
      </c>
      <c r="O367" s="166" t="s">
        <v>287</v>
      </c>
      <c r="P367" s="167">
        <v>1749076.41</v>
      </c>
      <c r="Q367" s="167">
        <v>0</v>
      </c>
      <c r="R367" s="167">
        <v>0</v>
      </c>
      <c r="S367" s="167">
        <f t="shared" si="115"/>
        <v>1749076.41</v>
      </c>
      <c r="T367" s="167">
        <f t="shared" si="100"/>
        <v>4379.0406339191823</v>
      </c>
      <c r="U367" s="167">
        <v>5310.7741224775918</v>
      </c>
      <c r="V367" s="149">
        <f t="shared" si="102"/>
        <v>931.73348855840959</v>
      </c>
      <c r="W367" s="149">
        <f t="shared" si="116"/>
        <v>5310.7741224775918</v>
      </c>
      <c r="X367" s="149">
        <v>0</v>
      </c>
      <c r="Y367" s="368">
        <v>0</v>
      </c>
      <c r="Z367" s="368">
        <v>0</v>
      </c>
      <c r="AA367" s="368">
        <v>0</v>
      </c>
      <c r="AB367" s="368">
        <v>0</v>
      </c>
      <c r="AC367" s="368">
        <v>0</v>
      </c>
      <c r="AD367" s="368">
        <v>0</v>
      </c>
      <c r="AE367" s="368">
        <v>340</v>
      </c>
      <c r="AF367" s="396">
        <f t="shared" si="117"/>
        <v>5310.7741224775918</v>
      </c>
      <c r="AG367" s="368">
        <v>0</v>
      </c>
      <c r="AH367" s="396">
        <v>0</v>
      </c>
      <c r="AI367" s="368">
        <v>0</v>
      </c>
      <c r="AJ367" s="396">
        <v>0</v>
      </c>
      <c r="AK367" s="368">
        <v>0</v>
      </c>
      <c r="AL367" s="368">
        <v>0</v>
      </c>
      <c r="AM367" s="368">
        <v>0</v>
      </c>
      <c r="AN367" s="368"/>
      <c r="AO367" s="368">
        <v>0</v>
      </c>
    </row>
    <row r="368" spans="1:41" s="152" customFormat="1" ht="36" customHeight="1" x14ac:dyDescent="0.9">
      <c r="A368" s="152">
        <v>1</v>
      </c>
      <c r="B368" s="90">
        <f>SUBTOTAL(103,$A$16:A368)</f>
        <v>331</v>
      </c>
      <c r="C368" s="89" t="s">
        <v>115</v>
      </c>
      <c r="D368" s="163">
        <v>1972</v>
      </c>
      <c r="E368" s="163"/>
      <c r="F368" s="168" t="s">
        <v>290</v>
      </c>
      <c r="G368" s="163">
        <v>5</v>
      </c>
      <c r="H368" s="163">
        <v>5</v>
      </c>
      <c r="I368" s="167">
        <v>5806.44</v>
      </c>
      <c r="J368" s="167">
        <v>4492</v>
      </c>
      <c r="K368" s="167">
        <v>4492</v>
      </c>
      <c r="L368" s="165">
        <v>211</v>
      </c>
      <c r="M368" s="163" t="s">
        <v>268</v>
      </c>
      <c r="N368" s="163" t="s">
        <v>272</v>
      </c>
      <c r="O368" s="166" t="s">
        <v>288</v>
      </c>
      <c r="P368" s="167">
        <v>4597872.8600000003</v>
      </c>
      <c r="Q368" s="167">
        <v>0</v>
      </c>
      <c r="R368" s="167">
        <v>0</v>
      </c>
      <c r="S368" s="167">
        <f t="shared" si="115"/>
        <v>4597872.8600000003</v>
      </c>
      <c r="T368" s="167">
        <f t="shared" si="100"/>
        <v>791.8574651593749</v>
      </c>
      <c r="U368" s="167">
        <v>1327.521390903893</v>
      </c>
      <c r="V368" s="149">
        <f t="shared" si="102"/>
        <v>535.66392574451811</v>
      </c>
      <c r="W368" s="149">
        <f t="shared" si="116"/>
        <v>1327.521390903893</v>
      </c>
      <c r="X368" s="149">
        <v>0</v>
      </c>
      <c r="Y368" s="368">
        <v>0</v>
      </c>
      <c r="Z368" s="368">
        <v>0</v>
      </c>
      <c r="AA368" s="368">
        <v>0</v>
      </c>
      <c r="AB368" s="368">
        <v>0</v>
      </c>
      <c r="AC368" s="368">
        <v>0</v>
      </c>
      <c r="AD368" s="368">
        <v>0</v>
      </c>
      <c r="AE368" s="368">
        <v>1235.5</v>
      </c>
      <c r="AF368" s="396">
        <f t="shared" si="117"/>
        <v>1327.521390903893</v>
      </c>
      <c r="AG368" s="368">
        <v>0</v>
      </c>
      <c r="AH368" s="396">
        <v>0</v>
      </c>
      <c r="AI368" s="368">
        <v>0</v>
      </c>
      <c r="AJ368" s="396">
        <v>0</v>
      </c>
      <c r="AK368" s="368">
        <v>0</v>
      </c>
      <c r="AL368" s="368">
        <v>0</v>
      </c>
      <c r="AM368" s="368">
        <v>0</v>
      </c>
      <c r="AN368" s="368"/>
      <c r="AO368" s="368">
        <v>0</v>
      </c>
    </row>
    <row r="369" spans="1:191" s="152" customFormat="1" ht="36" customHeight="1" x14ac:dyDescent="0.9">
      <c r="A369" s="152">
        <v>1</v>
      </c>
      <c r="B369" s="90">
        <f>SUBTOTAL(103,$A$16:A369)</f>
        <v>332</v>
      </c>
      <c r="C369" s="89" t="s">
        <v>116</v>
      </c>
      <c r="D369" s="163">
        <v>1973</v>
      </c>
      <c r="E369" s="163"/>
      <c r="F369" s="168" t="s">
        <v>290</v>
      </c>
      <c r="G369" s="163">
        <v>5</v>
      </c>
      <c r="H369" s="163">
        <v>6</v>
      </c>
      <c r="I369" s="167">
        <v>6042.57</v>
      </c>
      <c r="J369" s="167">
        <v>4619</v>
      </c>
      <c r="K369" s="167">
        <v>4619</v>
      </c>
      <c r="L369" s="165">
        <v>176</v>
      </c>
      <c r="M369" s="163" t="s">
        <v>268</v>
      </c>
      <c r="N369" s="163" t="s">
        <v>272</v>
      </c>
      <c r="O369" s="166" t="s">
        <v>288</v>
      </c>
      <c r="P369" s="167">
        <v>5471426.4999999991</v>
      </c>
      <c r="Q369" s="167">
        <v>0</v>
      </c>
      <c r="R369" s="167">
        <v>0</v>
      </c>
      <c r="S369" s="167">
        <f t="shared" si="115"/>
        <v>5471426.4999999991</v>
      </c>
      <c r="T369" s="167">
        <f t="shared" si="100"/>
        <v>905.48003581257638</v>
      </c>
      <c r="U369" s="167">
        <v>1145.2203605088564</v>
      </c>
      <c r="V369" s="149">
        <f t="shared" si="102"/>
        <v>239.74032469628003</v>
      </c>
      <c r="W369" s="149">
        <f t="shared" si="116"/>
        <v>1145.2203605088564</v>
      </c>
      <c r="X369" s="149">
        <v>0</v>
      </c>
      <c r="Y369" s="368">
        <v>0</v>
      </c>
      <c r="Z369" s="368">
        <v>0</v>
      </c>
      <c r="AA369" s="368">
        <v>0</v>
      </c>
      <c r="AB369" s="368">
        <v>0</v>
      </c>
      <c r="AC369" s="368">
        <v>0</v>
      </c>
      <c r="AD369" s="368">
        <v>0</v>
      </c>
      <c r="AE369" s="368">
        <v>1109.18</v>
      </c>
      <c r="AF369" s="396">
        <f t="shared" si="117"/>
        <v>1145.2203605088564</v>
      </c>
      <c r="AG369" s="368">
        <v>0</v>
      </c>
      <c r="AH369" s="396">
        <v>0</v>
      </c>
      <c r="AI369" s="368">
        <v>0</v>
      </c>
      <c r="AJ369" s="396">
        <v>0</v>
      </c>
      <c r="AK369" s="368">
        <v>0</v>
      </c>
      <c r="AL369" s="368">
        <v>0</v>
      </c>
      <c r="AM369" s="368">
        <v>0</v>
      </c>
      <c r="AN369" s="368"/>
      <c r="AO369" s="368">
        <v>0</v>
      </c>
    </row>
    <row r="370" spans="1:191" s="152" customFormat="1" ht="36" customHeight="1" x14ac:dyDescent="0.9">
      <c r="A370" s="152">
        <v>1</v>
      </c>
      <c r="B370" s="90">
        <f>SUBTOTAL(103,$A$16:A370)</f>
        <v>333</v>
      </c>
      <c r="C370" s="89" t="s">
        <v>118</v>
      </c>
      <c r="D370" s="163">
        <v>1973</v>
      </c>
      <c r="E370" s="163"/>
      <c r="F370" s="168" t="s">
        <v>270</v>
      </c>
      <c r="G370" s="163">
        <v>2</v>
      </c>
      <c r="H370" s="163">
        <v>2</v>
      </c>
      <c r="I370" s="167">
        <v>787.52</v>
      </c>
      <c r="J370" s="167">
        <v>728.1</v>
      </c>
      <c r="K370" s="167">
        <v>728.1</v>
      </c>
      <c r="L370" s="165">
        <v>30</v>
      </c>
      <c r="M370" s="163" t="s">
        <v>268</v>
      </c>
      <c r="N370" s="163" t="s">
        <v>272</v>
      </c>
      <c r="O370" s="166" t="s">
        <v>288</v>
      </c>
      <c r="P370" s="167">
        <v>3452645.31</v>
      </c>
      <c r="Q370" s="167">
        <v>0</v>
      </c>
      <c r="R370" s="167">
        <v>0</v>
      </c>
      <c r="S370" s="167">
        <f t="shared" si="115"/>
        <v>3452645.31</v>
      </c>
      <c r="T370" s="167">
        <f t="shared" si="100"/>
        <v>4384.2001599959367</v>
      </c>
      <c r="U370" s="167">
        <v>5030.612365400244</v>
      </c>
      <c r="V370" s="149">
        <f t="shared" si="102"/>
        <v>646.41220540430731</v>
      </c>
      <c r="W370" s="149">
        <f t="shared" si="116"/>
        <v>5030.612365400244</v>
      </c>
      <c r="X370" s="149">
        <v>0</v>
      </c>
      <c r="Y370" s="368">
        <v>0</v>
      </c>
      <c r="Z370" s="368">
        <v>0</v>
      </c>
      <c r="AA370" s="368">
        <v>0</v>
      </c>
      <c r="AB370" s="368">
        <v>0</v>
      </c>
      <c r="AC370" s="368">
        <v>0</v>
      </c>
      <c r="AD370" s="368">
        <v>0</v>
      </c>
      <c r="AE370" s="368">
        <v>635</v>
      </c>
      <c r="AF370" s="396">
        <f t="shared" si="117"/>
        <v>5030.612365400244</v>
      </c>
      <c r="AG370" s="368">
        <v>0</v>
      </c>
      <c r="AH370" s="396">
        <v>0</v>
      </c>
      <c r="AI370" s="368">
        <v>0</v>
      </c>
      <c r="AJ370" s="396">
        <v>0</v>
      </c>
      <c r="AK370" s="368">
        <v>0</v>
      </c>
      <c r="AL370" s="368">
        <v>0</v>
      </c>
      <c r="AM370" s="368">
        <v>0</v>
      </c>
      <c r="AN370" s="368"/>
      <c r="AO370" s="368">
        <v>0</v>
      </c>
    </row>
    <row r="371" spans="1:191" s="152" customFormat="1" ht="36" customHeight="1" x14ac:dyDescent="0.9">
      <c r="A371" s="152">
        <v>1</v>
      </c>
      <c r="B371" s="90">
        <f>SUBTOTAL(103,$A$16:A371)</f>
        <v>334</v>
      </c>
      <c r="C371" s="89" t="s">
        <v>119</v>
      </c>
      <c r="D371" s="163">
        <v>1979</v>
      </c>
      <c r="E371" s="163"/>
      <c r="F371" s="168" t="s">
        <v>270</v>
      </c>
      <c r="G371" s="163">
        <v>2</v>
      </c>
      <c r="H371" s="163">
        <v>3</v>
      </c>
      <c r="I371" s="167">
        <v>1253.7</v>
      </c>
      <c r="J371" s="167">
        <v>1133.5</v>
      </c>
      <c r="K371" s="167">
        <v>1133.5</v>
      </c>
      <c r="L371" s="165">
        <v>56</v>
      </c>
      <c r="M371" s="163" t="s">
        <v>268</v>
      </c>
      <c r="N371" s="163" t="s">
        <v>272</v>
      </c>
      <c r="O371" s="166" t="s">
        <v>288</v>
      </c>
      <c r="P371" s="167">
        <v>2197982.44</v>
      </c>
      <c r="Q371" s="167">
        <v>0</v>
      </c>
      <c r="R371" s="167">
        <v>0</v>
      </c>
      <c r="S371" s="167">
        <f t="shared" si="115"/>
        <v>2197982.44</v>
      </c>
      <c r="T371" s="167">
        <f t="shared" si="100"/>
        <v>1753.19649038845</v>
      </c>
      <c r="U371" s="167">
        <v>3546.19</v>
      </c>
      <c r="V371" s="149">
        <f t="shared" si="102"/>
        <v>1792.9935096115501</v>
      </c>
      <c r="W371" s="149">
        <f t="shared" si="116"/>
        <v>3546.19</v>
      </c>
      <c r="X371" s="149">
        <v>101.55</v>
      </c>
      <c r="Y371" s="368">
        <v>0</v>
      </c>
      <c r="Z371" s="368">
        <v>3259.66</v>
      </c>
      <c r="AA371" s="368">
        <v>184.98</v>
      </c>
      <c r="AB371" s="368">
        <v>0</v>
      </c>
      <c r="AC371" s="368">
        <v>0</v>
      </c>
      <c r="AD371" s="368">
        <v>0</v>
      </c>
      <c r="AE371" s="368">
        <v>0</v>
      </c>
      <c r="AF371" s="396">
        <v>0</v>
      </c>
      <c r="AG371" s="368">
        <v>0</v>
      </c>
      <c r="AH371" s="396">
        <v>0</v>
      </c>
      <c r="AI371" s="368">
        <v>0</v>
      </c>
      <c r="AJ371" s="396">
        <v>0</v>
      </c>
      <c r="AK371" s="368">
        <v>0</v>
      </c>
      <c r="AL371" s="368">
        <v>0</v>
      </c>
      <c r="AM371" s="368">
        <v>0</v>
      </c>
      <c r="AN371" s="368"/>
      <c r="AO371" s="368">
        <v>0</v>
      </c>
    </row>
    <row r="372" spans="1:191" s="152" customFormat="1" ht="36" customHeight="1" x14ac:dyDescent="0.9">
      <c r="A372" s="152">
        <v>1</v>
      </c>
      <c r="B372" s="90">
        <f>SUBTOTAL(103,$A$16:A372)</f>
        <v>335</v>
      </c>
      <c r="C372" s="89" t="s">
        <v>1238</v>
      </c>
      <c r="D372" s="163" t="s">
        <v>313</v>
      </c>
      <c r="E372" s="163"/>
      <c r="F372" s="168" t="s">
        <v>270</v>
      </c>
      <c r="G372" s="163" t="s">
        <v>356</v>
      </c>
      <c r="H372" s="163" t="s">
        <v>376</v>
      </c>
      <c r="I372" s="167">
        <v>5104.97</v>
      </c>
      <c r="J372" s="167">
        <v>4716.63</v>
      </c>
      <c r="K372" s="167">
        <v>3830.44</v>
      </c>
      <c r="L372" s="165">
        <v>208</v>
      </c>
      <c r="M372" s="163" t="s">
        <v>268</v>
      </c>
      <c r="N372" s="163" t="s">
        <v>272</v>
      </c>
      <c r="O372" s="166" t="s">
        <v>1324</v>
      </c>
      <c r="P372" s="167">
        <v>6045408.0499999998</v>
      </c>
      <c r="Q372" s="167">
        <v>0</v>
      </c>
      <c r="R372" s="167">
        <v>0</v>
      </c>
      <c r="S372" s="167">
        <f t="shared" si="115"/>
        <v>6045408.0499999998</v>
      </c>
      <c r="T372" s="167">
        <f t="shared" si="100"/>
        <v>1184.22009336</v>
      </c>
      <c r="U372" s="167">
        <v>4133.8614879225543</v>
      </c>
      <c r="V372" s="149">
        <f t="shared" si="102"/>
        <v>2949.6413945625545</v>
      </c>
      <c r="W372" s="149">
        <f t="shared" si="116"/>
        <v>4133.8614879225543</v>
      </c>
      <c r="X372" s="149">
        <v>0</v>
      </c>
      <c r="Y372" s="368">
        <v>0</v>
      </c>
      <c r="Z372" s="368">
        <v>0</v>
      </c>
      <c r="AA372" s="368">
        <v>0</v>
      </c>
      <c r="AB372" s="368">
        <v>0</v>
      </c>
      <c r="AC372" s="368">
        <v>0</v>
      </c>
      <c r="AD372" s="368">
        <v>0</v>
      </c>
      <c r="AE372" s="368">
        <v>0</v>
      </c>
      <c r="AF372" s="396">
        <v>0</v>
      </c>
      <c r="AG372" s="368">
        <v>0</v>
      </c>
      <c r="AH372" s="396">
        <v>0</v>
      </c>
      <c r="AI372" s="368">
        <v>2836.8</v>
      </c>
      <c r="AJ372" s="397">
        <f>7439.1*AI372/I372</f>
        <v>4133.8614879225543</v>
      </c>
      <c r="AK372" s="368">
        <v>0</v>
      </c>
      <c r="AL372" s="368">
        <v>0</v>
      </c>
      <c r="AM372" s="368">
        <v>0</v>
      </c>
      <c r="AN372" s="368"/>
      <c r="AO372" s="368">
        <v>0</v>
      </c>
    </row>
    <row r="373" spans="1:191" s="152" customFormat="1" ht="36" customHeight="1" x14ac:dyDescent="0.9">
      <c r="A373" s="152">
        <v>1</v>
      </c>
      <c r="B373" s="90">
        <f>SUBTOTAL(103,$A$16:A373)</f>
        <v>336</v>
      </c>
      <c r="C373" s="89" t="s">
        <v>1239</v>
      </c>
      <c r="D373" s="163">
        <v>1973</v>
      </c>
      <c r="E373" s="163"/>
      <c r="F373" s="168" t="s">
        <v>322</v>
      </c>
      <c r="G373" s="163">
        <v>5</v>
      </c>
      <c r="H373" s="163">
        <v>6</v>
      </c>
      <c r="I373" s="167">
        <v>4615</v>
      </c>
      <c r="J373" s="167">
        <v>3188.68</v>
      </c>
      <c r="K373" s="167">
        <v>3188.68</v>
      </c>
      <c r="L373" s="165">
        <v>184</v>
      </c>
      <c r="M373" s="163" t="s">
        <v>268</v>
      </c>
      <c r="N373" s="163" t="s">
        <v>272</v>
      </c>
      <c r="O373" s="166" t="s">
        <v>1325</v>
      </c>
      <c r="P373" s="167">
        <v>4137465.72</v>
      </c>
      <c r="Q373" s="167">
        <v>0</v>
      </c>
      <c r="R373" s="167">
        <v>0</v>
      </c>
      <c r="S373" s="167">
        <f t="shared" si="115"/>
        <v>4137465.72</v>
      </c>
      <c r="T373" s="167">
        <f t="shared" si="100"/>
        <v>896.52561646803906</v>
      </c>
      <c r="U373" s="167">
        <v>1567.3250458721557</v>
      </c>
      <c r="V373" s="149">
        <f t="shared" si="102"/>
        <v>670.79942940411661</v>
      </c>
      <c r="W373" s="149">
        <f t="shared" si="116"/>
        <v>1567.3250458721557</v>
      </c>
      <c r="X373" s="149">
        <v>0</v>
      </c>
      <c r="Y373" s="368">
        <v>0</v>
      </c>
      <c r="Z373" s="368">
        <v>0</v>
      </c>
      <c r="AA373" s="368">
        <v>0</v>
      </c>
      <c r="AB373" s="368">
        <v>0</v>
      </c>
      <c r="AC373" s="368">
        <v>0</v>
      </c>
      <c r="AD373" s="368">
        <v>0</v>
      </c>
      <c r="AE373" s="368">
        <v>1159.3699999999999</v>
      </c>
      <c r="AF373" s="396">
        <f t="shared" ref="AF373:AF375" si="118">6238.91*AE373/I373</f>
        <v>1567.3250458721557</v>
      </c>
      <c r="AG373" s="368">
        <v>0</v>
      </c>
      <c r="AH373" s="396">
        <v>0</v>
      </c>
      <c r="AI373" s="368">
        <v>0</v>
      </c>
      <c r="AJ373" s="396">
        <v>0</v>
      </c>
      <c r="AK373" s="368">
        <v>0</v>
      </c>
      <c r="AL373" s="368">
        <v>0</v>
      </c>
      <c r="AM373" s="368">
        <v>0</v>
      </c>
      <c r="AN373" s="368"/>
      <c r="AO373" s="368">
        <v>0</v>
      </c>
    </row>
    <row r="374" spans="1:191" s="152" customFormat="1" ht="36" customHeight="1" x14ac:dyDescent="0.9">
      <c r="A374" s="152">
        <v>1</v>
      </c>
      <c r="B374" s="90">
        <f>SUBTOTAL(103,$A$16:A374)</f>
        <v>337</v>
      </c>
      <c r="C374" s="89" t="s">
        <v>1240</v>
      </c>
      <c r="D374" s="163">
        <v>1974</v>
      </c>
      <c r="E374" s="163"/>
      <c r="F374" s="168" t="s">
        <v>290</v>
      </c>
      <c r="G374" s="163">
        <v>5</v>
      </c>
      <c r="H374" s="163">
        <v>4</v>
      </c>
      <c r="I374" s="167">
        <v>4089.9</v>
      </c>
      <c r="J374" s="167">
        <v>3096</v>
      </c>
      <c r="K374" s="167">
        <v>3096</v>
      </c>
      <c r="L374" s="165">
        <v>116</v>
      </c>
      <c r="M374" s="163" t="s">
        <v>268</v>
      </c>
      <c r="N374" s="163" t="s">
        <v>272</v>
      </c>
      <c r="O374" s="166" t="s">
        <v>1346</v>
      </c>
      <c r="P374" s="167">
        <v>2786924.03</v>
      </c>
      <c r="Q374" s="167">
        <v>0</v>
      </c>
      <c r="R374" s="167">
        <v>0</v>
      </c>
      <c r="S374" s="167">
        <f t="shared" si="115"/>
        <v>2786924.03</v>
      </c>
      <c r="T374" s="167">
        <f t="shared" si="100"/>
        <v>681.41617887967914</v>
      </c>
      <c r="U374" s="167">
        <v>1165.1334893273672</v>
      </c>
      <c r="V374" s="149">
        <f t="shared" si="102"/>
        <v>483.71731044768808</v>
      </c>
      <c r="W374" s="149">
        <f t="shared" si="116"/>
        <v>1165.1334893273672</v>
      </c>
      <c r="X374" s="149">
        <v>0</v>
      </c>
      <c r="Y374" s="368">
        <v>0</v>
      </c>
      <c r="Z374" s="368">
        <v>0</v>
      </c>
      <c r="AA374" s="368">
        <v>0</v>
      </c>
      <c r="AB374" s="368">
        <v>0</v>
      </c>
      <c r="AC374" s="368">
        <v>0</v>
      </c>
      <c r="AD374" s="368">
        <v>0</v>
      </c>
      <c r="AE374" s="368">
        <v>763.8</v>
      </c>
      <c r="AF374" s="396">
        <f t="shared" si="118"/>
        <v>1165.1334893273672</v>
      </c>
      <c r="AG374" s="368">
        <v>0</v>
      </c>
      <c r="AH374" s="396">
        <v>0</v>
      </c>
      <c r="AI374" s="368">
        <v>0</v>
      </c>
      <c r="AJ374" s="396">
        <v>0</v>
      </c>
      <c r="AK374" s="368">
        <v>0</v>
      </c>
      <c r="AL374" s="368">
        <v>0</v>
      </c>
      <c r="AM374" s="368">
        <v>0</v>
      </c>
      <c r="AN374" s="368"/>
      <c r="AO374" s="368">
        <v>0</v>
      </c>
    </row>
    <row r="375" spans="1:191" s="152" customFormat="1" ht="36" customHeight="1" x14ac:dyDescent="0.9">
      <c r="A375" s="152">
        <v>1</v>
      </c>
      <c r="B375" s="90">
        <f>SUBTOTAL(103,$A$16:A375)</f>
        <v>338</v>
      </c>
      <c r="C375" s="89" t="s">
        <v>1241</v>
      </c>
      <c r="D375" s="163">
        <v>1966</v>
      </c>
      <c r="E375" s="163"/>
      <c r="F375" s="168" t="s">
        <v>290</v>
      </c>
      <c r="G375" s="163">
        <v>2</v>
      </c>
      <c r="H375" s="163">
        <v>2</v>
      </c>
      <c r="I375" s="167">
        <v>1059</v>
      </c>
      <c r="J375" s="167">
        <v>649.9</v>
      </c>
      <c r="K375" s="167">
        <v>649.9</v>
      </c>
      <c r="L375" s="165">
        <v>27</v>
      </c>
      <c r="M375" s="163" t="s">
        <v>268</v>
      </c>
      <c r="N375" s="163" t="s">
        <v>272</v>
      </c>
      <c r="O375" s="166" t="s">
        <v>1346</v>
      </c>
      <c r="P375" s="167">
        <v>1749879.69</v>
      </c>
      <c r="Q375" s="167">
        <v>0</v>
      </c>
      <c r="R375" s="167">
        <v>0</v>
      </c>
      <c r="S375" s="167">
        <f t="shared" si="115"/>
        <v>1749879.69</v>
      </c>
      <c r="T375" s="167">
        <f t="shared" si="100"/>
        <v>1652.3887535410765</v>
      </c>
      <c r="U375" s="167">
        <v>2689.977626062323</v>
      </c>
      <c r="V375" s="149">
        <f t="shared" si="102"/>
        <v>1037.5888725212465</v>
      </c>
      <c r="W375" s="149">
        <f t="shared" si="116"/>
        <v>2689.977626062323</v>
      </c>
      <c r="X375" s="149">
        <v>0</v>
      </c>
      <c r="Y375" s="368">
        <v>0</v>
      </c>
      <c r="Z375" s="368">
        <v>0</v>
      </c>
      <c r="AA375" s="368">
        <v>0</v>
      </c>
      <c r="AB375" s="368">
        <v>0</v>
      </c>
      <c r="AC375" s="368">
        <v>0</v>
      </c>
      <c r="AD375" s="368">
        <v>0</v>
      </c>
      <c r="AE375" s="368">
        <v>456.6</v>
      </c>
      <c r="AF375" s="396">
        <f t="shared" si="118"/>
        <v>2689.977626062323</v>
      </c>
      <c r="AG375" s="368">
        <v>0</v>
      </c>
      <c r="AH375" s="396">
        <v>0</v>
      </c>
      <c r="AI375" s="368">
        <v>0</v>
      </c>
      <c r="AJ375" s="396">
        <v>0</v>
      </c>
      <c r="AK375" s="368">
        <v>0</v>
      </c>
      <c r="AL375" s="368">
        <v>0</v>
      </c>
      <c r="AM375" s="368">
        <v>0</v>
      </c>
      <c r="AN375" s="368"/>
      <c r="AO375" s="368">
        <v>0</v>
      </c>
    </row>
    <row r="376" spans="1:191" s="152" customFormat="1" ht="36" customHeight="1" x14ac:dyDescent="0.9">
      <c r="A376" s="152">
        <v>1</v>
      </c>
      <c r="B376" s="90">
        <f>SUBTOTAL(103,$A$16:A376)</f>
        <v>339</v>
      </c>
      <c r="C376" s="89" t="s">
        <v>1242</v>
      </c>
      <c r="D376" s="163">
        <v>1987</v>
      </c>
      <c r="E376" s="163"/>
      <c r="F376" s="168" t="s">
        <v>270</v>
      </c>
      <c r="G376" s="163">
        <v>2</v>
      </c>
      <c r="H376" s="163">
        <v>3</v>
      </c>
      <c r="I376" s="167">
        <v>1448.2</v>
      </c>
      <c r="J376" s="167">
        <v>864.2</v>
      </c>
      <c r="K376" s="167">
        <v>864.2</v>
      </c>
      <c r="L376" s="165">
        <v>53</v>
      </c>
      <c r="M376" s="163" t="s">
        <v>268</v>
      </c>
      <c r="N376" s="163" t="s">
        <v>272</v>
      </c>
      <c r="O376" s="166" t="s">
        <v>1347</v>
      </c>
      <c r="P376" s="167">
        <v>1395351.75</v>
      </c>
      <c r="Q376" s="167">
        <v>0</v>
      </c>
      <c r="R376" s="167">
        <v>0</v>
      </c>
      <c r="S376" s="167">
        <f t="shared" si="115"/>
        <v>1395351.75</v>
      </c>
      <c r="T376" s="167">
        <f t="shared" si="100"/>
        <v>963.50763016157987</v>
      </c>
      <c r="U376" s="167">
        <v>3546.19</v>
      </c>
      <c r="V376" s="149">
        <f t="shared" si="102"/>
        <v>2582.6823698384201</v>
      </c>
      <c r="W376" s="149">
        <f t="shared" si="116"/>
        <v>3546.19</v>
      </c>
      <c r="X376" s="149">
        <v>101.55</v>
      </c>
      <c r="Y376" s="368">
        <v>0</v>
      </c>
      <c r="Z376" s="368">
        <v>3259.66</v>
      </c>
      <c r="AA376" s="368">
        <v>184.98</v>
      </c>
      <c r="AB376" s="368">
        <v>0</v>
      </c>
      <c r="AC376" s="368">
        <v>0</v>
      </c>
      <c r="AD376" s="368">
        <v>0</v>
      </c>
      <c r="AE376" s="368">
        <v>0</v>
      </c>
      <c r="AF376" s="396">
        <v>0</v>
      </c>
      <c r="AG376" s="368">
        <v>0</v>
      </c>
      <c r="AH376" s="396">
        <v>0</v>
      </c>
      <c r="AI376" s="368">
        <v>0</v>
      </c>
      <c r="AJ376" s="396">
        <v>0</v>
      </c>
      <c r="AK376" s="368">
        <v>0</v>
      </c>
      <c r="AL376" s="368">
        <v>0</v>
      </c>
      <c r="AM376" s="368">
        <v>0</v>
      </c>
      <c r="AN376" s="368"/>
      <c r="AO376" s="368">
        <v>0</v>
      </c>
    </row>
    <row r="377" spans="1:191" s="152" customFormat="1" ht="36" customHeight="1" x14ac:dyDescent="0.9">
      <c r="A377" s="152">
        <v>1</v>
      </c>
      <c r="B377" s="90">
        <f>SUBTOTAL(103,$A$16:A377)</f>
        <v>340</v>
      </c>
      <c r="C377" s="89" t="s">
        <v>1243</v>
      </c>
      <c r="D377" s="163">
        <v>1978</v>
      </c>
      <c r="E377" s="163"/>
      <c r="F377" s="168" t="s">
        <v>322</v>
      </c>
      <c r="G377" s="163">
        <v>5</v>
      </c>
      <c r="H377" s="163">
        <v>8</v>
      </c>
      <c r="I377" s="167">
        <v>7971.79</v>
      </c>
      <c r="J377" s="167">
        <v>6074.64</v>
      </c>
      <c r="K377" s="167">
        <v>6074.64</v>
      </c>
      <c r="L377" s="165">
        <v>264</v>
      </c>
      <c r="M377" s="163" t="s">
        <v>268</v>
      </c>
      <c r="N377" s="163" t="s">
        <v>272</v>
      </c>
      <c r="O377" s="166" t="s">
        <v>1347</v>
      </c>
      <c r="P377" s="167">
        <v>5506257.7399999993</v>
      </c>
      <c r="Q377" s="167">
        <v>0</v>
      </c>
      <c r="R377" s="167">
        <v>0</v>
      </c>
      <c r="S377" s="167">
        <f t="shared" si="115"/>
        <v>5506257.7399999993</v>
      </c>
      <c r="T377" s="167">
        <f t="shared" si="100"/>
        <v>690.71786135861578</v>
      </c>
      <c r="U377" s="167">
        <v>1196.5530325058737</v>
      </c>
      <c r="V377" s="149">
        <f t="shared" si="102"/>
        <v>505.83517114725794</v>
      </c>
      <c r="W377" s="149">
        <f t="shared" si="116"/>
        <v>1196.5530325058737</v>
      </c>
      <c r="X377" s="149">
        <v>0</v>
      </c>
      <c r="Y377" s="368">
        <v>0</v>
      </c>
      <c r="Z377" s="368">
        <v>0</v>
      </c>
      <c r="AA377" s="368">
        <v>0</v>
      </c>
      <c r="AB377" s="368">
        <v>0</v>
      </c>
      <c r="AC377" s="368">
        <v>0</v>
      </c>
      <c r="AD377" s="368">
        <v>0</v>
      </c>
      <c r="AE377" s="368">
        <v>1528.9</v>
      </c>
      <c r="AF377" s="396">
        <f t="shared" ref="AF377:AF379" si="119">6238.91*AE377/I377</f>
        <v>1196.5530325058737</v>
      </c>
      <c r="AG377" s="368">
        <v>0</v>
      </c>
      <c r="AH377" s="396">
        <v>0</v>
      </c>
      <c r="AI377" s="368">
        <v>0</v>
      </c>
      <c r="AJ377" s="396">
        <v>0</v>
      </c>
      <c r="AK377" s="368">
        <v>0</v>
      </c>
      <c r="AL377" s="368">
        <v>0</v>
      </c>
      <c r="AM377" s="368">
        <v>0</v>
      </c>
      <c r="AN377" s="368"/>
      <c r="AO377" s="368">
        <v>0</v>
      </c>
    </row>
    <row r="378" spans="1:191" s="152" customFormat="1" ht="36" customHeight="1" x14ac:dyDescent="0.9">
      <c r="A378" s="152">
        <v>1</v>
      </c>
      <c r="B378" s="90">
        <f>SUBTOTAL(103,$A$16:A378)</f>
        <v>341</v>
      </c>
      <c r="C378" s="89" t="s">
        <v>1579</v>
      </c>
      <c r="D378" s="163">
        <v>1977</v>
      </c>
      <c r="E378" s="163"/>
      <c r="F378" s="168" t="s">
        <v>1596</v>
      </c>
      <c r="G378" s="163">
        <v>2</v>
      </c>
      <c r="H378" s="163">
        <v>3</v>
      </c>
      <c r="I378" s="167">
        <v>982.4</v>
      </c>
      <c r="J378" s="167">
        <v>564.1</v>
      </c>
      <c r="K378" s="167">
        <f>J378-49.9</f>
        <v>514.20000000000005</v>
      </c>
      <c r="L378" s="165">
        <v>46</v>
      </c>
      <c r="M378" s="163" t="s">
        <v>268</v>
      </c>
      <c r="N378" s="163" t="s">
        <v>272</v>
      </c>
      <c r="O378" s="166" t="s">
        <v>1603</v>
      </c>
      <c r="P378" s="167">
        <v>4498868.8</v>
      </c>
      <c r="Q378" s="167">
        <v>0</v>
      </c>
      <c r="R378" s="167">
        <v>0</v>
      </c>
      <c r="S378" s="167">
        <f>P378-R378-Q378</f>
        <v>4498868.8</v>
      </c>
      <c r="T378" s="167">
        <f t="shared" si="100"/>
        <v>4579.4674267100972</v>
      </c>
      <c r="U378" s="167">
        <v>5525.0933428338767</v>
      </c>
      <c r="V378" s="149">
        <f t="shared" si="102"/>
        <v>945.62591612377946</v>
      </c>
      <c r="W378" s="149">
        <f t="shared" si="116"/>
        <v>5525.0933428338767</v>
      </c>
      <c r="X378" s="149">
        <v>0</v>
      </c>
      <c r="Y378" s="368">
        <v>0</v>
      </c>
      <c r="Z378" s="368">
        <v>0</v>
      </c>
      <c r="AA378" s="368">
        <v>0</v>
      </c>
      <c r="AB378" s="368">
        <v>0</v>
      </c>
      <c r="AC378" s="368">
        <v>0</v>
      </c>
      <c r="AD378" s="368">
        <v>0</v>
      </c>
      <c r="AE378" s="368">
        <v>870</v>
      </c>
      <c r="AF378" s="396">
        <f t="shared" si="119"/>
        <v>5525.0933428338767</v>
      </c>
      <c r="AG378" s="368">
        <v>0</v>
      </c>
      <c r="AH378" s="396">
        <v>0</v>
      </c>
      <c r="AI378" s="368">
        <v>0</v>
      </c>
      <c r="AJ378" s="396">
        <v>0</v>
      </c>
      <c r="AK378" s="368">
        <v>0</v>
      </c>
      <c r="AL378" s="368">
        <v>0</v>
      </c>
      <c r="AM378" s="368">
        <v>0</v>
      </c>
      <c r="AN378" s="368"/>
      <c r="AO378" s="368">
        <v>0</v>
      </c>
    </row>
    <row r="379" spans="1:191" s="121" customFormat="1" ht="36" customHeight="1" x14ac:dyDescent="0.9">
      <c r="A379" s="152">
        <v>1</v>
      </c>
      <c r="B379" s="90">
        <f>SUBTOTAL(103,$A$16:A379)</f>
        <v>342</v>
      </c>
      <c r="C379" s="176" t="s">
        <v>135</v>
      </c>
      <c r="D379" s="171">
        <v>1976</v>
      </c>
      <c r="E379" s="171"/>
      <c r="F379" s="172" t="s">
        <v>290</v>
      </c>
      <c r="G379" s="171">
        <v>5</v>
      </c>
      <c r="H379" s="171">
        <v>6</v>
      </c>
      <c r="I379" s="173">
        <v>6117.57</v>
      </c>
      <c r="J379" s="173">
        <v>4610</v>
      </c>
      <c r="K379" s="173">
        <v>4610</v>
      </c>
      <c r="L379" s="174">
        <v>166</v>
      </c>
      <c r="M379" s="171" t="s">
        <v>268</v>
      </c>
      <c r="N379" s="171" t="s">
        <v>272</v>
      </c>
      <c r="O379" s="171" t="s">
        <v>288</v>
      </c>
      <c r="P379" s="164">
        <v>4978221.0999999996</v>
      </c>
      <c r="Q379" s="164">
        <v>0</v>
      </c>
      <c r="R379" s="164">
        <v>0</v>
      </c>
      <c r="S379" s="164">
        <f>P379-Q379-R379</f>
        <v>4978221.0999999996</v>
      </c>
      <c r="T379" s="167">
        <f t="shared" si="100"/>
        <v>813.75793002777243</v>
      </c>
      <c r="U379" s="167">
        <v>1132.4448175010666</v>
      </c>
      <c r="V379" s="149">
        <f t="shared" si="102"/>
        <v>318.68688747329418</v>
      </c>
      <c r="W379" s="149">
        <f t="shared" si="116"/>
        <v>1132.4448175010666</v>
      </c>
      <c r="X379" s="149">
        <v>0</v>
      </c>
      <c r="Y379" s="368">
        <v>0</v>
      </c>
      <c r="Z379" s="368">
        <v>0</v>
      </c>
      <c r="AA379" s="368">
        <v>0</v>
      </c>
      <c r="AB379" s="368">
        <v>0</v>
      </c>
      <c r="AC379" s="368">
        <v>0</v>
      </c>
      <c r="AD379" s="368">
        <v>0</v>
      </c>
      <c r="AE379" s="368">
        <v>1110.42</v>
      </c>
      <c r="AF379" s="396">
        <f t="shared" si="119"/>
        <v>1132.4448175010666</v>
      </c>
      <c r="AG379" s="368">
        <v>0</v>
      </c>
      <c r="AH379" s="396">
        <v>0</v>
      </c>
      <c r="AI379" s="368">
        <v>0</v>
      </c>
      <c r="AJ379" s="396">
        <v>0</v>
      </c>
      <c r="AK379" s="368">
        <v>0</v>
      </c>
      <c r="AL379" s="368">
        <v>0</v>
      </c>
      <c r="AM379" s="368">
        <v>0</v>
      </c>
      <c r="AN379" s="368"/>
      <c r="AO379" s="368">
        <v>0</v>
      </c>
      <c r="AP379" s="152"/>
      <c r="DQ379" s="123"/>
      <c r="DR379" s="123"/>
      <c r="DS379" s="123"/>
      <c r="EG379" s="124"/>
      <c r="EP379" s="125"/>
      <c r="FS379" s="126"/>
      <c r="GI379" s="127"/>
    </row>
    <row r="380" spans="1:191" s="152" customFormat="1" ht="36" customHeight="1" x14ac:dyDescent="0.9">
      <c r="B380" s="382" t="s">
        <v>845</v>
      </c>
      <c r="C380" s="382"/>
      <c r="D380" s="384" t="s">
        <v>903</v>
      </c>
      <c r="E380" s="163" t="s">
        <v>903</v>
      </c>
      <c r="F380" s="384" t="s">
        <v>903</v>
      </c>
      <c r="G380" s="384" t="s">
        <v>903</v>
      </c>
      <c r="H380" s="163" t="s">
        <v>903</v>
      </c>
      <c r="I380" s="386">
        <f>SUM(I381:I382)</f>
        <v>2529.2999999999997</v>
      </c>
      <c r="J380" s="164">
        <f>SUM(J381:J382)</f>
        <v>2495.1999999999998</v>
      </c>
      <c r="K380" s="164">
        <f>SUM(K381:K382)</f>
        <v>1873.5</v>
      </c>
      <c r="L380" s="165">
        <f>SUM(L381:L382)</f>
        <v>114</v>
      </c>
      <c r="M380" s="163" t="s">
        <v>903</v>
      </c>
      <c r="N380" s="163" t="s">
        <v>903</v>
      </c>
      <c r="O380" s="166" t="s">
        <v>903</v>
      </c>
      <c r="P380" s="387">
        <v>2913286.51</v>
      </c>
      <c r="Q380" s="167">
        <f>SUM(Q381:Q382)</f>
        <v>0</v>
      </c>
      <c r="R380" s="167">
        <f>SUM(R381:R382)</f>
        <v>0</v>
      </c>
      <c r="S380" s="167">
        <f>SUM(S381:S382)</f>
        <v>2913286.51</v>
      </c>
      <c r="T380" s="387">
        <f t="shared" si="100"/>
        <v>1151.8153283517179</v>
      </c>
      <c r="U380" s="387">
        <f>MAX(U381:U382)</f>
        <v>1598.7280739723433</v>
      </c>
      <c r="V380" s="149">
        <f t="shared" si="102"/>
        <v>446.9127456206254</v>
      </c>
      <c r="W380" s="149"/>
      <c r="X380" s="149"/>
      <c r="Y380" s="368"/>
      <c r="Z380" s="368"/>
      <c r="AA380" s="368"/>
      <c r="AB380" s="368"/>
      <c r="AC380" s="368"/>
      <c r="AD380" s="368"/>
      <c r="AE380" s="368"/>
      <c r="AF380" s="368"/>
      <c r="AG380" s="368"/>
      <c r="AH380" s="368"/>
      <c r="AI380" s="368"/>
      <c r="AJ380" s="368"/>
      <c r="AK380" s="368"/>
      <c r="AL380" s="368"/>
      <c r="AM380" s="368"/>
      <c r="AN380" s="368"/>
      <c r="AO380" s="368"/>
    </row>
    <row r="381" spans="1:191" s="152" customFormat="1" ht="36" customHeight="1" x14ac:dyDescent="0.9">
      <c r="A381" s="152">
        <v>1</v>
      </c>
      <c r="B381" s="90">
        <f>SUBTOTAL(103,$A$16:A381)</f>
        <v>343</v>
      </c>
      <c r="C381" s="89" t="s">
        <v>120</v>
      </c>
      <c r="D381" s="163">
        <v>1984</v>
      </c>
      <c r="E381" s="163"/>
      <c r="F381" s="168" t="s">
        <v>290</v>
      </c>
      <c r="G381" s="163">
        <v>5</v>
      </c>
      <c r="H381" s="163">
        <v>3</v>
      </c>
      <c r="I381" s="167">
        <v>2111.6</v>
      </c>
      <c r="J381" s="167">
        <v>2111.6</v>
      </c>
      <c r="K381" s="167">
        <v>1535.5</v>
      </c>
      <c r="L381" s="165">
        <v>91</v>
      </c>
      <c r="M381" s="163" t="s">
        <v>268</v>
      </c>
      <c r="N381" s="163" t="s">
        <v>272</v>
      </c>
      <c r="O381" s="166" t="s">
        <v>289</v>
      </c>
      <c r="P381" s="167">
        <v>2379404.19</v>
      </c>
      <c r="Q381" s="167">
        <v>0</v>
      </c>
      <c r="R381" s="167">
        <v>0</v>
      </c>
      <c r="S381" s="167">
        <f>P381-Q381-R381</f>
        <v>2379404.19</v>
      </c>
      <c r="T381" s="167">
        <f t="shared" si="100"/>
        <v>1126.8252462587611</v>
      </c>
      <c r="U381" s="167">
        <v>1598.7280739723433</v>
      </c>
      <c r="V381" s="149">
        <f t="shared" si="102"/>
        <v>471.90282771358216</v>
      </c>
      <c r="W381" s="149">
        <f t="shared" ref="W381" si="120">X381+Y381+Z381+AA381+AB381+AD381+AF381+AH381+AJ381+AL381+AN381+AO381</f>
        <v>1598.7280739723433</v>
      </c>
      <c r="X381" s="149">
        <v>0</v>
      </c>
      <c r="Y381" s="368">
        <v>0</v>
      </c>
      <c r="Z381" s="368">
        <v>0</v>
      </c>
      <c r="AA381" s="368">
        <v>0</v>
      </c>
      <c r="AB381" s="368">
        <v>0</v>
      </c>
      <c r="AC381" s="368">
        <v>0</v>
      </c>
      <c r="AD381" s="368">
        <v>0</v>
      </c>
      <c r="AE381" s="368">
        <v>541.1</v>
      </c>
      <c r="AF381" s="396">
        <f>6238.91*AE381/I381</f>
        <v>1598.7280739723433</v>
      </c>
      <c r="AG381" s="368">
        <v>0</v>
      </c>
      <c r="AH381" s="396">
        <v>0</v>
      </c>
      <c r="AI381" s="368">
        <v>0</v>
      </c>
      <c r="AJ381" s="396">
        <v>0</v>
      </c>
      <c r="AK381" s="368">
        <v>0</v>
      </c>
      <c r="AL381" s="368">
        <v>0</v>
      </c>
      <c r="AM381" s="368">
        <v>0</v>
      </c>
      <c r="AN381" s="368"/>
      <c r="AO381" s="368">
        <v>0</v>
      </c>
    </row>
    <row r="382" spans="1:191" s="152" customFormat="1" ht="36" customHeight="1" x14ac:dyDescent="0.9">
      <c r="A382" s="152">
        <v>1</v>
      </c>
      <c r="B382" s="90">
        <f>SUBTOTAL(103,$A$16:A382)</f>
        <v>344</v>
      </c>
      <c r="C382" s="89" t="s">
        <v>1244</v>
      </c>
      <c r="D382" s="163">
        <v>1987</v>
      </c>
      <c r="E382" s="163"/>
      <c r="F382" s="168" t="s">
        <v>270</v>
      </c>
      <c r="G382" s="163">
        <v>2</v>
      </c>
      <c r="H382" s="163">
        <v>1</v>
      </c>
      <c r="I382" s="167">
        <v>417.7</v>
      </c>
      <c r="J382" s="167">
        <v>383.6</v>
      </c>
      <c r="K382" s="167">
        <v>338</v>
      </c>
      <c r="L382" s="165">
        <v>23</v>
      </c>
      <c r="M382" s="163" t="s">
        <v>268</v>
      </c>
      <c r="N382" s="163" t="s">
        <v>269</v>
      </c>
      <c r="O382" s="166" t="s">
        <v>271</v>
      </c>
      <c r="P382" s="167">
        <v>533882.32000000007</v>
      </c>
      <c r="Q382" s="167">
        <v>0</v>
      </c>
      <c r="R382" s="167">
        <v>0</v>
      </c>
      <c r="S382" s="167">
        <f>P382-Q382-R382</f>
        <v>533882.32000000007</v>
      </c>
      <c r="T382" s="167">
        <f t="shared" si="100"/>
        <v>1278.1477615513529</v>
      </c>
      <c r="U382" s="167">
        <v>1278.1477615513529</v>
      </c>
      <c r="V382" s="149">
        <f t="shared" si="102"/>
        <v>0</v>
      </c>
      <c r="W382" s="149">
        <f>T382</f>
        <v>1278.1477615513529</v>
      </c>
      <c r="X382" s="149">
        <v>113.09</v>
      </c>
      <c r="Y382" s="368">
        <v>0</v>
      </c>
      <c r="Z382" s="368">
        <v>0</v>
      </c>
      <c r="AA382" s="368">
        <v>184.98</v>
      </c>
      <c r="AB382" s="368">
        <v>795.31</v>
      </c>
      <c r="AC382" s="368">
        <v>0</v>
      </c>
      <c r="AD382" s="368">
        <v>0</v>
      </c>
      <c r="AE382" s="368">
        <v>0</v>
      </c>
      <c r="AF382" s="396">
        <v>0</v>
      </c>
      <c r="AG382" s="368">
        <v>0</v>
      </c>
      <c r="AH382" s="396">
        <v>0</v>
      </c>
      <c r="AI382" s="368">
        <v>0</v>
      </c>
      <c r="AJ382" s="396">
        <v>0</v>
      </c>
      <c r="AK382" s="368">
        <v>0</v>
      </c>
      <c r="AL382" s="368">
        <v>0</v>
      </c>
      <c r="AM382" s="368">
        <v>0</v>
      </c>
      <c r="AN382" s="368"/>
      <c r="AO382" s="368">
        <v>0</v>
      </c>
    </row>
    <row r="383" spans="1:191" s="152" customFormat="1" ht="36" customHeight="1" x14ac:dyDescent="0.9">
      <c r="B383" s="382" t="s">
        <v>904</v>
      </c>
      <c r="C383" s="382"/>
      <c r="D383" s="384" t="s">
        <v>903</v>
      </c>
      <c r="E383" s="163" t="s">
        <v>903</v>
      </c>
      <c r="F383" s="384" t="s">
        <v>903</v>
      </c>
      <c r="G383" s="384" t="s">
        <v>903</v>
      </c>
      <c r="H383" s="163" t="s">
        <v>903</v>
      </c>
      <c r="I383" s="386">
        <f>I384</f>
        <v>375</v>
      </c>
      <c r="J383" s="164">
        <f>J384</f>
        <v>310.39999999999998</v>
      </c>
      <c r="K383" s="164">
        <f>K384</f>
        <v>203</v>
      </c>
      <c r="L383" s="165">
        <f>L384</f>
        <v>14</v>
      </c>
      <c r="M383" s="163" t="s">
        <v>903</v>
      </c>
      <c r="N383" s="163" t="s">
        <v>903</v>
      </c>
      <c r="O383" s="166" t="s">
        <v>903</v>
      </c>
      <c r="P383" s="387">
        <v>2727875.44</v>
      </c>
      <c r="Q383" s="167">
        <f>Q384</f>
        <v>0</v>
      </c>
      <c r="R383" s="167">
        <f>R384</f>
        <v>0</v>
      </c>
      <c r="S383" s="167">
        <f>S384</f>
        <v>2727875.44</v>
      </c>
      <c r="T383" s="387">
        <f t="shared" si="100"/>
        <v>7274.3345066666661</v>
      </c>
      <c r="U383" s="387">
        <f>MAX(U384)</f>
        <v>13156.01648266667</v>
      </c>
      <c r="V383" s="149">
        <f t="shared" si="102"/>
        <v>5881.6819760000035</v>
      </c>
      <c r="W383" s="149"/>
      <c r="X383" s="149"/>
      <c r="Y383" s="368"/>
      <c r="Z383" s="368"/>
      <c r="AA383" s="368"/>
      <c r="AB383" s="368"/>
      <c r="AC383" s="368"/>
      <c r="AD383" s="368"/>
      <c r="AE383" s="368"/>
      <c r="AF383" s="368"/>
      <c r="AG383" s="368"/>
      <c r="AH383" s="368"/>
      <c r="AI383" s="368"/>
      <c r="AJ383" s="368"/>
      <c r="AK383" s="368"/>
      <c r="AL383" s="368"/>
      <c r="AM383" s="368"/>
      <c r="AN383" s="368"/>
      <c r="AO383" s="368"/>
    </row>
    <row r="384" spans="1:191" s="152" customFormat="1" ht="36" customHeight="1" x14ac:dyDescent="0.9">
      <c r="A384" s="152">
        <v>1</v>
      </c>
      <c r="B384" s="90">
        <f>SUBTOTAL(103,$A$16:A384)</f>
        <v>345</v>
      </c>
      <c r="C384" s="89" t="s">
        <v>121</v>
      </c>
      <c r="D384" s="163">
        <v>1966</v>
      </c>
      <c r="E384" s="163"/>
      <c r="F384" s="168" t="s">
        <v>270</v>
      </c>
      <c r="G384" s="163">
        <v>2</v>
      </c>
      <c r="H384" s="163">
        <v>1</v>
      </c>
      <c r="I384" s="167">
        <v>375</v>
      </c>
      <c r="J384" s="167">
        <v>310.39999999999998</v>
      </c>
      <c r="K384" s="167">
        <v>203</v>
      </c>
      <c r="L384" s="165">
        <v>14</v>
      </c>
      <c r="M384" s="163" t="s">
        <v>268</v>
      </c>
      <c r="N384" s="163" t="s">
        <v>269</v>
      </c>
      <c r="O384" s="166" t="s">
        <v>271</v>
      </c>
      <c r="P384" s="167">
        <v>2727875.44</v>
      </c>
      <c r="Q384" s="167">
        <v>0</v>
      </c>
      <c r="R384" s="167">
        <v>0</v>
      </c>
      <c r="S384" s="167">
        <f>P384-Q384-R384</f>
        <v>2727875.44</v>
      </c>
      <c r="T384" s="167">
        <f t="shared" si="100"/>
        <v>7274.3345066666661</v>
      </c>
      <c r="U384" s="167">
        <v>13156.01648266667</v>
      </c>
      <c r="V384" s="149">
        <f>U384-T384</f>
        <v>5881.6819760000035</v>
      </c>
      <c r="W384" s="149">
        <f>X384+Y384+Z384+AA384+AB384+AD384+AF384+AH384+AJ384+AL384+AN384+AO384</f>
        <v>13156.01648266667</v>
      </c>
      <c r="X384" s="149">
        <v>0</v>
      </c>
      <c r="Y384" s="368">
        <v>0</v>
      </c>
      <c r="Z384" s="368">
        <v>0</v>
      </c>
      <c r="AA384" s="368">
        <v>0</v>
      </c>
      <c r="AB384" s="368">
        <v>0</v>
      </c>
      <c r="AC384" s="368">
        <v>0</v>
      </c>
      <c r="AD384" s="368">
        <v>0</v>
      </c>
      <c r="AE384" s="368">
        <v>313.10000000000002</v>
      </c>
      <c r="AF384" s="396">
        <f>6238.91*AE384/I384</f>
        <v>5209.0739226666674</v>
      </c>
      <c r="AG384" s="368">
        <v>0</v>
      </c>
      <c r="AH384" s="396">
        <v>0</v>
      </c>
      <c r="AI384" s="368">
        <v>400.6</v>
      </c>
      <c r="AJ384" s="397">
        <f>7439.1*AI384/I384</f>
        <v>7946.9425600000013</v>
      </c>
      <c r="AK384" s="368">
        <v>0</v>
      </c>
      <c r="AL384" s="368">
        <v>0</v>
      </c>
      <c r="AM384" s="368">
        <v>0</v>
      </c>
      <c r="AN384" s="368"/>
      <c r="AO384" s="368">
        <v>0</v>
      </c>
    </row>
    <row r="385" spans="1:41" s="152" customFormat="1" ht="36" customHeight="1" x14ac:dyDescent="0.9">
      <c r="B385" s="382" t="s">
        <v>846</v>
      </c>
      <c r="C385" s="382"/>
      <c r="D385" s="384" t="s">
        <v>903</v>
      </c>
      <c r="E385" s="163" t="s">
        <v>903</v>
      </c>
      <c r="F385" s="384" t="s">
        <v>903</v>
      </c>
      <c r="G385" s="384" t="s">
        <v>903</v>
      </c>
      <c r="H385" s="163" t="s">
        <v>903</v>
      </c>
      <c r="I385" s="386">
        <f>I386</f>
        <v>1156.21</v>
      </c>
      <c r="J385" s="164">
        <f>J386</f>
        <v>880.01</v>
      </c>
      <c r="K385" s="164">
        <f>K386</f>
        <v>880.01</v>
      </c>
      <c r="L385" s="165">
        <f>L386</f>
        <v>34</v>
      </c>
      <c r="M385" s="163" t="s">
        <v>903</v>
      </c>
      <c r="N385" s="163" t="s">
        <v>903</v>
      </c>
      <c r="O385" s="166" t="s">
        <v>903</v>
      </c>
      <c r="P385" s="387">
        <v>3866903.76</v>
      </c>
      <c r="Q385" s="167">
        <f>Q386</f>
        <v>0</v>
      </c>
      <c r="R385" s="167">
        <f>R386</f>
        <v>0</v>
      </c>
      <c r="S385" s="167">
        <f>S386</f>
        <v>3866903.76</v>
      </c>
      <c r="T385" s="387">
        <f t="shared" si="100"/>
        <v>3344.4648982451281</v>
      </c>
      <c r="U385" s="387">
        <f>MAX(U386)</f>
        <v>4357.0547466290727</v>
      </c>
      <c r="V385" s="149">
        <f t="shared" si="102"/>
        <v>1012.5898483839446</v>
      </c>
      <c r="W385" s="149"/>
      <c r="X385" s="149"/>
      <c r="Y385" s="368"/>
      <c r="Z385" s="368"/>
      <c r="AA385" s="368"/>
      <c r="AB385" s="368"/>
      <c r="AC385" s="368"/>
      <c r="AD385" s="368"/>
      <c r="AE385" s="368"/>
      <c r="AF385" s="368"/>
      <c r="AG385" s="368"/>
      <c r="AH385" s="368"/>
      <c r="AI385" s="368"/>
      <c r="AJ385" s="368"/>
      <c r="AK385" s="368"/>
      <c r="AL385" s="368"/>
      <c r="AM385" s="368"/>
      <c r="AN385" s="368"/>
      <c r="AO385" s="368"/>
    </row>
    <row r="386" spans="1:41" s="152" customFormat="1" ht="36" customHeight="1" x14ac:dyDescent="0.9">
      <c r="A386" s="152">
        <v>1</v>
      </c>
      <c r="B386" s="90">
        <f>SUBTOTAL(103,$A$16:A386)</f>
        <v>346</v>
      </c>
      <c r="C386" s="89" t="s">
        <v>122</v>
      </c>
      <c r="D386" s="163">
        <v>1990</v>
      </c>
      <c r="E386" s="163"/>
      <c r="F386" s="168" t="s">
        <v>270</v>
      </c>
      <c r="G386" s="163">
        <v>2</v>
      </c>
      <c r="H386" s="163">
        <v>3</v>
      </c>
      <c r="I386" s="167">
        <v>1156.21</v>
      </c>
      <c r="J386" s="167">
        <v>880.01</v>
      </c>
      <c r="K386" s="167">
        <v>880.01</v>
      </c>
      <c r="L386" s="165">
        <v>34</v>
      </c>
      <c r="M386" s="163" t="s">
        <v>268</v>
      </c>
      <c r="N386" s="163" t="s">
        <v>269</v>
      </c>
      <c r="O386" s="166" t="s">
        <v>271</v>
      </c>
      <c r="P386" s="167">
        <v>3866903.76</v>
      </c>
      <c r="Q386" s="167">
        <v>0</v>
      </c>
      <c r="R386" s="167">
        <v>0</v>
      </c>
      <c r="S386" s="167">
        <f>P386-Q386-R386</f>
        <v>3866903.76</v>
      </c>
      <c r="T386" s="167">
        <f t="shared" si="100"/>
        <v>3344.4648982451281</v>
      </c>
      <c r="U386" s="167">
        <v>4357.0547466290727</v>
      </c>
      <c r="V386" s="149">
        <f>U386-T386</f>
        <v>1012.5898483839446</v>
      </c>
      <c r="W386" s="149">
        <f>X386+Y386+Z386+AA386+AB386+AD386+AF386+AH386+AJ386+AL386+AN386+AO386</f>
        <v>4357.0547466290727</v>
      </c>
      <c r="X386" s="149">
        <v>0</v>
      </c>
      <c r="Y386" s="368">
        <v>0</v>
      </c>
      <c r="Z386" s="368">
        <v>0</v>
      </c>
      <c r="AA386" s="368">
        <v>0</v>
      </c>
      <c r="AB386" s="368">
        <v>0</v>
      </c>
      <c r="AC386" s="368">
        <v>0</v>
      </c>
      <c r="AD386" s="368">
        <v>0</v>
      </c>
      <c r="AE386" s="368">
        <v>807.46</v>
      </c>
      <c r="AF386" s="396">
        <f>6238.91*AE386/I386</f>
        <v>4357.0547466290727</v>
      </c>
      <c r="AG386" s="368">
        <v>0</v>
      </c>
      <c r="AH386" s="396">
        <v>0</v>
      </c>
      <c r="AI386" s="368">
        <v>0</v>
      </c>
      <c r="AJ386" s="396">
        <v>0</v>
      </c>
      <c r="AK386" s="368">
        <v>0</v>
      </c>
      <c r="AL386" s="368">
        <v>0</v>
      </c>
      <c r="AM386" s="368">
        <v>0</v>
      </c>
      <c r="AN386" s="368"/>
      <c r="AO386" s="368">
        <v>0</v>
      </c>
    </row>
    <row r="387" spans="1:41" s="152" customFormat="1" ht="36" customHeight="1" x14ac:dyDescent="0.9">
      <c r="B387" s="382" t="s">
        <v>847</v>
      </c>
      <c r="C387" s="388"/>
      <c r="D387" s="384" t="s">
        <v>903</v>
      </c>
      <c r="E387" s="163" t="s">
        <v>903</v>
      </c>
      <c r="F387" s="384" t="s">
        <v>903</v>
      </c>
      <c r="G387" s="384" t="s">
        <v>903</v>
      </c>
      <c r="H387" s="163" t="s">
        <v>903</v>
      </c>
      <c r="I387" s="386">
        <f>SUM(I388:I391)</f>
        <v>2599.7999999999997</v>
      </c>
      <c r="J387" s="164">
        <f>SUM(J388:J391)</f>
        <v>2293.7000000000003</v>
      </c>
      <c r="K387" s="164">
        <f>SUM(K388:K391)</f>
        <v>2259.4</v>
      </c>
      <c r="L387" s="165">
        <f>SUM(L388:L391)</f>
        <v>115</v>
      </c>
      <c r="M387" s="163" t="s">
        <v>903</v>
      </c>
      <c r="N387" s="163" t="s">
        <v>903</v>
      </c>
      <c r="O387" s="166" t="s">
        <v>903</v>
      </c>
      <c r="P387" s="386">
        <v>11324422.880000001</v>
      </c>
      <c r="Q387" s="164">
        <f>SUM(Q388:Q391)</f>
        <v>0</v>
      </c>
      <c r="R387" s="164">
        <f>SUM(R388:R391)</f>
        <v>0</v>
      </c>
      <c r="S387" s="164">
        <f>SUM(S388:S391)</f>
        <v>11324422.880000001</v>
      </c>
      <c r="T387" s="387">
        <f t="shared" si="100"/>
        <v>4355.8823294099557</v>
      </c>
      <c r="U387" s="387">
        <f>MAX(U388:U391)</f>
        <v>10179.952913158528</v>
      </c>
      <c r="V387" s="149">
        <f t="shared" si="102"/>
        <v>5824.0705837485721</v>
      </c>
      <c r="W387" s="149"/>
      <c r="X387" s="149"/>
      <c r="Y387" s="368"/>
      <c r="Z387" s="368"/>
      <c r="AA387" s="368"/>
      <c r="AB387" s="368"/>
      <c r="AC387" s="368"/>
      <c r="AD387" s="368"/>
      <c r="AE387" s="368"/>
      <c r="AF387" s="368"/>
      <c r="AG387" s="368"/>
      <c r="AH387" s="368"/>
      <c r="AI387" s="368"/>
      <c r="AJ387" s="368"/>
      <c r="AK387" s="368"/>
      <c r="AL387" s="368"/>
      <c r="AM387" s="368"/>
      <c r="AN387" s="368"/>
      <c r="AO387" s="368"/>
    </row>
    <row r="388" spans="1:41" s="152" customFormat="1" ht="36" customHeight="1" x14ac:dyDescent="0.9">
      <c r="A388" s="152">
        <v>1</v>
      </c>
      <c r="B388" s="90">
        <f>SUBTOTAL(103,$A$16:A388)</f>
        <v>347</v>
      </c>
      <c r="C388" s="89" t="s">
        <v>172</v>
      </c>
      <c r="D388" s="163">
        <v>1957</v>
      </c>
      <c r="E388" s="163"/>
      <c r="F388" s="168" t="s">
        <v>270</v>
      </c>
      <c r="G388" s="163">
        <v>2</v>
      </c>
      <c r="H388" s="163">
        <v>2</v>
      </c>
      <c r="I388" s="167">
        <v>765.1</v>
      </c>
      <c r="J388" s="167">
        <v>686.7</v>
      </c>
      <c r="K388" s="167">
        <v>686.7</v>
      </c>
      <c r="L388" s="165">
        <v>26</v>
      </c>
      <c r="M388" s="163" t="s">
        <v>268</v>
      </c>
      <c r="N388" s="163" t="s">
        <v>341</v>
      </c>
      <c r="O388" s="166" t="s">
        <v>1013</v>
      </c>
      <c r="P388" s="167">
        <v>2321700.09</v>
      </c>
      <c r="Q388" s="167">
        <v>0</v>
      </c>
      <c r="R388" s="167">
        <v>0</v>
      </c>
      <c r="S388" s="167">
        <f>P388-Q388-R388</f>
        <v>2321700.09</v>
      </c>
      <c r="T388" s="167">
        <f t="shared" si="100"/>
        <v>3034.5054110573778</v>
      </c>
      <c r="U388" s="167">
        <v>5531.1105123513262</v>
      </c>
      <c r="V388" s="149">
        <f t="shared" si="102"/>
        <v>2496.6051012939483</v>
      </c>
      <c r="W388" s="149">
        <f t="shared" ref="W388:W389" si="121">X388+Y388+Z388+AA388+AB388+AD388+AF388+AH388+AJ388+AL388+AN388+AO388</f>
        <v>5531.1105123513262</v>
      </c>
      <c r="X388" s="149">
        <v>0</v>
      </c>
      <c r="Y388" s="368">
        <v>0</v>
      </c>
      <c r="Z388" s="368">
        <v>0</v>
      </c>
      <c r="AA388" s="368">
        <v>0</v>
      </c>
      <c r="AB388" s="368">
        <v>0</v>
      </c>
      <c r="AC388" s="368">
        <v>0</v>
      </c>
      <c r="AD388" s="368">
        <v>0</v>
      </c>
      <c r="AE388" s="368">
        <v>678.3</v>
      </c>
      <c r="AF388" s="396">
        <f>6238.91*AE388/I388</f>
        <v>5531.1105123513262</v>
      </c>
      <c r="AG388" s="368">
        <v>0</v>
      </c>
      <c r="AH388" s="396">
        <v>0</v>
      </c>
      <c r="AI388" s="368">
        <v>0</v>
      </c>
      <c r="AJ388" s="396">
        <v>0</v>
      </c>
      <c r="AK388" s="368">
        <v>0</v>
      </c>
      <c r="AL388" s="368">
        <v>0</v>
      </c>
      <c r="AM388" s="368">
        <v>0</v>
      </c>
      <c r="AN388" s="368"/>
      <c r="AO388" s="368">
        <v>0</v>
      </c>
    </row>
    <row r="389" spans="1:41" s="152" customFormat="1" ht="36" customHeight="1" x14ac:dyDescent="0.9">
      <c r="A389" s="152">
        <v>1</v>
      </c>
      <c r="B389" s="90">
        <f>SUBTOTAL(103,$A$16:A389)</f>
        <v>348</v>
      </c>
      <c r="C389" s="89" t="s">
        <v>173</v>
      </c>
      <c r="D389" s="163">
        <v>1957</v>
      </c>
      <c r="E389" s="163"/>
      <c r="F389" s="168" t="s">
        <v>270</v>
      </c>
      <c r="G389" s="163">
        <v>2</v>
      </c>
      <c r="H389" s="163">
        <v>2</v>
      </c>
      <c r="I389" s="167">
        <v>415.7</v>
      </c>
      <c r="J389" s="167">
        <v>368.1</v>
      </c>
      <c r="K389" s="167">
        <v>368.1</v>
      </c>
      <c r="L389" s="165">
        <v>23</v>
      </c>
      <c r="M389" s="163" t="s">
        <v>268</v>
      </c>
      <c r="N389" s="163" t="s">
        <v>341</v>
      </c>
      <c r="O389" s="166" t="s">
        <v>823</v>
      </c>
      <c r="P389" s="167">
        <v>2846363.85</v>
      </c>
      <c r="Q389" s="167">
        <v>0</v>
      </c>
      <c r="R389" s="167">
        <v>0</v>
      </c>
      <c r="S389" s="167">
        <f>P389-Q389-R389</f>
        <v>2846363.85</v>
      </c>
      <c r="T389" s="167">
        <f t="shared" si="100"/>
        <v>6847.1586480635078</v>
      </c>
      <c r="U389" s="167">
        <v>10179.952913158528</v>
      </c>
      <c r="V389" s="149">
        <f t="shared" si="102"/>
        <v>3332.7942650950199</v>
      </c>
      <c r="W389" s="149">
        <f t="shared" si="121"/>
        <v>10179.952913158528</v>
      </c>
      <c r="X389" s="149">
        <v>0</v>
      </c>
      <c r="Y389" s="368">
        <v>0</v>
      </c>
      <c r="Z389" s="368">
        <v>0</v>
      </c>
      <c r="AA389" s="368">
        <v>0</v>
      </c>
      <c r="AB389" s="368">
        <v>0</v>
      </c>
      <c r="AC389" s="368">
        <v>0</v>
      </c>
      <c r="AD389" s="368">
        <v>0</v>
      </c>
      <c r="AE389" s="368">
        <v>0</v>
      </c>
      <c r="AF389" s="396">
        <v>0</v>
      </c>
      <c r="AG389" s="368">
        <v>0</v>
      </c>
      <c r="AH389" s="396">
        <v>0</v>
      </c>
      <c r="AI389" s="368">
        <v>568.86</v>
      </c>
      <c r="AJ389" s="397">
        <f>7439.1*AI389/I389</f>
        <v>10179.952913158528</v>
      </c>
      <c r="AK389" s="368">
        <v>0</v>
      </c>
      <c r="AL389" s="368">
        <v>0</v>
      </c>
      <c r="AM389" s="368">
        <v>0</v>
      </c>
      <c r="AN389" s="368"/>
      <c r="AO389" s="368">
        <v>0</v>
      </c>
    </row>
    <row r="390" spans="1:41" s="152" customFormat="1" ht="36" customHeight="1" x14ac:dyDescent="0.9">
      <c r="A390" s="152">
        <v>1</v>
      </c>
      <c r="B390" s="90">
        <f>SUBTOTAL(103,$A$16:A390)</f>
        <v>349</v>
      </c>
      <c r="C390" s="89" t="s">
        <v>171</v>
      </c>
      <c r="D390" s="163">
        <v>1983</v>
      </c>
      <c r="E390" s="163"/>
      <c r="F390" s="168" t="s">
        <v>270</v>
      </c>
      <c r="G390" s="163">
        <v>2</v>
      </c>
      <c r="H390" s="163">
        <v>3</v>
      </c>
      <c r="I390" s="167">
        <v>1093.4000000000001</v>
      </c>
      <c r="J390" s="167">
        <v>943.9</v>
      </c>
      <c r="K390" s="167">
        <v>943.9</v>
      </c>
      <c r="L390" s="165">
        <v>45</v>
      </c>
      <c r="M390" s="163" t="s">
        <v>268</v>
      </c>
      <c r="N390" s="163" t="s">
        <v>341</v>
      </c>
      <c r="O390" s="166" t="s">
        <v>823</v>
      </c>
      <c r="P390" s="167">
        <v>4867698.0200000005</v>
      </c>
      <c r="Q390" s="167">
        <v>0</v>
      </c>
      <c r="R390" s="167">
        <v>0</v>
      </c>
      <c r="S390" s="167">
        <f>P390-Q390-R390</f>
        <v>4867698.0200000005</v>
      </c>
      <c r="T390" s="167">
        <f t="shared" si="100"/>
        <v>4451.8913663800986</v>
      </c>
      <c r="U390" s="167">
        <v>4451.8913663800986</v>
      </c>
      <c r="V390" s="149">
        <f t="shared" si="102"/>
        <v>0</v>
      </c>
      <c r="W390" s="149">
        <f t="shared" ref="W390:W391" si="122">T390</f>
        <v>4451.8913663800986</v>
      </c>
      <c r="X390" s="149">
        <v>0</v>
      </c>
      <c r="Y390" s="368">
        <v>0</v>
      </c>
      <c r="Z390" s="368">
        <v>0</v>
      </c>
      <c r="AA390" s="368">
        <v>0</v>
      </c>
      <c r="AB390" s="368">
        <v>0</v>
      </c>
      <c r="AC390" s="368">
        <v>0</v>
      </c>
      <c r="AD390" s="368">
        <v>0</v>
      </c>
      <c r="AE390" s="368">
        <v>0</v>
      </c>
      <c r="AF390" s="396">
        <v>0</v>
      </c>
      <c r="AG390" s="368">
        <v>0</v>
      </c>
      <c r="AH390" s="396">
        <v>0</v>
      </c>
      <c r="AI390" s="368">
        <v>0</v>
      </c>
      <c r="AJ390" s="396">
        <v>0</v>
      </c>
      <c r="AK390" s="368">
        <v>0</v>
      </c>
      <c r="AL390" s="368">
        <v>0</v>
      </c>
      <c r="AM390" s="368">
        <v>690</v>
      </c>
      <c r="AN390" s="368">
        <f>6984.52*AM390/I390</f>
        <v>4407.644777757454</v>
      </c>
      <c r="AO390" s="368">
        <v>0</v>
      </c>
    </row>
    <row r="391" spans="1:41" s="152" customFormat="1" ht="36" customHeight="1" x14ac:dyDescent="0.9">
      <c r="A391" s="152">
        <v>1</v>
      </c>
      <c r="B391" s="90">
        <f>SUBTOTAL(103,$A$16:A391)</f>
        <v>350</v>
      </c>
      <c r="C391" s="89" t="s">
        <v>1594</v>
      </c>
      <c r="D391" s="163">
        <v>1967</v>
      </c>
      <c r="E391" s="163"/>
      <c r="F391" s="168" t="s">
        <v>1596</v>
      </c>
      <c r="G391" s="163">
        <v>2</v>
      </c>
      <c r="H391" s="163">
        <v>1</v>
      </c>
      <c r="I391" s="167">
        <v>325.60000000000002</v>
      </c>
      <c r="J391" s="167">
        <v>295</v>
      </c>
      <c r="K391" s="167">
        <f>J391-34.3</f>
        <v>260.7</v>
      </c>
      <c r="L391" s="165">
        <v>21</v>
      </c>
      <c r="M391" s="163" t="s">
        <v>268</v>
      </c>
      <c r="N391" s="163" t="s">
        <v>341</v>
      </c>
      <c r="O391" s="166" t="s">
        <v>823</v>
      </c>
      <c r="P391" s="167">
        <v>1288660.92</v>
      </c>
      <c r="Q391" s="167">
        <v>0</v>
      </c>
      <c r="R391" s="167">
        <v>0</v>
      </c>
      <c r="S391" s="167">
        <f>P391-R391-Q391</f>
        <v>1288660.92</v>
      </c>
      <c r="T391" s="167">
        <f t="shared" si="100"/>
        <v>3957.8038083538077</v>
      </c>
      <c r="U391" s="167">
        <v>3957.8038083538077</v>
      </c>
      <c r="V391" s="149">
        <f t="shared" si="102"/>
        <v>0</v>
      </c>
      <c r="W391" s="149">
        <f t="shared" si="122"/>
        <v>3957.8038083538077</v>
      </c>
      <c r="X391" s="149">
        <v>0</v>
      </c>
      <c r="Y391" s="368">
        <v>0</v>
      </c>
      <c r="Z391" s="368">
        <v>0</v>
      </c>
      <c r="AA391" s="368">
        <v>0</v>
      </c>
      <c r="AB391" s="368">
        <v>0</v>
      </c>
      <c r="AC391" s="368">
        <v>0</v>
      </c>
      <c r="AD391" s="368">
        <v>0</v>
      </c>
      <c r="AE391" s="368">
        <v>172</v>
      </c>
      <c r="AF391" s="396">
        <f>6436.53*AE391/I391</f>
        <v>3400.1325552825547</v>
      </c>
      <c r="AG391" s="368">
        <v>0</v>
      </c>
      <c r="AH391" s="396">
        <v>0</v>
      </c>
      <c r="AI391" s="368">
        <v>0</v>
      </c>
      <c r="AJ391" s="396">
        <v>0</v>
      </c>
      <c r="AK391" s="368">
        <v>0</v>
      </c>
      <c r="AL391" s="368">
        <v>0</v>
      </c>
      <c r="AM391" s="368">
        <v>0</v>
      </c>
      <c r="AN391" s="368"/>
      <c r="AO391" s="368">
        <v>0</v>
      </c>
    </row>
    <row r="392" spans="1:41" s="152" customFormat="1" ht="36" customHeight="1" x14ac:dyDescent="0.9">
      <c r="B392" s="382" t="s">
        <v>848</v>
      </c>
      <c r="C392" s="382"/>
      <c r="D392" s="384" t="s">
        <v>903</v>
      </c>
      <c r="E392" s="163" t="s">
        <v>903</v>
      </c>
      <c r="F392" s="384" t="s">
        <v>903</v>
      </c>
      <c r="G392" s="384" t="s">
        <v>903</v>
      </c>
      <c r="H392" s="163" t="s">
        <v>903</v>
      </c>
      <c r="I392" s="386">
        <f>SUM(I393:I394)</f>
        <v>1157</v>
      </c>
      <c r="J392" s="164">
        <f>SUM(J393:J394)</f>
        <v>1036</v>
      </c>
      <c r="K392" s="164">
        <f>SUM(K393:K394)</f>
        <v>991</v>
      </c>
      <c r="L392" s="165">
        <f>SUM(L393:L394)</f>
        <v>49</v>
      </c>
      <c r="M392" s="163" t="s">
        <v>903</v>
      </c>
      <c r="N392" s="163" t="s">
        <v>903</v>
      </c>
      <c r="O392" s="166" t="s">
        <v>903</v>
      </c>
      <c r="P392" s="387">
        <v>4615005.4700000007</v>
      </c>
      <c r="Q392" s="167">
        <f t="shared" ref="Q392:R392" si="123">SUM(Q393:Q394)</f>
        <v>0</v>
      </c>
      <c r="R392" s="167">
        <f t="shared" si="123"/>
        <v>0</v>
      </c>
      <c r="S392" s="167">
        <f>SUM(S393:S394)</f>
        <v>4615005.4700000007</v>
      </c>
      <c r="T392" s="387">
        <f t="shared" si="100"/>
        <v>3988.7687726879867</v>
      </c>
      <c r="U392" s="387">
        <f>MAX(U393:U394)</f>
        <v>5648.129004824561</v>
      </c>
      <c r="V392" s="149">
        <f t="shared" si="102"/>
        <v>1659.3602321365743</v>
      </c>
      <c r="W392" s="149"/>
      <c r="X392" s="149"/>
      <c r="Y392" s="368"/>
      <c r="Z392" s="368"/>
      <c r="AA392" s="368"/>
      <c r="AB392" s="368"/>
      <c r="AC392" s="368"/>
      <c r="AD392" s="368"/>
      <c r="AE392" s="368"/>
      <c r="AF392" s="368"/>
      <c r="AG392" s="368"/>
      <c r="AH392" s="368"/>
      <c r="AI392" s="368"/>
      <c r="AJ392" s="368"/>
      <c r="AK392" s="368"/>
      <c r="AL392" s="368"/>
      <c r="AM392" s="368"/>
      <c r="AN392" s="368"/>
      <c r="AO392" s="368"/>
    </row>
    <row r="393" spans="1:41" s="152" customFormat="1" ht="36" customHeight="1" x14ac:dyDescent="0.9">
      <c r="A393" s="152">
        <v>1</v>
      </c>
      <c r="B393" s="90">
        <f>SUBTOTAL(103,$A$16:A393)</f>
        <v>351</v>
      </c>
      <c r="C393" s="89" t="s">
        <v>170</v>
      </c>
      <c r="D393" s="163">
        <v>1956</v>
      </c>
      <c r="E393" s="163"/>
      <c r="F393" s="168" t="s">
        <v>270</v>
      </c>
      <c r="G393" s="163">
        <v>2</v>
      </c>
      <c r="H393" s="163">
        <v>2</v>
      </c>
      <c r="I393" s="167">
        <v>456</v>
      </c>
      <c r="J393" s="167">
        <v>399</v>
      </c>
      <c r="K393" s="167">
        <v>399</v>
      </c>
      <c r="L393" s="165">
        <v>16</v>
      </c>
      <c r="M393" s="163" t="s">
        <v>268</v>
      </c>
      <c r="N393" s="163" t="s">
        <v>341</v>
      </c>
      <c r="O393" s="166" t="s">
        <v>1014</v>
      </c>
      <c r="P393" s="167">
        <v>2310161.5300000003</v>
      </c>
      <c r="Q393" s="167">
        <v>0</v>
      </c>
      <c r="R393" s="167">
        <v>0</v>
      </c>
      <c r="S393" s="167">
        <f>P393-Q393-R393</f>
        <v>2310161.5300000003</v>
      </c>
      <c r="T393" s="167">
        <f t="shared" si="100"/>
        <v>5066.1437061403512</v>
      </c>
      <c r="U393" s="167">
        <v>5648.129004824561</v>
      </c>
      <c r="V393" s="149">
        <f t="shared" si="102"/>
        <v>581.98529868420974</v>
      </c>
      <c r="W393" s="149">
        <f t="shared" ref="W393:W394" si="124">X393+Y393+Z393+AA393+AB393+AD393+AF393+AH393+AJ393+AL393+AN393+AO393</f>
        <v>5648.129004824561</v>
      </c>
      <c r="X393" s="149">
        <v>0</v>
      </c>
      <c r="Y393" s="368">
        <v>0</v>
      </c>
      <c r="Z393" s="368">
        <v>0</v>
      </c>
      <c r="AA393" s="368">
        <v>0</v>
      </c>
      <c r="AB393" s="368">
        <v>0</v>
      </c>
      <c r="AC393" s="368">
        <v>0</v>
      </c>
      <c r="AD393" s="368">
        <v>0</v>
      </c>
      <c r="AE393" s="368">
        <v>412.82</v>
      </c>
      <c r="AF393" s="396">
        <f>6238.91*AE393/I393</f>
        <v>5648.129004824561</v>
      </c>
      <c r="AG393" s="368">
        <v>0</v>
      </c>
      <c r="AH393" s="396">
        <v>0</v>
      </c>
      <c r="AI393" s="368">
        <v>0</v>
      </c>
      <c r="AJ393" s="396">
        <v>0</v>
      </c>
      <c r="AK393" s="368">
        <v>0</v>
      </c>
      <c r="AL393" s="368">
        <v>0</v>
      </c>
      <c r="AM393" s="368">
        <v>0</v>
      </c>
      <c r="AN393" s="368"/>
      <c r="AO393" s="368">
        <v>0</v>
      </c>
    </row>
    <row r="394" spans="1:41" s="152" customFormat="1" ht="36" customHeight="1" x14ac:dyDescent="0.9">
      <c r="A394" s="152">
        <v>1</v>
      </c>
      <c r="B394" s="90">
        <f>SUBTOTAL(103,$A$16:A394)</f>
        <v>352</v>
      </c>
      <c r="C394" s="89" t="s">
        <v>1247</v>
      </c>
      <c r="D394" s="163">
        <v>1960</v>
      </c>
      <c r="E394" s="163"/>
      <c r="F394" s="168" t="s">
        <v>270</v>
      </c>
      <c r="G394" s="163">
        <v>2</v>
      </c>
      <c r="H394" s="163">
        <v>2</v>
      </c>
      <c r="I394" s="167">
        <v>701</v>
      </c>
      <c r="J394" s="167">
        <v>637</v>
      </c>
      <c r="K394" s="167">
        <v>592</v>
      </c>
      <c r="L394" s="165">
        <v>33</v>
      </c>
      <c r="M394" s="163" t="s">
        <v>268</v>
      </c>
      <c r="N394" s="163" t="s">
        <v>272</v>
      </c>
      <c r="O394" s="166" t="s">
        <v>1014</v>
      </c>
      <c r="P394" s="167">
        <v>2304843.94</v>
      </c>
      <c r="Q394" s="167">
        <v>0</v>
      </c>
      <c r="R394" s="167">
        <v>0</v>
      </c>
      <c r="S394" s="167">
        <f>P394-Q394-R394</f>
        <v>2304843.94</v>
      </c>
      <c r="T394" s="167">
        <f t="shared" si="100"/>
        <v>3287.9371469329531</v>
      </c>
      <c r="U394" s="167">
        <v>4156.5200000000004</v>
      </c>
      <c r="V394" s="149">
        <f t="shared" si="102"/>
        <v>868.58285306704738</v>
      </c>
      <c r="W394" s="149">
        <f t="shared" si="124"/>
        <v>4156.5200000000004</v>
      </c>
      <c r="X394" s="149">
        <v>101.55</v>
      </c>
      <c r="Y394" s="368">
        <v>0</v>
      </c>
      <c r="Z394" s="368">
        <v>3259.66</v>
      </c>
      <c r="AA394" s="368">
        <v>0</v>
      </c>
      <c r="AB394" s="368">
        <v>795.31</v>
      </c>
      <c r="AC394" s="368">
        <v>0</v>
      </c>
      <c r="AD394" s="368">
        <v>0</v>
      </c>
      <c r="AE394" s="368">
        <v>0</v>
      </c>
      <c r="AF394" s="396">
        <v>0</v>
      </c>
      <c r="AG394" s="368">
        <v>0</v>
      </c>
      <c r="AH394" s="396">
        <v>0</v>
      </c>
      <c r="AI394" s="368">
        <v>0</v>
      </c>
      <c r="AJ394" s="396">
        <v>0</v>
      </c>
      <c r="AK394" s="368">
        <v>0</v>
      </c>
      <c r="AL394" s="368">
        <v>0</v>
      </c>
      <c r="AM394" s="368">
        <v>0</v>
      </c>
      <c r="AN394" s="368"/>
      <c r="AO394" s="368">
        <v>0</v>
      </c>
    </row>
    <row r="395" spans="1:41" s="152" customFormat="1" ht="36" customHeight="1" x14ac:dyDescent="0.9">
      <c r="B395" s="382" t="s">
        <v>850</v>
      </c>
      <c r="C395" s="382"/>
      <c r="D395" s="384" t="s">
        <v>903</v>
      </c>
      <c r="E395" s="163" t="s">
        <v>903</v>
      </c>
      <c r="F395" s="384" t="s">
        <v>903</v>
      </c>
      <c r="G395" s="384" t="s">
        <v>903</v>
      </c>
      <c r="H395" s="163" t="s">
        <v>903</v>
      </c>
      <c r="I395" s="386">
        <f>I396</f>
        <v>407.9</v>
      </c>
      <c r="J395" s="164">
        <f>J396</f>
        <v>352.3</v>
      </c>
      <c r="K395" s="164">
        <f>K396</f>
        <v>308.3</v>
      </c>
      <c r="L395" s="165">
        <f>L396</f>
        <v>24</v>
      </c>
      <c r="M395" s="163" t="s">
        <v>903</v>
      </c>
      <c r="N395" s="163" t="s">
        <v>903</v>
      </c>
      <c r="O395" s="166" t="s">
        <v>903</v>
      </c>
      <c r="P395" s="387">
        <v>1491809.6800000002</v>
      </c>
      <c r="Q395" s="167">
        <f>Q396</f>
        <v>0</v>
      </c>
      <c r="R395" s="167">
        <f>R396</f>
        <v>0</v>
      </c>
      <c r="S395" s="167">
        <f>S396</f>
        <v>1491809.6800000002</v>
      </c>
      <c r="T395" s="387">
        <f t="shared" si="100"/>
        <v>3657.2926697720036</v>
      </c>
      <c r="U395" s="387">
        <f>MAX(U396)</f>
        <v>5141.3268139249822</v>
      </c>
      <c r="V395" s="149">
        <f t="shared" si="102"/>
        <v>1484.0341441529786</v>
      </c>
      <c r="W395" s="149"/>
      <c r="X395" s="149"/>
      <c r="Y395" s="368"/>
      <c r="Z395" s="368"/>
      <c r="AA395" s="368"/>
      <c r="AB395" s="368"/>
      <c r="AC395" s="368"/>
      <c r="AD395" s="368"/>
      <c r="AE395" s="368"/>
      <c r="AF395" s="368"/>
      <c r="AG395" s="368"/>
      <c r="AH395" s="368"/>
      <c r="AI395" s="368"/>
      <c r="AJ395" s="368"/>
      <c r="AK395" s="368"/>
      <c r="AL395" s="368"/>
      <c r="AM395" s="368"/>
      <c r="AN395" s="368"/>
      <c r="AO395" s="368"/>
    </row>
    <row r="396" spans="1:41" s="152" customFormat="1" ht="36" customHeight="1" x14ac:dyDescent="0.9">
      <c r="A396" s="152">
        <v>1</v>
      </c>
      <c r="B396" s="90">
        <f>SUBTOTAL(103,$A$16:A396)</f>
        <v>353</v>
      </c>
      <c r="C396" s="89" t="s">
        <v>169</v>
      </c>
      <c r="D396" s="163">
        <v>1954</v>
      </c>
      <c r="E396" s="163"/>
      <c r="F396" s="168" t="s">
        <v>270</v>
      </c>
      <c r="G396" s="163">
        <v>2</v>
      </c>
      <c r="H396" s="163">
        <v>2</v>
      </c>
      <c r="I396" s="167">
        <v>407.9</v>
      </c>
      <c r="J396" s="167">
        <v>352.3</v>
      </c>
      <c r="K396" s="167">
        <v>308.3</v>
      </c>
      <c r="L396" s="165">
        <v>24</v>
      </c>
      <c r="M396" s="163" t="s">
        <v>268</v>
      </c>
      <c r="N396" s="163" t="s">
        <v>269</v>
      </c>
      <c r="O396" s="166" t="s">
        <v>271</v>
      </c>
      <c r="P396" s="167">
        <v>1491809.6800000002</v>
      </c>
      <c r="Q396" s="167">
        <v>0</v>
      </c>
      <c r="R396" s="167">
        <v>0</v>
      </c>
      <c r="S396" s="167">
        <f>P396-Q396-R396</f>
        <v>1491809.6800000002</v>
      </c>
      <c r="T396" s="167">
        <f t="shared" si="100"/>
        <v>3657.2926697720036</v>
      </c>
      <c r="U396" s="167">
        <v>5141.3268139249822</v>
      </c>
      <c r="V396" s="149">
        <f>U396-T396</f>
        <v>1484.0341441529786</v>
      </c>
      <c r="W396" s="149">
        <f>X396+Y396+Z396+AA396+AB396+AD396+AF396+AH396+AJ396+AL396+AN396+AO396</f>
        <v>5141.3268139249822</v>
      </c>
      <c r="X396" s="149">
        <v>0</v>
      </c>
      <c r="Y396" s="368">
        <v>0</v>
      </c>
      <c r="Z396" s="368">
        <v>0</v>
      </c>
      <c r="AA396" s="368">
        <v>0</v>
      </c>
      <c r="AB396" s="368">
        <v>0</v>
      </c>
      <c r="AC396" s="368">
        <v>0</v>
      </c>
      <c r="AD396" s="368">
        <v>0</v>
      </c>
      <c r="AE396" s="368">
        <v>336.14</v>
      </c>
      <c r="AF396" s="396">
        <f>6238.91*AE396/I396</f>
        <v>5141.3268139249822</v>
      </c>
      <c r="AG396" s="368">
        <v>0</v>
      </c>
      <c r="AH396" s="396">
        <v>0</v>
      </c>
      <c r="AI396" s="368">
        <v>0</v>
      </c>
      <c r="AJ396" s="396">
        <v>0</v>
      </c>
      <c r="AK396" s="368">
        <v>0</v>
      </c>
      <c r="AL396" s="368">
        <v>0</v>
      </c>
      <c r="AM396" s="368">
        <v>0</v>
      </c>
      <c r="AN396" s="368"/>
      <c r="AO396" s="368">
        <v>0</v>
      </c>
    </row>
    <row r="397" spans="1:41" s="152" customFormat="1" ht="36" customHeight="1" x14ac:dyDescent="0.9">
      <c r="B397" s="382" t="s">
        <v>849</v>
      </c>
      <c r="C397" s="382"/>
      <c r="D397" s="384" t="s">
        <v>903</v>
      </c>
      <c r="E397" s="163" t="s">
        <v>903</v>
      </c>
      <c r="F397" s="384" t="s">
        <v>903</v>
      </c>
      <c r="G397" s="384" t="s">
        <v>903</v>
      </c>
      <c r="H397" s="163" t="s">
        <v>903</v>
      </c>
      <c r="I397" s="386">
        <f>SUM(I398:I401)</f>
        <v>2141.5</v>
      </c>
      <c r="J397" s="164">
        <f>SUM(J398:J401)</f>
        <v>1920.9</v>
      </c>
      <c r="K397" s="164">
        <f>SUM(K398:K401)</f>
        <v>1381.6</v>
      </c>
      <c r="L397" s="165">
        <f>SUM(L398:L401)</f>
        <v>79</v>
      </c>
      <c r="M397" s="163" t="s">
        <v>903</v>
      </c>
      <c r="N397" s="163" t="s">
        <v>903</v>
      </c>
      <c r="O397" s="166" t="s">
        <v>903</v>
      </c>
      <c r="P397" s="386">
        <v>7263579.6499999994</v>
      </c>
      <c r="Q397" s="164">
        <f>SUM(Q398:Q401)</f>
        <v>0</v>
      </c>
      <c r="R397" s="164">
        <f>SUM(R398:R401)</f>
        <v>0</v>
      </c>
      <c r="S397" s="164">
        <f>SUM(S398:S401)</f>
        <v>7263579.6499999994</v>
      </c>
      <c r="T397" s="387">
        <f t="shared" si="100"/>
        <v>3391.8186551482604</v>
      </c>
      <c r="U397" s="387">
        <f>MAX(U398:U401)</f>
        <v>6169.8696682464451</v>
      </c>
      <c r="V397" s="149">
        <f t="shared" si="102"/>
        <v>2778.0510130981847</v>
      </c>
      <c r="W397" s="149"/>
      <c r="X397" s="149"/>
      <c r="Y397" s="368"/>
      <c r="Z397" s="368"/>
      <c r="AA397" s="368"/>
      <c r="AB397" s="368"/>
      <c r="AC397" s="368"/>
      <c r="AD397" s="368"/>
      <c r="AE397" s="368"/>
      <c r="AF397" s="368"/>
      <c r="AG397" s="368"/>
      <c r="AH397" s="368"/>
      <c r="AI397" s="368"/>
      <c r="AJ397" s="368"/>
      <c r="AK397" s="368"/>
      <c r="AL397" s="368"/>
      <c r="AM397" s="368"/>
      <c r="AN397" s="368"/>
      <c r="AO397" s="368"/>
    </row>
    <row r="398" spans="1:41" s="152" customFormat="1" ht="36" customHeight="1" x14ac:dyDescent="0.9">
      <c r="A398" s="152">
        <v>1</v>
      </c>
      <c r="B398" s="90">
        <f>SUBTOTAL(103,$A$16:A398)</f>
        <v>354</v>
      </c>
      <c r="C398" s="89" t="s">
        <v>183</v>
      </c>
      <c r="D398" s="163">
        <v>1955</v>
      </c>
      <c r="E398" s="163"/>
      <c r="F398" s="168" t="s">
        <v>270</v>
      </c>
      <c r="G398" s="163">
        <v>2</v>
      </c>
      <c r="H398" s="163">
        <v>1</v>
      </c>
      <c r="I398" s="167">
        <v>545.6</v>
      </c>
      <c r="J398" s="167">
        <v>501.6</v>
      </c>
      <c r="K398" s="167">
        <v>384.3</v>
      </c>
      <c r="L398" s="165">
        <v>27</v>
      </c>
      <c r="M398" s="163" t="s">
        <v>268</v>
      </c>
      <c r="N398" s="163" t="s">
        <v>269</v>
      </c>
      <c r="O398" s="166" t="s">
        <v>271</v>
      </c>
      <c r="P398" s="167">
        <v>1730485.3000000003</v>
      </c>
      <c r="Q398" s="167">
        <v>0</v>
      </c>
      <c r="R398" s="167">
        <v>0</v>
      </c>
      <c r="S398" s="167">
        <f>P398-Q398-R398</f>
        <v>1730485.3000000003</v>
      </c>
      <c r="T398" s="167">
        <f t="shared" si="100"/>
        <v>3171.7105938416425</v>
      </c>
      <c r="U398" s="167">
        <v>5497.5167155425215</v>
      </c>
      <c r="V398" s="149">
        <f t="shared" si="102"/>
        <v>2325.806121700879</v>
      </c>
      <c r="W398" s="149">
        <f t="shared" ref="W398:W400" si="125">X398+Y398+Z398+AA398+AB398+AD398+AF398+AH398+AJ398+AL398+AN398+AO398</f>
        <v>5497.5167155425215</v>
      </c>
      <c r="X398" s="149">
        <v>0</v>
      </c>
      <c r="Y398" s="368">
        <v>0</v>
      </c>
      <c r="Z398" s="368">
        <v>0</v>
      </c>
      <c r="AA398" s="368">
        <v>0</v>
      </c>
      <c r="AB398" s="368">
        <v>0</v>
      </c>
      <c r="AC398" s="368">
        <v>0</v>
      </c>
      <c r="AD398" s="368">
        <v>0</v>
      </c>
      <c r="AE398" s="368">
        <v>0</v>
      </c>
      <c r="AF398" s="396">
        <v>0</v>
      </c>
      <c r="AG398" s="368">
        <v>0</v>
      </c>
      <c r="AH398" s="396">
        <v>0</v>
      </c>
      <c r="AI398" s="368">
        <v>403.2</v>
      </c>
      <c r="AJ398" s="397">
        <f t="shared" ref="AJ398:AJ399" si="126">7439.1*AI398/I398</f>
        <v>5497.5167155425215</v>
      </c>
      <c r="AK398" s="368">
        <v>0</v>
      </c>
      <c r="AL398" s="368">
        <v>0</v>
      </c>
      <c r="AM398" s="368">
        <v>0</v>
      </c>
      <c r="AN398" s="368"/>
      <c r="AO398" s="368">
        <v>0</v>
      </c>
    </row>
    <row r="399" spans="1:41" s="152" customFormat="1" ht="36" customHeight="1" x14ac:dyDescent="0.9">
      <c r="A399" s="152">
        <v>1</v>
      </c>
      <c r="B399" s="90">
        <f>SUBTOTAL(103,$A$16:A399)</f>
        <v>355</v>
      </c>
      <c r="C399" s="89" t="s">
        <v>1245</v>
      </c>
      <c r="D399" s="163">
        <v>1965</v>
      </c>
      <c r="E399" s="163"/>
      <c r="F399" s="168" t="s">
        <v>270</v>
      </c>
      <c r="G399" s="163">
        <v>2</v>
      </c>
      <c r="H399" s="163">
        <v>2</v>
      </c>
      <c r="I399" s="167">
        <v>527.5</v>
      </c>
      <c r="J399" s="167">
        <v>437.3</v>
      </c>
      <c r="K399" s="167">
        <v>292.89999999999998</v>
      </c>
      <c r="L399" s="165">
        <v>14</v>
      </c>
      <c r="M399" s="163" t="s">
        <v>268</v>
      </c>
      <c r="N399" s="163" t="s">
        <v>272</v>
      </c>
      <c r="O399" s="166" t="s">
        <v>1349</v>
      </c>
      <c r="P399" s="167">
        <v>1841202.1099999999</v>
      </c>
      <c r="Q399" s="167">
        <v>0</v>
      </c>
      <c r="R399" s="167">
        <v>0</v>
      </c>
      <c r="S399" s="167">
        <f>P399-Q399-R399</f>
        <v>1841202.1099999999</v>
      </c>
      <c r="T399" s="167">
        <f t="shared" si="100"/>
        <v>3490.4305402843597</v>
      </c>
      <c r="U399" s="167">
        <v>6169.8696682464451</v>
      </c>
      <c r="V399" s="149">
        <f t="shared" si="102"/>
        <v>2679.4391279620854</v>
      </c>
      <c r="W399" s="149">
        <f t="shared" si="125"/>
        <v>6169.8696682464451</v>
      </c>
      <c r="X399" s="149">
        <v>0</v>
      </c>
      <c r="Y399" s="368">
        <v>0</v>
      </c>
      <c r="Z399" s="368">
        <v>0</v>
      </c>
      <c r="AA399" s="368">
        <v>0</v>
      </c>
      <c r="AB399" s="368">
        <v>0</v>
      </c>
      <c r="AC399" s="368">
        <v>0</v>
      </c>
      <c r="AD399" s="368">
        <v>0</v>
      </c>
      <c r="AE399" s="368">
        <v>0</v>
      </c>
      <c r="AF399" s="396">
        <v>0</v>
      </c>
      <c r="AG399" s="368">
        <v>0</v>
      </c>
      <c r="AH399" s="396">
        <v>0</v>
      </c>
      <c r="AI399" s="368">
        <v>437.5</v>
      </c>
      <c r="AJ399" s="397">
        <f t="shared" si="126"/>
        <v>6169.8696682464451</v>
      </c>
      <c r="AK399" s="368">
        <v>0</v>
      </c>
      <c r="AL399" s="368">
        <v>0</v>
      </c>
      <c r="AM399" s="368">
        <v>0</v>
      </c>
      <c r="AN399" s="368"/>
      <c r="AO399" s="368">
        <v>0</v>
      </c>
    </row>
    <row r="400" spans="1:41" s="152" customFormat="1" ht="36" customHeight="1" x14ac:dyDescent="0.9">
      <c r="A400" s="152">
        <v>1</v>
      </c>
      <c r="B400" s="90">
        <f>SUBTOTAL(103,$A$16:A400)</f>
        <v>356</v>
      </c>
      <c r="C400" s="89" t="s">
        <v>1246</v>
      </c>
      <c r="D400" s="163">
        <v>1963</v>
      </c>
      <c r="E400" s="163"/>
      <c r="F400" s="168" t="s">
        <v>270</v>
      </c>
      <c r="G400" s="163">
        <v>2</v>
      </c>
      <c r="H400" s="163">
        <v>2</v>
      </c>
      <c r="I400" s="167">
        <v>662.7</v>
      </c>
      <c r="J400" s="167">
        <v>609.9</v>
      </c>
      <c r="K400" s="167">
        <v>419.4</v>
      </c>
      <c r="L400" s="165">
        <v>20</v>
      </c>
      <c r="M400" s="163" t="s">
        <v>268</v>
      </c>
      <c r="N400" s="163" t="s">
        <v>272</v>
      </c>
      <c r="O400" s="166" t="s">
        <v>1349</v>
      </c>
      <c r="P400" s="167">
        <v>2207932.36</v>
      </c>
      <c r="Q400" s="167">
        <v>0</v>
      </c>
      <c r="R400" s="167">
        <v>0</v>
      </c>
      <c r="S400" s="167">
        <f>P400-Q400-R400</f>
        <v>2207932.36</v>
      </c>
      <c r="T400" s="167">
        <f t="shared" si="100"/>
        <v>3331.7222876112869</v>
      </c>
      <c r="U400" s="167">
        <v>5108.8077570544738</v>
      </c>
      <c r="V400" s="149">
        <f t="shared" si="102"/>
        <v>1777.0854694431869</v>
      </c>
      <c r="W400" s="149">
        <f t="shared" si="125"/>
        <v>5108.8077570544738</v>
      </c>
      <c r="X400" s="149">
        <v>0</v>
      </c>
      <c r="Y400" s="368">
        <v>0</v>
      </c>
      <c r="Z400" s="368">
        <v>0</v>
      </c>
      <c r="AA400" s="368">
        <v>0</v>
      </c>
      <c r="AB400" s="368">
        <v>0</v>
      </c>
      <c r="AC400" s="368">
        <v>0</v>
      </c>
      <c r="AD400" s="368">
        <v>0</v>
      </c>
      <c r="AE400" s="368">
        <v>542.66</v>
      </c>
      <c r="AF400" s="396">
        <f>6238.91*AE400/I400</f>
        <v>5108.8077570544738</v>
      </c>
      <c r="AG400" s="368">
        <v>0</v>
      </c>
      <c r="AH400" s="396">
        <v>0</v>
      </c>
      <c r="AI400" s="368">
        <v>0</v>
      </c>
      <c r="AJ400" s="396">
        <v>0</v>
      </c>
      <c r="AK400" s="368">
        <v>0</v>
      </c>
      <c r="AL400" s="368">
        <v>0</v>
      </c>
      <c r="AM400" s="368">
        <v>0</v>
      </c>
      <c r="AN400" s="368"/>
      <c r="AO400" s="368">
        <v>0</v>
      </c>
    </row>
    <row r="401" spans="1:41" s="152" customFormat="1" ht="36" customHeight="1" x14ac:dyDescent="0.9">
      <c r="A401" s="152">
        <v>1</v>
      </c>
      <c r="B401" s="90">
        <f>SUBTOTAL(103,$A$16:A401)</f>
        <v>357</v>
      </c>
      <c r="C401" s="89" t="s">
        <v>1593</v>
      </c>
      <c r="D401" s="163">
        <v>1976</v>
      </c>
      <c r="E401" s="163"/>
      <c r="F401" s="168" t="s">
        <v>1596</v>
      </c>
      <c r="G401" s="163">
        <v>2</v>
      </c>
      <c r="H401" s="163">
        <v>1</v>
      </c>
      <c r="I401" s="167">
        <v>405.7</v>
      </c>
      <c r="J401" s="167">
        <v>372.1</v>
      </c>
      <c r="K401" s="167">
        <f>J401-87.1</f>
        <v>285</v>
      </c>
      <c r="L401" s="165">
        <v>18</v>
      </c>
      <c r="M401" s="163" t="s">
        <v>268</v>
      </c>
      <c r="N401" s="163" t="s">
        <v>269</v>
      </c>
      <c r="O401" s="166" t="s">
        <v>271</v>
      </c>
      <c r="P401" s="167">
        <v>1483959.8800000001</v>
      </c>
      <c r="Q401" s="167">
        <v>0</v>
      </c>
      <c r="R401" s="167">
        <v>0</v>
      </c>
      <c r="S401" s="167">
        <f>P401-R401-Q401</f>
        <v>1483959.8800000001</v>
      </c>
      <c r="T401" s="167">
        <f t="shared" si="100"/>
        <v>3657.7763864924827</v>
      </c>
      <c r="U401" s="167">
        <v>3657.7763864924827</v>
      </c>
      <c r="V401" s="149">
        <f t="shared" si="102"/>
        <v>0</v>
      </c>
      <c r="W401" s="149">
        <f>T401</f>
        <v>3657.7763864924827</v>
      </c>
      <c r="X401" s="149">
        <v>0</v>
      </c>
      <c r="Y401" s="368">
        <v>0</v>
      </c>
      <c r="Z401" s="368">
        <v>0</v>
      </c>
      <c r="AA401" s="368">
        <v>0</v>
      </c>
      <c r="AB401" s="368">
        <v>0</v>
      </c>
      <c r="AC401" s="368">
        <v>0</v>
      </c>
      <c r="AD401" s="368">
        <v>0</v>
      </c>
      <c r="AE401" s="368">
        <v>0</v>
      </c>
      <c r="AF401" s="396">
        <v>0</v>
      </c>
      <c r="AG401" s="368">
        <v>0</v>
      </c>
      <c r="AH401" s="396">
        <v>0</v>
      </c>
      <c r="AI401" s="368">
        <v>0</v>
      </c>
      <c r="AJ401" s="396">
        <v>0</v>
      </c>
      <c r="AK401" s="368">
        <v>0</v>
      </c>
      <c r="AL401" s="368">
        <v>0</v>
      </c>
      <c r="AM401" s="368">
        <v>211.2</v>
      </c>
      <c r="AN401" s="368">
        <f>6984.52*AM401/I401</f>
        <v>3636.0133694848414</v>
      </c>
      <c r="AO401" s="368">
        <v>0</v>
      </c>
    </row>
    <row r="402" spans="1:41" s="152" customFormat="1" ht="36" customHeight="1" x14ac:dyDescent="0.9">
      <c r="B402" s="382" t="s">
        <v>884</v>
      </c>
      <c r="C402" s="382"/>
      <c r="D402" s="384" t="s">
        <v>903</v>
      </c>
      <c r="E402" s="163" t="s">
        <v>903</v>
      </c>
      <c r="F402" s="384" t="s">
        <v>903</v>
      </c>
      <c r="G402" s="384" t="s">
        <v>903</v>
      </c>
      <c r="H402" s="163" t="s">
        <v>903</v>
      </c>
      <c r="I402" s="386">
        <f>I403</f>
        <v>829.4</v>
      </c>
      <c r="J402" s="164">
        <f>J403</f>
        <v>758.4</v>
      </c>
      <c r="K402" s="164">
        <f>K403</f>
        <v>671.6</v>
      </c>
      <c r="L402" s="165">
        <f>L403</f>
        <v>24</v>
      </c>
      <c r="M402" s="163" t="s">
        <v>903</v>
      </c>
      <c r="N402" s="163" t="s">
        <v>903</v>
      </c>
      <c r="O402" s="166" t="s">
        <v>903</v>
      </c>
      <c r="P402" s="387">
        <v>3281480.1</v>
      </c>
      <c r="Q402" s="167">
        <f>Q403</f>
        <v>0</v>
      </c>
      <c r="R402" s="167">
        <f>R403</f>
        <v>0</v>
      </c>
      <c r="S402" s="167">
        <f>S403</f>
        <v>3281480.1</v>
      </c>
      <c r="T402" s="387">
        <f t="shared" si="100"/>
        <v>3956.450566674705</v>
      </c>
      <c r="U402" s="387">
        <f>MAX(U403)</f>
        <v>6301.439710634193</v>
      </c>
      <c r="V402" s="149">
        <f t="shared" si="102"/>
        <v>2344.989143959488</v>
      </c>
      <c r="W402" s="149"/>
      <c r="X402" s="149"/>
      <c r="Y402" s="368"/>
      <c r="Z402" s="368"/>
      <c r="AA402" s="368"/>
      <c r="AB402" s="368"/>
      <c r="AC402" s="368"/>
      <c r="AD402" s="368"/>
      <c r="AE402" s="368"/>
      <c r="AF402" s="368"/>
      <c r="AG402" s="368"/>
      <c r="AH402" s="368"/>
      <c r="AI402" s="368"/>
      <c r="AJ402" s="368"/>
      <c r="AK402" s="368"/>
      <c r="AL402" s="368"/>
      <c r="AM402" s="368"/>
      <c r="AN402" s="368"/>
      <c r="AO402" s="368"/>
    </row>
    <row r="403" spans="1:41" s="152" customFormat="1" ht="36" customHeight="1" x14ac:dyDescent="0.9">
      <c r="A403" s="152">
        <v>1</v>
      </c>
      <c r="B403" s="90">
        <f>SUBTOTAL(103,$A$16:A403)</f>
        <v>358</v>
      </c>
      <c r="C403" s="89" t="s">
        <v>1248</v>
      </c>
      <c r="D403" s="163">
        <v>1972</v>
      </c>
      <c r="E403" s="163">
        <v>2010</v>
      </c>
      <c r="F403" s="168" t="s">
        <v>270</v>
      </c>
      <c r="G403" s="163">
        <v>2</v>
      </c>
      <c r="H403" s="163">
        <v>2</v>
      </c>
      <c r="I403" s="167">
        <v>829.4</v>
      </c>
      <c r="J403" s="167">
        <v>758.4</v>
      </c>
      <c r="K403" s="167">
        <v>671.6</v>
      </c>
      <c r="L403" s="165">
        <v>24</v>
      </c>
      <c r="M403" s="163" t="s">
        <v>268</v>
      </c>
      <c r="N403" s="163" t="s">
        <v>272</v>
      </c>
      <c r="O403" s="166" t="s">
        <v>823</v>
      </c>
      <c r="P403" s="167">
        <v>3281480.1</v>
      </c>
      <c r="Q403" s="167">
        <v>0</v>
      </c>
      <c r="R403" s="167">
        <v>0</v>
      </c>
      <c r="S403" s="167">
        <f>P403-Q403-R403</f>
        <v>3281480.1</v>
      </c>
      <c r="T403" s="167">
        <f t="shared" ref="T403:T443" si="127">P403/I403</f>
        <v>3956.450566674705</v>
      </c>
      <c r="U403" s="167">
        <v>6301.439710634193</v>
      </c>
      <c r="V403" s="149">
        <f>U403-T403</f>
        <v>2344.989143959488</v>
      </c>
      <c r="W403" s="149">
        <f>X403+Y403+Z403+AA403+AB403+AD403+AF403+AH403+AJ403+AL403+AN403+AO403</f>
        <v>6301.439710634193</v>
      </c>
      <c r="X403" s="149">
        <v>0</v>
      </c>
      <c r="Y403" s="368">
        <v>0</v>
      </c>
      <c r="Z403" s="368">
        <v>0</v>
      </c>
      <c r="AA403" s="368">
        <v>0</v>
      </c>
      <c r="AB403" s="368">
        <v>0</v>
      </c>
      <c r="AC403" s="368">
        <v>0</v>
      </c>
      <c r="AD403" s="368">
        <v>0</v>
      </c>
      <c r="AE403" s="368">
        <v>0</v>
      </c>
      <c r="AF403" s="396">
        <v>0</v>
      </c>
      <c r="AG403" s="368">
        <v>0</v>
      </c>
      <c r="AH403" s="396">
        <v>0</v>
      </c>
      <c r="AI403" s="368">
        <v>702.56</v>
      </c>
      <c r="AJ403" s="397">
        <f>7439.1*AI403/I403</f>
        <v>6301.439710634193</v>
      </c>
      <c r="AK403" s="368">
        <v>0</v>
      </c>
      <c r="AL403" s="368">
        <v>0</v>
      </c>
      <c r="AM403" s="368">
        <v>0</v>
      </c>
      <c r="AN403" s="368"/>
      <c r="AO403" s="368">
        <v>0</v>
      </c>
    </row>
    <row r="404" spans="1:41" s="152" customFormat="1" ht="36" customHeight="1" x14ac:dyDescent="0.9">
      <c r="B404" s="382" t="s">
        <v>851</v>
      </c>
      <c r="C404" s="388"/>
      <c r="D404" s="384" t="s">
        <v>903</v>
      </c>
      <c r="E404" s="163" t="s">
        <v>903</v>
      </c>
      <c r="F404" s="384" t="s">
        <v>903</v>
      </c>
      <c r="G404" s="384" t="s">
        <v>903</v>
      </c>
      <c r="H404" s="163" t="s">
        <v>903</v>
      </c>
      <c r="I404" s="386">
        <f>SUM(I405:I409)</f>
        <v>9725.5</v>
      </c>
      <c r="J404" s="164">
        <f>SUM(J405:J409)</f>
        <v>7654</v>
      </c>
      <c r="K404" s="164">
        <f>SUM(K405:K409)</f>
        <v>6834</v>
      </c>
      <c r="L404" s="165">
        <f>SUM(L405:L409)</f>
        <v>360</v>
      </c>
      <c r="M404" s="163" t="s">
        <v>903</v>
      </c>
      <c r="N404" s="163" t="s">
        <v>903</v>
      </c>
      <c r="O404" s="166" t="s">
        <v>903</v>
      </c>
      <c r="P404" s="387">
        <v>18773024.589999996</v>
      </c>
      <c r="Q404" s="167">
        <f>SUM(Q405:Q409)</f>
        <v>0</v>
      </c>
      <c r="R404" s="167">
        <f>SUM(R405:R409)</f>
        <v>0</v>
      </c>
      <c r="S404" s="167">
        <f>SUM(S405:S409)</f>
        <v>18773024.589999996</v>
      </c>
      <c r="T404" s="387">
        <f t="shared" si="127"/>
        <v>1930.2888890031356</v>
      </c>
      <c r="U404" s="387">
        <f>MAX(U405:U409)</f>
        <v>5951.2655007949124</v>
      </c>
      <c r="V404" s="149">
        <f t="shared" si="102"/>
        <v>4020.976611791777</v>
      </c>
      <c r="W404" s="149"/>
      <c r="X404" s="149"/>
      <c r="Y404" s="368"/>
      <c r="Z404" s="368"/>
      <c r="AA404" s="368"/>
      <c r="AB404" s="368"/>
      <c r="AC404" s="368"/>
      <c r="AD404" s="368"/>
      <c r="AE404" s="368"/>
      <c r="AF404" s="368"/>
      <c r="AG404" s="368"/>
      <c r="AH404" s="368"/>
      <c r="AI404" s="368"/>
      <c r="AJ404" s="368"/>
      <c r="AK404" s="368"/>
      <c r="AL404" s="368"/>
      <c r="AM404" s="368"/>
      <c r="AN404" s="368"/>
      <c r="AO404" s="368"/>
    </row>
    <row r="405" spans="1:41" s="152" customFormat="1" ht="36" customHeight="1" x14ac:dyDescent="0.9">
      <c r="A405" s="152">
        <v>1</v>
      </c>
      <c r="B405" s="90">
        <f>SUBTOTAL(103,$A$16:A405)</f>
        <v>359</v>
      </c>
      <c r="C405" s="89" t="s">
        <v>75</v>
      </c>
      <c r="D405" s="163">
        <v>1950</v>
      </c>
      <c r="E405" s="163"/>
      <c r="F405" s="168" t="s">
        <v>270</v>
      </c>
      <c r="G405" s="163">
        <v>3</v>
      </c>
      <c r="H405" s="163">
        <v>2</v>
      </c>
      <c r="I405" s="167">
        <v>871.6</v>
      </c>
      <c r="J405" s="167">
        <v>765</v>
      </c>
      <c r="K405" s="167">
        <v>743</v>
      </c>
      <c r="L405" s="165">
        <v>25</v>
      </c>
      <c r="M405" s="163" t="s">
        <v>268</v>
      </c>
      <c r="N405" s="163" t="s">
        <v>272</v>
      </c>
      <c r="O405" s="166" t="s">
        <v>279</v>
      </c>
      <c r="P405" s="167">
        <v>3531435.05</v>
      </c>
      <c r="Q405" s="167">
        <v>0</v>
      </c>
      <c r="R405" s="167">
        <v>0</v>
      </c>
      <c r="S405" s="167">
        <f>P405-Q405-R405</f>
        <v>3531435.05</v>
      </c>
      <c r="T405" s="167">
        <f t="shared" si="127"/>
        <v>4051.6694011014224</v>
      </c>
      <c r="U405" s="167">
        <v>4473.7479921982558</v>
      </c>
      <c r="V405" s="149">
        <f t="shared" ref="V405:V409" si="128">U405-T405</f>
        <v>422.07859109683341</v>
      </c>
      <c r="W405" s="149">
        <f t="shared" ref="W405:W409" si="129">X405+Y405+Z405+AA405+AB405+AD405+AF405+AH405+AJ405+AL405+AN405+AO405</f>
        <v>4473.7479921982558</v>
      </c>
      <c r="X405" s="149">
        <v>0</v>
      </c>
      <c r="Y405" s="368">
        <v>0</v>
      </c>
      <c r="Z405" s="368">
        <v>0</v>
      </c>
      <c r="AA405" s="368">
        <v>0</v>
      </c>
      <c r="AB405" s="368">
        <v>0</v>
      </c>
      <c r="AC405" s="368">
        <v>0</v>
      </c>
      <c r="AD405" s="368">
        <v>0</v>
      </c>
      <c r="AE405" s="368">
        <v>625</v>
      </c>
      <c r="AF405" s="396">
        <f t="shared" ref="AF405:AF409" si="130">6238.91*AE405/I405</f>
        <v>4473.7479921982558</v>
      </c>
      <c r="AG405" s="368">
        <v>0</v>
      </c>
      <c r="AH405" s="396">
        <v>0</v>
      </c>
      <c r="AI405" s="368">
        <v>0</v>
      </c>
      <c r="AJ405" s="396">
        <v>0</v>
      </c>
      <c r="AK405" s="368">
        <v>0</v>
      </c>
      <c r="AL405" s="368">
        <v>0</v>
      </c>
      <c r="AM405" s="368">
        <v>0</v>
      </c>
      <c r="AN405" s="368"/>
      <c r="AO405" s="368">
        <v>0</v>
      </c>
    </row>
    <row r="406" spans="1:41" s="152" customFormat="1" ht="36" customHeight="1" x14ac:dyDescent="0.9">
      <c r="A406" s="152">
        <v>1</v>
      </c>
      <c r="B406" s="90">
        <f>SUBTOTAL(103,$A$16:A406)</f>
        <v>360</v>
      </c>
      <c r="C406" s="89" t="s">
        <v>74</v>
      </c>
      <c r="D406" s="163">
        <v>1963</v>
      </c>
      <c r="E406" s="163"/>
      <c r="F406" s="168" t="s">
        <v>270</v>
      </c>
      <c r="G406" s="163">
        <v>4</v>
      </c>
      <c r="H406" s="163">
        <v>2</v>
      </c>
      <c r="I406" s="167">
        <v>1600.4</v>
      </c>
      <c r="J406" s="167">
        <v>1222</v>
      </c>
      <c r="K406" s="167">
        <v>1222</v>
      </c>
      <c r="L406" s="165">
        <v>54</v>
      </c>
      <c r="M406" s="163" t="s">
        <v>268</v>
      </c>
      <c r="N406" s="163" t="s">
        <v>272</v>
      </c>
      <c r="O406" s="166" t="s">
        <v>280</v>
      </c>
      <c r="P406" s="167">
        <v>3130874.1599999997</v>
      </c>
      <c r="Q406" s="167">
        <v>0</v>
      </c>
      <c r="R406" s="167">
        <v>0</v>
      </c>
      <c r="S406" s="167">
        <f>P406-Q406-R406</f>
        <v>3130874.1599999997</v>
      </c>
      <c r="T406" s="167">
        <f t="shared" si="127"/>
        <v>1956.3072731817042</v>
      </c>
      <c r="U406" s="167">
        <v>1964.7654586353412</v>
      </c>
      <c r="V406" s="149">
        <f t="shared" si="128"/>
        <v>8.4581854536370429</v>
      </c>
      <c r="W406" s="149">
        <f t="shared" si="129"/>
        <v>1964.7654586353412</v>
      </c>
      <c r="X406" s="149">
        <v>0</v>
      </c>
      <c r="Y406" s="368">
        <v>0</v>
      </c>
      <c r="Z406" s="368">
        <v>0</v>
      </c>
      <c r="AA406" s="368">
        <v>0</v>
      </c>
      <c r="AB406" s="368">
        <v>0</v>
      </c>
      <c r="AC406" s="368">
        <v>0</v>
      </c>
      <c r="AD406" s="368">
        <v>0</v>
      </c>
      <c r="AE406" s="368">
        <v>504</v>
      </c>
      <c r="AF406" s="396">
        <f t="shared" si="130"/>
        <v>1964.7654586353412</v>
      </c>
      <c r="AG406" s="368">
        <v>0</v>
      </c>
      <c r="AH406" s="396">
        <v>0</v>
      </c>
      <c r="AI406" s="368">
        <v>0</v>
      </c>
      <c r="AJ406" s="396">
        <v>0</v>
      </c>
      <c r="AK406" s="368">
        <v>0</v>
      </c>
      <c r="AL406" s="368">
        <v>0</v>
      </c>
      <c r="AM406" s="368">
        <v>0</v>
      </c>
      <c r="AN406" s="368"/>
      <c r="AO406" s="368">
        <v>0</v>
      </c>
    </row>
    <row r="407" spans="1:41" s="152" customFormat="1" ht="36" customHeight="1" x14ac:dyDescent="0.9">
      <c r="A407" s="152">
        <v>1</v>
      </c>
      <c r="B407" s="90">
        <f>SUBTOTAL(103,$A$16:A407)</f>
        <v>361</v>
      </c>
      <c r="C407" s="89" t="s">
        <v>76</v>
      </c>
      <c r="D407" s="163">
        <v>1948</v>
      </c>
      <c r="E407" s="163"/>
      <c r="F407" s="168" t="s">
        <v>270</v>
      </c>
      <c r="G407" s="163">
        <v>4</v>
      </c>
      <c r="H407" s="163">
        <v>3</v>
      </c>
      <c r="I407" s="167">
        <v>1954.5</v>
      </c>
      <c r="J407" s="167">
        <v>1574</v>
      </c>
      <c r="K407" s="167">
        <v>1540</v>
      </c>
      <c r="L407" s="165">
        <v>58</v>
      </c>
      <c r="M407" s="163" t="s">
        <v>268</v>
      </c>
      <c r="N407" s="163" t="s">
        <v>272</v>
      </c>
      <c r="O407" s="166" t="s">
        <v>281</v>
      </c>
      <c r="P407" s="167">
        <v>5554456.5600000005</v>
      </c>
      <c r="Q407" s="167">
        <v>0</v>
      </c>
      <c r="R407" s="167">
        <v>0</v>
      </c>
      <c r="S407" s="167">
        <f>P407-Q407-R407</f>
        <v>5554456.5600000005</v>
      </c>
      <c r="T407" s="167">
        <f t="shared" si="127"/>
        <v>2841.8810744435918</v>
      </c>
      <c r="U407" s="167">
        <v>3045.23926323868</v>
      </c>
      <c r="V407" s="149">
        <f t="shared" si="128"/>
        <v>203.35818879508815</v>
      </c>
      <c r="W407" s="149">
        <f t="shared" si="129"/>
        <v>3045.23926323868</v>
      </c>
      <c r="X407" s="149">
        <v>0</v>
      </c>
      <c r="Y407" s="368">
        <v>0</v>
      </c>
      <c r="Z407" s="368">
        <v>0</v>
      </c>
      <c r="AA407" s="368">
        <v>0</v>
      </c>
      <c r="AB407" s="368">
        <v>0</v>
      </c>
      <c r="AC407" s="368">
        <v>0</v>
      </c>
      <c r="AD407" s="368">
        <v>0</v>
      </c>
      <c r="AE407" s="368">
        <v>954</v>
      </c>
      <c r="AF407" s="396">
        <f t="shared" si="130"/>
        <v>3045.23926323868</v>
      </c>
      <c r="AG407" s="368">
        <v>0</v>
      </c>
      <c r="AH407" s="396">
        <v>0</v>
      </c>
      <c r="AI407" s="368">
        <v>0</v>
      </c>
      <c r="AJ407" s="396">
        <v>0</v>
      </c>
      <c r="AK407" s="368">
        <v>0</v>
      </c>
      <c r="AL407" s="368">
        <v>0</v>
      </c>
      <c r="AM407" s="368">
        <v>0</v>
      </c>
      <c r="AN407" s="368"/>
      <c r="AO407" s="368">
        <v>0</v>
      </c>
    </row>
    <row r="408" spans="1:41" s="152" customFormat="1" ht="36" customHeight="1" x14ac:dyDescent="0.9">
      <c r="A408" s="152">
        <v>1</v>
      </c>
      <c r="B408" s="90">
        <f>SUBTOTAL(103,$A$16:A408)</f>
        <v>362</v>
      </c>
      <c r="C408" s="89" t="s">
        <v>1249</v>
      </c>
      <c r="D408" s="163">
        <v>1974</v>
      </c>
      <c r="E408" s="163"/>
      <c r="F408" s="168" t="s">
        <v>270</v>
      </c>
      <c r="G408" s="163">
        <v>5</v>
      </c>
      <c r="H408" s="163">
        <v>2</v>
      </c>
      <c r="I408" s="167">
        <v>4670</v>
      </c>
      <c r="J408" s="167">
        <v>3641</v>
      </c>
      <c r="K408" s="167">
        <v>2877</v>
      </c>
      <c r="L408" s="165">
        <v>192</v>
      </c>
      <c r="M408" s="163" t="s">
        <v>268</v>
      </c>
      <c r="N408" s="163" t="s">
        <v>272</v>
      </c>
      <c r="O408" s="166" t="s">
        <v>1348</v>
      </c>
      <c r="P408" s="167">
        <v>4162144.7199999997</v>
      </c>
      <c r="Q408" s="167">
        <v>0</v>
      </c>
      <c r="R408" s="167">
        <v>0</v>
      </c>
      <c r="S408" s="167">
        <f>P408-Q408-R408</f>
        <v>4162144.7199999997</v>
      </c>
      <c r="T408" s="167">
        <f t="shared" si="127"/>
        <v>891.25154603854389</v>
      </c>
      <c r="U408" s="167">
        <v>1302.8233473233406</v>
      </c>
      <c r="V408" s="149">
        <f t="shared" si="128"/>
        <v>411.57180128479672</v>
      </c>
      <c r="W408" s="149">
        <f t="shared" si="129"/>
        <v>1302.8233473233406</v>
      </c>
      <c r="X408" s="149">
        <v>0</v>
      </c>
      <c r="Y408" s="368">
        <v>0</v>
      </c>
      <c r="Z408" s="368">
        <v>0</v>
      </c>
      <c r="AA408" s="368">
        <v>0</v>
      </c>
      <c r="AB408" s="368">
        <v>0</v>
      </c>
      <c r="AC408" s="368">
        <v>0</v>
      </c>
      <c r="AD408" s="368">
        <v>0</v>
      </c>
      <c r="AE408" s="368">
        <v>975.2</v>
      </c>
      <c r="AF408" s="396">
        <f t="shared" si="130"/>
        <v>1302.8233473233406</v>
      </c>
      <c r="AG408" s="368">
        <v>0</v>
      </c>
      <c r="AH408" s="396">
        <v>0</v>
      </c>
      <c r="AI408" s="368">
        <v>0</v>
      </c>
      <c r="AJ408" s="396">
        <v>0</v>
      </c>
      <c r="AK408" s="368">
        <v>0</v>
      </c>
      <c r="AL408" s="368">
        <v>0</v>
      </c>
      <c r="AM408" s="368">
        <v>0</v>
      </c>
      <c r="AN408" s="368"/>
      <c r="AO408" s="368">
        <v>0</v>
      </c>
    </row>
    <row r="409" spans="1:41" s="152" customFormat="1" ht="36" customHeight="1" x14ac:dyDescent="0.9">
      <c r="A409" s="152">
        <v>1</v>
      </c>
      <c r="B409" s="90">
        <f>SUBTOTAL(103,$A$16:A409)</f>
        <v>363</v>
      </c>
      <c r="C409" s="89" t="s">
        <v>1250</v>
      </c>
      <c r="D409" s="163">
        <v>1955</v>
      </c>
      <c r="E409" s="163"/>
      <c r="F409" s="168" t="s">
        <v>270</v>
      </c>
      <c r="G409" s="163">
        <v>2</v>
      </c>
      <c r="H409" s="163">
        <v>2</v>
      </c>
      <c r="I409" s="167">
        <v>629</v>
      </c>
      <c r="J409" s="167">
        <v>452</v>
      </c>
      <c r="K409" s="167">
        <v>452</v>
      </c>
      <c r="L409" s="165">
        <v>31</v>
      </c>
      <c r="M409" s="163" t="s">
        <v>268</v>
      </c>
      <c r="N409" s="163" t="s">
        <v>272</v>
      </c>
      <c r="O409" s="166" t="s">
        <v>1321</v>
      </c>
      <c r="P409" s="167">
        <v>2394114.0999999996</v>
      </c>
      <c r="Q409" s="167">
        <v>0</v>
      </c>
      <c r="R409" s="167">
        <v>0</v>
      </c>
      <c r="S409" s="167">
        <f>P409-Q409-R409</f>
        <v>2394114.0999999996</v>
      </c>
      <c r="T409" s="167">
        <f t="shared" si="127"/>
        <v>3806.2227344992043</v>
      </c>
      <c r="U409" s="167">
        <v>5951.2655007949124</v>
      </c>
      <c r="V409" s="149">
        <f t="shared" si="128"/>
        <v>2145.0427662957081</v>
      </c>
      <c r="W409" s="149">
        <f t="shared" si="129"/>
        <v>5951.2655007949124</v>
      </c>
      <c r="X409" s="149">
        <v>0</v>
      </c>
      <c r="Y409" s="368">
        <v>0</v>
      </c>
      <c r="Z409" s="368">
        <v>0</v>
      </c>
      <c r="AA409" s="368">
        <v>0</v>
      </c>
      <c r="AB409" s="368">
        <v>0</v>
      </c>
      <c r="AC409" s="368">
        <v>0</v>
      </c>
      <c r="AD409" s="368">
        <v>0</v>
      </c>
      <c r="AE409" s="368">
        <v>600</v>
      </c>
      <c r="AF409" s="396">
        <f t="shared" si="130"/>
        <v>5951.2655007949124</v>
      </c>
      <c r="AG409" s="368">
        <v>0</v>
      </c>
      <c r="AH409" s="396">
        <v>0</v>
      </c>
      <c r="AI409" s="368">
        <v>0</v>
      </c>
      <c r="AJ409" s="396">
        <v>0</v>
      </c>
      <c r="AK409" s="368">
        <v>0</v>
      </c>
      <c r="AL409" s="368">
        <v>0</v>
      </c>
      <c r="AM409" s="368">
        <v>0</v>
      </c>
      <c r="AN409" s="368"/>
      <c r="AO409" s="368">
        <v>0</v>
      </c>
    </row>
    <row r="410" spans="1:41" s="152" customFormat="1" ht="36" customHeight="1" x14ac:dyDescent="0.9">
      <c r="B410" s="382" t="s">
        <v>852</v>
      </c>
      <c r="C410" s="382"/>
      <c r="D410" s="384" t="s">
        <v>903</v>
      </c>
      <c r="E410" s="163" t="s">
        <v>903</v>
      </c>
      <c r="F410" s="384" t="s">
        <v>903</v>
      </c>
      <c r="G410" s="384" t="s">
        <v>903</v>
      </c>
      <c r="H410" s="163" t="s">
        <v>903</v>
      </c>
      <c r="I410" s="386">
        <f>I411</f>
        <v>613</v>
      </c>
      <c r="J410" s="164">
        <f>J411</f>
        <v>613</v>
      </c>
      <c r="K410" s="164">
        <f>K411</f>
        <v>571.70000000000005</v>
      </c>
      <c r="L410" s="165">
        <f>L411</f>
        <v>33</v>
      </c>
      <c r="M410" s="163" t="s">
        <v>903</v>
      </c>
      <c r="N410" s="163" t="s">
        <v>903</v>
      </c>
      <c r="O410" s="166" t="s">
        <v>903</v>
      </c>
      <c r="P410" s="387">
        <v>3182125.22</v>
      </c>
      <c r="Q410" s="167">
        <f>Q411</f>
        <v>0</v>
      </c>
      <c r="R410" s="167">
        <f>R411</f>
        <v>0</v>
      </c>
      <c r="S410" s="167">
        <f>S411</f>
        <v>3182125.22</v>
      </c>
      <c r="T410" s="387">
        <f t="shared" si="127"/>
        <v>5191.0688743882547</v>
      </c>
      <c r="U410" s="387">
        <f>MAX(U411)</f>
        <v>6086.2449918433931</v>
      </c>
      <c r="V410" s="149">
        <f t="shared" ref="V410:V468" si="131">U410-T410</f>
        <v>895.17611745513841</v>
      </c>
      <c r="W410" s="149"/>
      <c r="X410" s="149"/>
      <c r="Y410" s="368"/>
      <c r="Z410" s="368"/>
      <c r="AA410" s="368"/>
      <c r="AB410" s="368"/>
      <c r="AC410" s="368"/>
      <c r="AD410" s="368"/>
      <c r="AE410" s="368"/>
      <c r="AF410" s="368"/>
      <c r="AG410" s="368"/>
      <c r="AH410" s="368"/>
      <c r="AI410" s="368"/>
      <c r="AJ410" s="368"/>
      <c r="AK410" s="368"/>
      <c r="AL410" s="368"/>
      <c r="AM410" s="368"/>
      <c r="AN410" s="368"/>
      <c r="AO410" s="368"/>
    </row>
    <row r="411" spans="1:41" s="152" customFormat="1" ht="36" customHeight="1" x14ac:dyDescent="0.9">
      <c r="A411" s="152">
        <v>1</v>
      </c>
      <c r="B411" s="90">
        <f>SUBTOTAL(103,$A$16:A411)</f>
        <v>364</v>
      </c>
      <c r="C411" s="89" t="s">
        <v>77</v>
      </c>
      <c r="D411" s="163">
        <v>1966</v>
      </c>
      <c r="E411" s="163"/>
      <c r="F411" s="168" t="s">
        <v>270</v>
      </c>
      <c r="G411" s="163">
        <v>2</v>
      </c>
      <c r="H411" s="163">
        <v>2</v>
      </c>
      <c r="I411" s="167">
        <v>613</v>
      </c>
      <c r="J411" s="167">
        <v>613</v>
      </c>
      <c r="K411" s="167">
        <v>571.70000000000005</v>
      </c>
      <c r="L411" s="165">
        <v>33</v>
      </c>
      <c r="M411" s="163" t="s">
        <v>268</v>
      </c>
      <c r="N411" s="163" t="s">
        <v>269</v>
      </c>
      <c r="O411" s="166" t="s">
        <v>271</v>
      </c>
      <c r="P411" s="167">
        <v>3182125.22</v>
      </c>
      <c r="Q411" s="167">
        <v>0</v>
      </c>
      <c r="R411" s="167">
        <v>0</v>
      </c>
      <c r="S411" s="167">
        <f>P411-Q411-R411</f>
        <v>3182125.22</v>
      </c>
      <c r="T411" s="167">
        <f t="shared" si="127"/>
        <v>5191.0688743882547</v>
      </c>
      <c r="U411" s="167">
        <v>6086.2449918433931</v>
      </c>
      <c r="V411" s="149">
        <f>U411-T411</f>
        <v>895.17611745513841</v>
      </c>
      <c r="W411" s="149">
        <f>X411+Y411+Z411+AA411+AB411+AD411+AF411+AH411+AJ411+AL411+AN411+AO411</f>
        <v>6086.2449918433931</v>
      </c>
      <c r="X411" s="149">
        <v>0</v>
      </c>
      <c r="Y411" s="368">
        <v>0</v>
      </c>
      <c r="Z411" s="368">
        <v>0</v>
      </c>
      <c r="AA411" s="368">
        <v>0</v>
      </c>
      <c r="AB411" s="368">
        <v>0</v>
      </c>
      <c r="AC411" s="368">
        <v>0</v>
      </c>
      <c r="AD411" s="368">
        <v>0</v>
      </c>
      <c r="AE411" s="368">
        <v>598</v>
      </c>
      <c r="AF411" s="396">
        <f>6238.91*AE411/I411</f>
        <v>6086.2449918433931</v>
      </c>
      <c r="AG411" s="368">
        <v>0</v>
      </c>
      <c r="AH411" s="396">
        <v>0</v>
      </c>
      <c r="AI411" s="368">
        <v>0</v>
      </c>
      <c r="AJ411" s="396">
        <v>0</v>
      </c>
      <c r="AK411" s="368">
        <v>0</v>
      </c>
      <c r="AL411" s="368">
        <v>0</v>
      </c>
      <c r="AM411" s="368">
        <v>0</v>
      </c>
      <c r="AN411" s="368"/>
      <c r="AO411" s="368">
        <v>0</v>
      </c>
    </row>
    <row r="412" spans="1:41" s="152" customFormat="1" ht="36" customHeight="1" x14ac:dyDescent="0.9">
      <c r="B412" s="382" t="s">
        <v>885</v>
      </c>
      <c r="C412" s="382"/>
      <c r="D412" s="384" t="s">
        <v>903</v>
      </c>
      <c r="E412" s="163" t="s">
        <v>903</v>
      </c>
      <c r="F412" s="384" t="s">
        <v>903</v>
      </c>
      <c r="G412" s="384" t="s">
        <v>903</v>
      </c>
      <c r="H412" s="163" t="s">
        <v>903</v>
      </c>
      <c r="I412" s="386">
        <f>I413</f>
        <v>320</v>
      </c>
      <c r="J412" s="164">
        <f>J413</f>
        <v>311</v>
      </c>
      <c r="K412" s="164">
        <f>K413</f>
        <v>311</v>
      </c>
      <c r="L412" s="165">
        <f>L413</f>
        <v>21</v>
      </c>
      <c r="M412" s="163" t="s">
        <v>903</v>
      </c>
      <c r="N412" s="163" t="s">
        <v>903</v>
      </c>
      <c r="O412" s="166" t="s">
        <v>903</v>
      </c>
      <c r="P412" s="387">
        <v>522383.64</v>
      </c>
      <c r="Q412" s="167">
        <f>Q413</f>
        <v>0</v>
      </c>
      <c r="R412" s="167">
        <f>R413</f>
        <v>0</v>
      </c>
      <c r="S412" s="167">
        <f>S413</f>
        <v>522383.64</v>
      </c>
      <c r="T412" s="387">
        <f t="shared" si="127"/>
        <v>1632.448875</v>
      </c>
      <c r="U412" s="387">
        <f>MAX(U413)</f>
        <v>1632.448875</v>
      </c>
      <c r="V412" s="149">
        <f t="shared" si="131"/>
        <v>0</v>
      </c>
      <c r="W412" s="149"/>
      <c r="X412" s="149"/>
      <c r="Y412" s="368"/>
      <c r="Z412" s="368"/>
      <c r="AA412" s="368"/>
      <c r="AB412" s="368"/>
      <c r="AC412" s="368"/>
      <c r="AD412" s="368"/>
      <c r="AE412" s="368"/>
      <c r="AF412" s="368"/>
      <c r="AG412" s="368"/>
      <c r="AH412" s="368"/>
      <c r="AI412" s="368"/>
      <c r="AJ412" s="368"/>
      <c r="AK412" s="368"/>
      <c r="AL412" s="368"/>
      <c r="AM412" s="368"/>
      <c r="AN412" s="368"/>
      <c r="AO412" s="368"/>
    </row>
    <row r="413" spans="1:41" s="152" customFormat="1" ht="36" customHeight="1" x14ac:dyDescent="0.9">
      <c r="A413" s="152">
        <v>1</v>
      </c>
      <c r="B413" s="90">
        <f>SUBTOTAL(103,$A$16:A413)</f>
        <v>365</v>
      </c>
      <c r="C413" s="89" t="s">
        <v>1251</v>
      </c>
      <c r="D413" s="163">
        <v>1962</v>
      </c>
      <c r="E413" s="163"/>
      <c r="F413" s="168" t="s">
        <v>270</v>
      </c>
      <c r="G413" s="163">
        <v>2</v>
      </c>
      <c r="H413" s="163">
        <v>1</v>
      </c>
      <c r="I413" s="167">
        <v>320</v>
      </c>
      <c r="J413" s="167">
        <v>311</v>
      </c>
      <c r="K413" s="167">
        <v>311</v>
      </c>
      <c r="L413" s="165">
        <v>21</v>
      </c>
      <c r="M413" s="163" t="s">
        <v>268</v>
      </c>
      <c r="N413" s="163" t="s">
        <v>272</v>
      </c>
      <c r="O413" s="166" t="s">
        <v>1322</v>
      </c>
      <c r="P413" s="167">
        <v>522383.64</v>
      </c>
      <c r="Q413" s="167">
        <v>0</v>
      </c>
      <c r="R413" s="167">
        <v>0</v>
      </c>
      <c r="S413" s="167">
        <f>P413-Q413-R413</f>
        <v>522383.64</v>
      </c>
      <c r="T413" s="167">
        <f t="shared" si="127"/>
        <v>1632.448875</v>
      </c>
      <c r="U413" s="167">
        <v>1632.448875</v>
      </c>
      <c r="V413" s="149">
        <f>U413-T413</f>
        <v>0</v>
      </c>
      <c r="W413" s="149">
        <f>T413</f>
        <v>1632.448875</v>
      </c>
      <c r="X413" s="149">
        <v>0</v>
      </c>
      <c r="Y413" s="368">
        <v>0</v>
      </c>
      <c r="Z413" s="368">
        <v>0</v>
      </c>
      <c r="AA413" s="368">
        <v>184.98</v>
      </c>
      <c r="AB413" s="368">
        <v>0</v>
      </c>
      <c r="AC413" s="368">
        <v>0</v>
      </c>
      <c r="AD413" s="368">
        <v>0</v>
      </c>
      <c r="AE413" s="368">
        <v>0</v>
      </c>
      <c r="AF413" s="396">
        <v>0</v>
      </c>
      <c r="AG413" s="368">
        <v>0</v>
      </c>
      <c r="AH413" s="396">
        <v>0</v>
      </c>
      <c r="AI413" s="368">
        <v>0</v>
      </c>
      <c r="AJ413" s="396">
        <v>0</v>
      </c>
      <c r="AK413" s="368">
        <v>0</v>
      </c>
      <c r="AL413" s="368">
        <v>0</v>
      </c>
      <c r="AM413" s="368">
        <v>0</v>
      </c>
      <c r="AN413" s="368"/>
      <c r="AO413" s="368">
        <v>0</v>
      </c>
    </row>
    <row r="414" spans="1:41" s="152" customFormat="1" ht="36" customHeight="1" x14ac:dyDescent="0.9">
      <c r="B414" s="382" t="s">
        <v>853</v>
      </c>
      <c r="C414" s="388"/>
      <c r="D414" s="384" t="s">
        <v>903</v>
      </c>
      <c r="E414" s="163" t="s">
        <v>903</v>
      </c>
      <c r="F414" s="384" t="s">
        <v>903</v>
      </c>
      <c r="G414" s="384" t="s">
        <v>903</v>
      </c>
      <c r="H414" s="163" t="s">
        <v>903</v>
      </c>
      <c r="I414" s="386">
        <f>SUM(I415:I418)</f>
        <v>6014.58</v>
      </c>
      <c r="J414" s="164">
        <f t="shared" ref="J414:L414" si="132">SUM(J415:J418)</f>
        <v>5452.05</v>
      </c>
      <c r="K414" s="164">
        <f t="shared" si="132"/>
        <v>4966.9500000000007</v>
      </c>
      <c r="L414" s="165">
        <f t="shared" si="132"/>
        <v>225</v>
      </c>
      <c r="M414" s="163" t="s">
        <v>903</v>
      </c>
      <c r="N414" s="163" t="s">
        <v>903</v>
      </c>
      <c r="O414" s="166" t="s">
        <v>903</v>
      </c>
      <c r="P414" s="386">
        <v>18167495.66</v>
      </c>
      <c r="Q414" s="164">
        <f t="shared" ref="Q414:S414" si="133">SUM(Q415:Q418)</f>
        <v>0</v>
      </c>
      <c r="R414" s="164">
        <f t="shared" si="133"/>
        <v>0</v>
      </c>
      <c r="S414" s="164">
        <f t="shared" si="133"/>
        <v>18167495.66</v>
      </c>
      <c r="T414" s="387">
        <f t="shared" si="127"/>
        <v>3020.5759437899237</v>
      </c>
      <c r="U414" s="387">
        <f>MAX(U415:U418)</f>
        <v>5514.7225244899873</v>
      </c>
      <c r="V414" s="149">
        <f t="shared" si="131"/>
        <v>2494.1465807000636</v>
      </c>
      <c r="W414" s="149"/>
      <c r="X414" s="149"/>
      <c r="Y414" s="368"/>
      <c r="Z414" s="368"/>
      <c r="AA414" s="368"/>
      <c r="AB414" s="368"/>
      <c r="AC414" s="368"/>
      <c r="AD414" s="368"/>
      <c r="AE414" s="368"/>
      <c r="AF414" s="368"/>
      <c r="AG414" s="368"/>
      <c r="AH414" s="368"/>
      <c r="AI414" s="368"/>
      <c r="AJ414" s="368"/>
      <c r="AK414" s="368"/>
      <c r="AL414" s="368"/>
      <c r="AM414" s="368"/>
      <c r="AN414" s="368"/>
      <c r="AO414" s="368"/>
    </row>
    <row r="415" spans="1:41" s="152" customFormat="1" ht="36" customHeight="1" x14ac:dyDescent="0.9">
      <c r="A415" s="152">
        <v>1</v>
      </c>
      <c r="B415" s="90">
        <f>SUBTOTAL(103,$A$16:A415)</f>
        <v>366</v>
      </c>
      <c r="C415" s="89" t="s">
        <v>107</v>
      </c>
      <c r="D415" s="163">
        <v>1961</v>
      </c>
      <c r="E415" s="163"/>
      <c r="F415" s="168" t="s">
        <v>270</v>
      </c>
      <c r="G415" s="163">
        <v>3</v>
      </c>
      <c r="H415" s="163">
        <v>2</v>
      </c>
      <c r="I415" s="167">
        <v>1048.3800000000001</v>
      </c>
      <c r="J415" s="167">
        <v>975.35</v>
      </c>
      <c r="K415" s="167">
        <v>930.75</v>
      </c>
      <c r="L415" s="165">
        <v>50</v>
      </c>
      <c r="M415" s="163" t="s">
        <v>268</v>
      </c>
      <c r="N415" s="163" t="s">
        <v>272</v>
      </c>
      <c r="O415" s="166" t="s">
        <v>1098</v>
      </c>
      <c r="P415" s="167">
        <v>1883595.76</v>
      </c>
      <c r="Q415" s="167">
        <v>0</v>
      </c>
      <c r="R415" s="167">
        <v>0</v>
      </c>
      <c r="S415" s="167">
        <f>P415-Q415-R415</f>
        <v>1883595.76</v>
      </c>
      <c r="T415" s="167">
        <f t="shared" si="127"/>
        <v>1796.6727331692705</v>
      </c>
      <c r="U415" s="167">
        <v>3269.0631548675096</v>
      </c>
      <c r="V415" s="149">
        <f t="shared" si="131"/>
        <v>1472.3904216982392</v>
      </c>
      <c r="W415" s="149">
        <f t="shared" ref="W415:W417" si="134">X415+Y415+Z415+AA415+AB415+AD415+AF415+AH415+AJ415+AL415+AN415+AO415</f>
        <v>3269.0631548675096</v>
      </c>
      <c r="X415" s="149">
        <v>0</v>
      </c>
      <c r="Y415" s="368">
        <v>0</v>
      </c>
      <c r="Z415" s="368">
        <v>0</v>
      </c>
      <c r="AA415" s="368">
        <v>0</v>
      </c>
      <c r="AB415" s="368">
        <v>0</v>
      </c>
      <c r="AC415" s="368">
        <v>0</v>
      </c>
      <c r="AD415" s="368">
        <v>0</v>
      </c>
      <c r="AE415" s="368">
        <v>549.33000000000004</v>
      </c>
      <c r="AF415" s="396">
        <f t="shared" ref="AF415:AF417" si="135">6238.91*AE415/I415</f>
        <v>3269.0631548675096</v>
      </c>
      <c r="AG415" s="368">
        <v>0</v>
      </c>
      <c r="AH415" s="396">
        <v>0</v>
      </c>
      <c r="AI415" s="368">
        <v>0</v>
      </c>
      <c r="AJ415" s="396">
        <v>0</v>
      </c>
      <c r="AK415" s="368">
        <v>0</v>
      </c>
      <c r="AL415" s="368">
        <v>0</v>
      </c>
      <c r="AM415" s="368">
        <v>0</v>
      </c>
      <c r="AN415" s="368"/>
      <c r="AO415" s="368">
        <v>0</v>
      </c>
    </row>
    <row r="416" spans="1:41" s="152" customFormat="1" ht="36" customHeight="1" x14ac:dyDescent="0.9">
      <c r="A416" s="152">
        <v>1</v>
      </c>
      <c r="B416" s="90">
        <f>SUBTOTAL(103,$A$16:A416)</f>
        <v>367</v>
      </c>
      <c r="C416" s="89" t="s">
        <v>109</v>
      </c>
      <c r="D416" s="163">
        <v>1977</v>
      </c>
      <c r="E416" s="163"/>
      <c r="F416" s="168" t="s">
        <v>270</v>
      </c>
      <c r="G416" s="163">
        <v>2</v>
      </c>
      <c r="H416" s="163">
        <v>3</v>
      </c>
      <c r="I416" s="167">
        <v>1063.7</v>
      </c>
      <c r="J416" s="167">
        <v>983.3</v>
      </c>
      <c r="K416" s="167">
        <v>887.9</v>
      </c>
      <c r="L416" s="165">
        <v>32</v>
      </c>
      <c r="M416" s="163" t="s">
        <v>268</v>
      </c>
      <c r="N416" s="163" t="s">
        <v>269</v>
      </c>
      <c r="O416" s="166" t="s">
        <v>271</v>
      </c>
      <c r="P416" s="167">
        <v>3584544.9999999995</v>
      </c>
      <c r="Q416" s="167">
        <v>0</v>
      </c>
      <c r="R416" s="167">
        <v>0</v>
      </c>
      <c r="S416" s="167">
        <f>P416-Q416-R416</f>
        <v>3584544.9999999995</v>
      </c>
      <c r="T416" s="167">
        <f t="shared" si="127"/>
        <v>3369.8834257779445</v>
      </c>
      <c r="U416" s="167">
        <v>5514.7225244899873</v>
      </c>
      <c r="V416" s="149">
        <f t="shared" si="131"/>
        <v>2144.8390987120429</v>
      </c>
      <c r="W416" s="149">
        <f t="shared" si="134"/>
        <v>5514.7225244899873</v>
      </c>
      <c r="X416" s="149">
        <v>0</v>
      </c>
      <c r="Y416" s="368">
        <v>0</v>
      </c>
      <c r="Z416" s="368">
        <v>0</v>
      </c>
      <c r="AA416" s="368">
        <v>0</v>
      </c>
      <c r="AB416" s="368">
        <v>0</v>
      </c>
      <c r="AC416" s="368">
        <v>0</v>
      </c>
      <c r="AD416" s="368">
        <v>0</v>
      </c>
      <c r="AE416" s="368">
        <v>940.23</v>
      </c>
      <c r="AF416" s="396">
        <f t="shared" si="135"/>
        <v>5514.7225244899873</v>
      </c>
      <c r="AG416" s="368">
        <v>0</v>
      </c>
      <c r="AH416" s="396">
        <v>0</v>
      </c>
      <c r="AI416" s="368">
        <v>0</v>
      </c>
      <c r="AJ416" s="396">
        <v>0</v>
      </c>
      <c r="AK416" s="368">
        <v>0</v>
      </c>
      <c r="AL416" s="368">
        <v>0</v>
      </c>
      <c r="AM416" s="368">
        <v>0</v>
      </c>
      <c r="AN416" s="368"/>
      <c r="AO416" s="368">
        <v>0</v>
      </c>
    </row>
    <row r="417" spans="1:41" s="152" customFormat="1" ht="36" customHeight="1" x14ac:dyDescent="0.9">
      <c r="A417" s="152">
        <v>1</v>
      </c>
      <c r="B417" s="90">
        <f>SUBTOTAL(103,$A$16:A417)</f>
        <v>368</v>
      </c>
      <c r="C417" s="89" t="s">
        <v>1252</v>
      </c>
      <c r="D417" s="163">
        <v>1934</v>
      </c>
      <c r="E417" s="163"/>
      <c r="F417" s="168" t="s">
        <v>270</v>
      </c>
      <c r="G417" s="163">
        <v>2</v>
      </c>
      <c r="H417" s="163">
        <v>3</v>
      </c>
      <c r="I417" s="167">
        <v>987.5</v>
      </c>
      <c r="J417" s="167">
        <v>874</v>
      </c>
      <c r="K417" s="167">
        <v>837.7</v>
      </c>
      <c r="L417" s="165">
        <v>26</v>
      </c>
      <c r="M417" s="163" t="s">
        <v>268</v>
      </c>
      <c r="N417" s="163" t="s">
        <v>269</v>
      </c>
      <c r="O417" s="166" t="s">
        <v>271</v>
      </c>
      <c r="P417" s="167">
        <v>3267548.94</v>
      </c>
      <c r="Q417" s="167">
        <v>0</v>
      </c>
      <c r="R417" s="167">
        <v>0</v>
      </c>
      <c r="S417" s="167">
        <f>P417-Q417-R417</f>
        <v>3267548.94</v>
      </c>
      <c r="T417" s="167">
        <f t="shared" si="127"/>
        <v>3308.9103189873417</v>
      </c>
      <c r="U417" s="167">
        <v>5101.0591736708857</v>
      </c>
      <c r="V417" s="149">
        <f t="shared" si="131"/>
        <v>1792.148854683544</v>
      </c>
      <c r="W417" s="149">
        <f t="shared" si="134"/>
        <v>5101.0591736708857</v>
      </c>
      <c r="X417" s="149">
        <v>0</v>
      </c>
      <c r="Y417" s="368">
        <v>0</v>
      </c>
      <c r="Z417" s="368">
        <v>0</v>
      </c>
      <c r="AA417" s="368">
        <v>0</v>
      </c>
      <c r="AB417" s="368">
        <v>0</v>
      </c>
      <c r="AC417" s="368">
        <v>0</v>
      </c>
      <c r="AD417" s="368">
        <v>0</v>
      </c>
      <c r="AE417" s="368">
        <v>807.4</v>
      </c>
      <c r="AF417" s="396">
        <f t="shared" si="135"/>
        <v>5101.0591736708857</v>
      </c>
      <c r="AG417" s="368">
        <v>0</v>
      </c>
      <c r="AH417" s="396">
        <v>0</v>
      </c>
      <c r="AI417" s="368">
        <v>0</v>
      </c>
      <c r="AJ417" s="396">
        <v>0</v>
      </c>
      <c r="AK417" s="368">
        <v>0</v>
      </c>
      <c r="AL417" s="368">
        <v>0</v>
      </c>
      <c r="AM417" s="368">
        <v>0</v>
      </c>
      <c r="AN417" s="368"/>
      <c r="AO417" s="368">
        <v>0</v>
      </c>
    </row>
    <row r="418" spans="1:41" s="152" customFormat="1" ht="36" customHeight="1" x14ac:dyDescent="0.9">
      <c r="A418" s="152">
        <v>1</v>
      </c>
      <c r="B418" s="90">
        <f>SUBTOTAL(103,$A$16:A418)</f>
        <v>369</v>
      </c>
      <c r="C418" s="89" t="s">
        <v>1253</v>
      </c>
      <c r="D418" s="163">
        <v>1985</v>
      </c>
      <c r="E418" s="163"/>
      <c r="F418" s="168" t="s">
        <v>270</v>
      </c>
      <c r="G418" s="163">
        <v>5</v>
      </c>
      <c r="H418" s="163">
        <v>4</v>
      </c>
      <c r="I418" s="167">
        <v>2915</v>
      </c>
      <c r="J418" s="167">
        <v>2619.4</v>
      </c>
      <c r="K418" s="167">
        <v>2310.6</v>
      </c>
      <c r="L418" s="165">
        <v>117</v>
      </c>
      <c r="M418" s="163" t="s">
        <v>268</v>
      </c>
      <c r="N418" s="163" t="s">
        <v>272</v>
      </c>
      <c r="O418" s="166" t="s">
        <v>1355</v>
      </c>
      <c r="P418" s="167">
        <v>9431805.9600000009</v>
      </c>
      <c r="Q418" s="167">
        <v>0</v>
      </c>
      <c r="R418" s="167">
        <v>0</v>
      </c>
      <c r="S418" s="167">
        <f>P418-Q418-R418</f>
        <v>9431805.9600000009</v>
      </c>
      <c r="T418" s="167">
        <f t="shared" si="127"/>
        <v>3235.6109639794172</v>
      </c>
      <c r="U418" s="167">
        <v>3235.6109639794172</v>
      </c>
      <c r="V418" s="149">
        <f t="shared" si="131"/>
        <v>0</v>
      </c>
      <c r="W418" s="149">
        <f>T418</f>
        <v>3235.6109639794172</v>
      </c>
      <c r="X418" s="149">
        <v>0</v>
      </c>
      <c r="Y418" s="368">
        <v>0</v>
      </c>
      <c r="Z418" s="368">
        <v>0</v>
      </c>
      <c r="AA418" s="368">
        <v>0</v>
      </c>
      <c r="AB418" s="368">
        <v>0</v>
      </c>
      <c r="AC418" s="368">
        <v>0</v>
      </c>
      <c r="AD418" s="368">
        <v>0</v>
      </c>
      <c r="AE418" s="368">
        <v>0</v>
      </c>
      <c r="AF418" s="396">
        <v>0</v>
      </c>
      <c r="AG418" s="368">
        <v>0</v>
      </c>
      <c r="AH418" s="396">
        <v>0</v>
      </c>
      <c r="AI418" s="368">
        <v>0</v>
      </c>
      <c r="AJ418" s="396">
        <v>0</v>
      </c>
      <c r="AK418" s="368">
        <v>0</v>
      </c>
      <c r="AL418" s="368">
        <v>0</v>
      </c>
      <c r="AM418" s="368">
        <v>763.84</v>
      </c>
      <c r="AN418" s="368">
        <f>6984.52*AM418/I418</f>
        <v>1830.2078067924531</v>
      </c>
      <c r="AO418" s="368">
        <v>0</v>
      </c>
    </row>
    <row r="419" spans="1:41" s="152" customFormat="1" ht="36" customHeight="1" x14ac:dyDescent="0.9">
      <c r="B419" s="382" t="s">
        <v>854</v>
      </c>
      <c r="C419" s="388"/>
      <c r="D419" s="384" t="s">
        <v>903</v>
      </c>
      <c r="E419" s="163" t="s">
        <v>903</v>
      </c>
      <c r="F419" s="384" t="s">
        <v>903</v>
      </c>
      <c r="G419" s="384" t="s">
        <v>903</v>
      </c>
      <c r="H419" s="163" t="s">
        <v>903</v>
      </c>
      <c r="I419" s="386">
        <f>I420</f>
        <v>2767.4</v>
      </c>
      <c r="J419" s="164">
        <f>J420</f>
        <v>2688.6</v>
      </c>
      <c r="K419" s="164">
        <f>K420</f>
        <v>1642.8</v>
      </c>
      <c r="L419" s="165">
        <f>L420</f>
        <v>148</v>
      </c>
      <c r="M419" s="163" t="s">
        <v>903</v>
      </c>
      <c r="N419" s="163" t="s">
        <v>903</v>
      </c>
      <c r="O419" s="166" t="s">
        <v>903</v>
      </c>
      <c r="P419" s="387">
        <v>5141890.1999999993</v>
      </c>
      <c r="Q419" s="167">
        <f>Q420</f>
        <v>0</v>
      </c>
      <c r="R419" s="167">
        <f>R420</f>
        <v>3768516.65</v>
      </c>
      <c r="S419" s="167">
        <f>S420</f>
        <v>1373373.5499999993</v>
      </c>
      <c r="T419" s="387">
        <f t="shared" si="127"/>
        <v>1858.0220423502201</v>
      </c>
      <c r="U419" s="387">
        <f>MAX(U420)</f>
        <v>2502.4174676591742</v>
      </c>
      <c r="V419" s="149">
        <f t="shared" si="131"/>
        <v>644.39542530895415</v>
      </c>
      <c r="W419" s="149"/>
      <c r="X419" s="149"/>
      <c r="Y419" s="368"/>
      <c r="Z419" s="368"/>
      <c r="AA419" s="368"/>
      <c r="AB419" s="368"/>
      <c r="AC419" s="368"/>
      <c r="AD419" s="368"/>
      <c r="AE419" s="368"/>
      <c r="AF419" s="368"/>
      <c r="AG419" s="368"/>
      <c r="AH419" s="368"/>
      <c r="AI419" s="368"/>
      <c r="AJ419" s="368"/>
      <c r="AK419" s="368"/>
      <c r="AL419" s="368"/>
      <c r="AM419" s="368"/>
      <c r="AN419" s="368"/>
      <c r="AO419" s="368"/>
    </row>
    <row r="420" spans="1:41" s="152" customFormat="1" ht="36" customHeight="1" x14ac:dyDescent="0.9">
      <c r="A420" s="152">
        <v>1</v>
      </c>
      <c r="B420" s="90">
        <f>SUBTOTAL(103,$A$16:A420)</f>
        <v>370</v>
      </c>
      <c r="C420" s="89" t="s">
        <v>40</v>
      </c>
      <c r="D420" s="163">
        <v>1979</v>
      </c>
      <c r="E420" s="163"/>
      <c r="F420" s="168" t="s">
        <v>270</v>
      </c>
      <c r="G420" s="163">
        <v>5</v>
      </c>
      <c r="H420" s="163">
        <v>4</v>
      </c>
      <c r="I420" s="167">
        <v>2767.4</v>
      </c>
      <c r="J420" s="167">
        <v>2688.6</v>
      </c>
      <c r="K420" s="167">
        <v>1642.8</v>
      </c>
      <c r="L420" s="165">
        <v>148</v>
      </c>
      <c r="M420" s="163" t="s">
        <v>268</v>
      </c>
      <c r="N420" s="163" t="s">
        <v>269</v>
      </c>
      <c r="O420" s="166" t="s">
        <v>271</v>
      </c>
      <c r="P420" s="167">
        <v>5141890.1999999993</v>
      </c>
      <c r="Q420" s="167">
        <v>0</v>
      </c>
      <c r="R420" s="167">
        <v>3768516.65</v>
      </c>
      <c r="S420" s="167">
        <f>P420-Q420-R420</f>
        <v>1373373.5499999993</v>
      </c>
      <c r="T420" s="167">
        <f t="shared" si="127"/>
        <v>1858.0220423502201</v>
      </c>
      <c r="U420" s="167">
        <v>2502.4174676591742</v>
      </c>
      <c r="V420" s="149">
        <f>U420-T420</f>
        <v>644.39542530895415</v>
      </c>
      <c r="W420" s="149">
        <f>X420+Y420+Z420+AA420+AB420+AD420+AF420+AH420+AJ420+AL420+AN420+AO420</f>
        <v>2502.4174676591742</v>
      </c>
      <c r="X420" s="149">
        <v>0</v>
      </c>
      <c r="Y420" s="368">
        <v>0</v>
      </c>
      <c r="Z420" s="368">
        <v>0</v>
      </c>
      <c r="AA420" s="368">
        <v>0</v>
      </c>
      <c r="AB420" s="368">
        <v>0</v>
      </c>
      <c r="AC420" s="368">
        <v>0</v>
      </c>
      <c r="AD420" s="368">
        <v>0</v>
      </c>
      <c r="AE420" s="368">
        <v>1110</v>
      </c>
      <c r="AF420" s="396">
        <f>6238.91*AE420/I420</f>
        <v>2502.4174676591742</v>
      </c>
      <c r="AG420" s="368">
        <v>0</v>
      </c>
      <c r="AH420" s="396">
        <v>0</v>
      </c>
      <c r="AI420" s="368">
        <v>0</v>
      </c>
      <c r="AJ420" s="396">
        <v>0</v>
      </c>
      <c r="AK420" s="368">
        <v>0</v>
      </c>
      <c r="AL420" s="368">
        <v>0</v>
      </c>
      <c r="AM420" s="368">
        <v>0</v>
      </c>
      <c r="AN420" s="368"/>
      <c r="AO420" s="368">
        <v>0</v>
      </c>
    </row>
    <row r="421" spans="1:41" s="152" customFormat="1" ht="36" customHeight="1" x14ac:dyDescent="0.9">
      <c r="B421" s="382" t="s">
        <v>855</v>
      </c>
      <c r="C421" s="382"/>
      <c r="D421" s="384" t="s">
        <v>903</v>
      </c>
      <c r="E421" s="163" t="s">
        <v>903</v>
      </c>
      <c r="F421" s="384" t="s">
        <v>903</v>
      </c>
      <c r="G421" s="384" t="s">
        <v>903</v>
      </c>
      <c r="H421" s="163" t="s">
        <v>903</v>
      </c>
      <c r="I421" s="386">
        <f>SUM(I422:I424)</f>
        <v>15806.099999999999</v>
      </c>
      <c r="J421" s="164">
        <f>SUM(J422:J424)</f>
        <v>11772.3</v>
      </c>
      <c r="K421" s="164">
        <f>SUM(K422:K424)</f>
        <v>7396.09</v>
      </c>
      <c r="L421" s="165">
        <f>SUM(L422:L424)</f>
        <v>544</v>
      </c>
      <c r="M421" s="163" t="s">
        <v>903</v>
      </c>
      <c r="N421" s="163" t="s">
        <v>903</v>
      </c>
      <c r="O421" s="166" t="s">
        <v>903</v>
      </c>
      <c r="P421" s="386">
        <v>15983757.409999998</v>
      </c>
      <c r="Q421" s="164">
        <f>SUM(Q422:Q424)</f>
        <v>0</v>
      </c>
      <c r="R421" s="164">
        <f>SUM(R422:R424)</f>
        <v>0</v>
      </c>
      <c r="S421" s="164">
        <f>SUM(S422:S424)</f>
        <v>15983757.409999998</v>
      </c>
      <c r="T421" s="387">
        <f t="shared" si="127"/>
        <v>1011.2398004567857</v>
      </c>
      <c r="U421" s="387">
        <f>MAX(U422:U424)</f>
        <v>3791.6299999999997</v>
      </c>
      <c r="V421" s="149">
        <f t="shared" si="131"/>
        <v>2780.3901995432138</v>
      </c>
      <c r="W421" s="149"/>
      <c r="X421" s="149"/>
      <c r="Y421" s="368"/>
      <c r="Z421" s="368"/>
      <c r="AA421" s="368"/>
      <c r="AB421" s="368"/>
      <c r="AC421" s="368"/>
      <c r="AD421" s="368"/>
      <c r="AE421" s="368"/>
      <c r="AF421" s="368"/>
      <c r="AG421" s="368"/>
      <c r="AH421" s="368"/>
      <c r="AI421" s="368"/>
      <c r="AJ421" s="368"/>
      <c r="AK421" s="368"/>
      <c r="AL421" s="368"/>
      <c r="AM421" s="368"/>
      <c r="AN421" s="368"/>
      <c r="AO421" s="368"/>
    </row>
    <row r="422" spans="1:41" s="152" customFormat="1" ht="36" customHeight="1" x14ac:dyDescent="0.9">
      <c r="A422" s="152">
        <v>1</v>
      </c>
      <c r="B422" s="90">
        <f>SUBTOTAL(103,$A$16:A422)</f>
        <v>371</v>
      </c>
      <c r="C422" s="89" t="s">
        <v>63</v>
      </c>
      <c r="D422" s="163">
        <v>1976</v>
      </c>
      <c r="E422" s="163"/>
      <c r="F422" s="168" t="s">
        <v>270</v>
      </c>
      <c r="G422" s="163">
        <v>5</v>
      </c>
      <c r="H422" s="163">
        <v>6</v>
      </c>
      <c r="I422" s="167">
        <v>4783.1499999999996</v>
      </c>
      <c r="J422" s="167">
        <v>4417.7</v>
      </c>
      <c r="K422" s="167">
        <v>3106.56</v>
      </c>
      <c r="L422" s="165">
        <v>188</v>
      </c>
      <c r="M422" s="163" t="s">
        <v>268</v>
      </c>
      <c r="N422" s="163" t="s">
        <v>272</v>
      </c>
      <c r="O422" s="166" t="s">
        <v>273</v>
      </c>
      <c r="P422" s="167">
        <v>6351854.879999999</v>
      </c>
      <c r="Q422" s="167">
        <v>0</v>
      </c>
      <c r="R422" s="167">
        <v>0</v>
      </c>
      <c r="S422" s="167">
        <f>P422-Q422-R422</f>
        <v>6351854.879999999</v>
      </c>
      <c r="T422" s="167">
        <f t="shared" si="127"/>
        <v>1327.9648098010723</v>
      </c>
      <c r="U422" s="167">
        <v>1852.1794633243783</v>
      </c>
      <c r="V422" s="149">
        <f t="shared" si="131"/>
        <v>524.21465352330597</v>
      </c>
      <c r="W422" s="149">
        <f t="shared" ref="W422:W424" si="136">X422+Y422+Z422+AA422+AB422+AD422+AF422+AH422+AJ422+AL422+AN422+AO422</f>
        <v>1852.1794633243783</v>
      </c>
      <c r="X422" s="149">
        <v>0</v>
      </c>
      <c r="Y422" s="368">
        <v>0</v>
      </c>
      <c r="Z422" s="368">
        <v>0</v>
      </c>
      <c r="AA422" s="368">
        <v>0</v>
      </c>
      <c r="AB422" s="368">
        <v>0</v>
      </c>
      <c r="AC422" s="368">
        <v>0</v>
      </c>
      <c r="AD422" s="368">
        <v>0</v>
      </c>
      <c r="AE422" s="368">
        <v>1420</v>
      </c>
      <c r="AF422" s="396">
        <f>6238.91*AE422/I422</f>
        <v>1852.1794633243783</v>
      </c>
      <c r="AG422" s="368">
        <v>0</v>
      </c>
      <c r="AH422" s="396">
        <v>0</v>
      </c>
      <c r="AI422" s="368">
        <v>0</v>
      </c>
      <c r="AJ422" s="396">
        <v>0</v>
      </c>
      <c r="AK422" s="368">
        <v>0</v>
      </c>
      <c r="AL422" s="368">
        <v>0</v>
      </c>
      <c r="AM422" s="368">
        <v>0</v>
      </c>
      <c r="AN422" s="368"/>
      <c r="AO422" s="368">
        <v>0</v>
      </c>
    </row>
    <row r="423" spans="1:41" s="152" customFormat="1" ht="36" customHeight="1" x14ac:dyDescent="0.9">
      <c r="A423" s="152">
        <v>1</v>
      </c>
      <c r="B423" s="90">
        <f>SUBTOTAL(103,$A$16:A423)</f>
        <v>372</v>
      </c>
      <c r="C423" s="89" t="s">
        <v>1267</v>
      </c>
      <c r="D423" s="163">
        <v>1969</v>
      </c>
      <c r="E423" s="163"/>
      <c r="F423" s="168" t="s">
        <v>270</v>
      </c>
      <c r="G423" s="163">
        <v>5</v>
      </c>
      <c r="H423" s="163">
        <v>6</v>
      </c>
      <c r="I423" s="167">
        <v>3852.2</v>
      </c>
      <c r="J423" s="167">
        <v>2261.6999999999998</v>
      </c>
      <c r="K423" s="167">
        <v>1274.48</v>
      </c>
      <c r="L423" s="165">
        <v>143</v>
      </c>
      <c r="M423" s="163" t="s">
        <v>268</v>
      </c>
      <c r="N423" s="163" t="s">
        <v>272</v>
      </c>
      <c r="O423" s="166" t="s">
        <v>1318</v>
      </c>
      <c r="P423" s="167">
        <v>3789390.1299999994</v>
      </c>
      <c r="Q423" s="167">
        <v>0</v>
      </c>
      <c r="R423" s="167">
        <v>0</v>
      </c>
      <c r="S423" s="167">
        <f>P423-Q423-R423</f>
        <v>3789390.1299999994</v>
      </c>
      <c r="T423" s="167">
        <f t="shared" si="127"/>
        <v>983.69506515757223</v>
      </c>
      <c r="U423" s="167">
        <v>3791.6299999999997</v>
      </c>
      <c r="V423" s="149">
        <f t="shared" si="131"/>
        <v>2807.9349348424275</v>
      </c>
      <c r="W423" s="149">
        <f t="shared" si="136"/>
        <v>3791.6299999999997</v>
      </c>
      <c r="X423" s="149">
        <v>101.55</v>
      </c>
      <c r="Y423" s="368">
        <v>245.44</v>
      </c>
      <c r="Z423" s="368">
        <v>3259.66</v>
      </c>
      <c r="AA423" s="368">
        <v>184.98</v>
      </c>
      <c r="AB423" s="368">
        <v>0</v>
      </c>
      <c r="AC423" s="368">
        <v>0</v>
      </c>
      <c r="AD423" s="368">
        <v>0</v>
      </c>
      <c r="AE423" s="368">
        <v>0</v>
      </c>
      <c r="AF423" s="396">
        <v>0</v>
      </c>
      <c r="AG423" s="368">
        <v>0</v>
      </c>
      <c r="AH423" s="396">
        <v>0</v>
      </c>
      <c r="AI423" s="368">
        <v>0</v>
      </c>
      <c r="AJ423" s="396">
        <v>0</v>
      </c>
      <c r="AK423" s="368">
        <v>0</v>
      </c>
      <c r="AL423" s="368">
        <v>0</v>
      </c>
      <c r="AM423" s="368">
        <v>0</v>
      </c>
      <c r="AN423" s="368"/>
      <c r="AO423" s="368">
        <v>0</v>
      </c>
    </row>
    <row r="424" spans="1:41" s="152" customFormat="1" ht="36" customHeight="1" x14ac:dyDescent="0.9">
      <c r="A424" s="152">
        <v>1</v>
      </c>
      <c r="B424" s="90">
        <f>SUBTOTAL(103,$A$16:A424)</f>
        <v>373</v>
      </c>
      <c r="C424" s="89" t="s">
        <v>52</v>
      </c>
      <c r="D424" s="163">
        <v>1981</v>
      </c>
      <c r="E424" s="163"/>
      <c r="F424" s="168" t="s">
        <v>270</v>
      </c>
      <c r="G424" s="163">
        <v>5</v>
      </c>
      <c r="H424" s="163">
        <v>8</v>
      </c>
      <c r="I424" s="167">
        <v>7170.75</v>
      </c>
      <c r="J424" s="167">
        <v>5092.8999999999996</v>
      </c>
      <c r="K424" s="167">
        <v>3015.05</v>
      </c>
      <c r="L424" s="165">
        <v>213</v>
      </c>
      <c r="M424" s="163" t="s">
        <v>268</v>
      </c>
      <c r="N424" s="163" t="s">
        <v>272</v>
      </c>
      <c r="O424" s="166" t="s">
        <v>273</v>
      </c>
      <c r="P424" s="167">
        <v>5842512.4000000004</v>
      </c>
      <c r="Q424" s="167">
        <v>0</v>
      </c>
      <c r="R424" s="167">
        <v>0</v>
      </c>
      <c r="S424" s="167">
        <f>P424-R424-Q424</f>
        <v>5842512.4000000004</v>
      </c>
      <c r="T424" s="167">
        <f t="shared" si="127"/>
        <v>814.7700589199178</v>
      </c>
      <c r="U424" s="167">
        <v>1184.137853083708</v>
      </c>
      <c r="V424" s="149">
        <f t="shared" si="131"/>
        <v>369.36779416379022</v>
      </c>
      <c r="W424" s="149">
        <f t="shared" si="136"/>
        <v>1184.137853083708</v>
      </c>
      <c r="X424" s="149">
        <v>0</v>
      </c>
      <c r="Y424" s="368">
        <v>0</v>
      </c>
      <c r="Z424" s="368">
        <v>0</v>
      </c>
      <c r="AA424" s="368">
        <v>0</v>
      </c>
      <c r="AB424" s="368">
        <v>0</v>
      </c>
      <c r="AC424" s="368">
        <v>0</v>
      </c>
      <c r="AD424" s="368">
        <v>0</v>
      </c>
      <c r="AE424" s="368">
        <v>1361</v>
      </c>
      <c r="AF424" s="396">
        <f>6238.91*AE424/I424</f>
        <v>1184.137853083708</v>
      </c>
      <c r="AG424" s="368">
        <v>0</v>
      </c>
      <c r="AH424" s="396">
        <v>0</v>
      </c>
      <c r="AI424" s="368">
        <v>0</v>
      </c>
      <c r="AJ424" s="396">
        <v>0</v>
      </c>
      <c r="AK424" s="368">
        <v>0</v>
      </c>
      <c r="AL424" s="368">
        <v>0</v>
      </c>
      <c r="AM424" s="368">
        <v>0</v>
      </c>
      <c r="AN424" s="368"/>
      <c r="AO424" s="368">
        <v>0</v>
      </c>
    </row>
    <row r="425" spans="1:41" s="152" customFormat="1" ht="36" customHeight="1" x14ac:dyDescent="0.9">
      <c r="B425" s="382" t="s">
        <v>856</v>
      </c>
      <c r="C425" s="382"/>
      <c r="D425" s="384" t="s">
        <v>903</v>
      </c>
      <c r="E425" s="163" t="s">
        <v>903</v>
      </c>
      <c r="F425" s="384" t="s">
        <v>903</v>
      </c>
      <c r="G425" s="384" t="s">
        <v>903</v>
      </c>
      <c r="H425" s="163" t="s">
        <v>903</v>
      </c>
      <c r="I425" s="386">
        <f>SUM(I426:I432)</f>
        <v>21187.5</v>
      </c>
      <c r="J425" s="164">
        <f>SUM(J426:J432)</f>
        <v>16500.03</v>
      </c>
      <c r="K425" s="164">
        <f>SUM(K426:K432)</f>
        <v>14836.630000000001</v>
      </c>
      <c r="L425" s="165">
        <f>SUM(L426:L432)</f>
        <v>986</v>
      </c>
      <c r="M425" s="163" t="s">
        <v>903</v>
      </c>
      <c r="N425" s="163" t="s">
        <v>903</v>
      </c>
      <c r="O425" s="166" t="s">
        <v>903</v>
      </c>
      <c r="P425" s="386">
        <v>33530692.979999997</v>
      </c>
      <c r="Q425" s="164">
        <f>SUM(Q426:Q432)</f>
        <v>0</v>
      </c>
      <c r="R425" s="164">
        <f>SUM(R426:R432)</f>
        <v>0</v>
      </c>
      <c r="S425" s="164">
        <f>SUM(S426:S432)</f>
        <v>33530692.979999997</v>
      </c>
      <c r="T425" s="387">
        <f t="shared" si="127"/>
        <v>1582.5695801769909</v>
      </c>
      <c r="U425" s="387">
        <f>MAX(U426:U432)</f>
        <v>6123.0721713300127</v>
      </c>
      <c r="V425" s="149">
        <f t="shared" si="131"/>
        <v>4540.502591153022</v>
      </c>
      <c r="W425" s="149"/>
      <c r="X425" s="149"/>
      <c r="Y425" s="368"/>
      <c r="Z425" s="368"/>
      <c r="AA425" s="368"/>
      <c r="AB425" s="368"/>
      <c r="AC425" s="368"/>
      <c r="AD425" s="368"/>
      <c r="AE425" s="368"/>
      <c r="AF425" s="368"/>
      <c r="AG425" s="368"/>
      <c r="AH425" s="368"/>
      <c r="AI425" s="368"/>
      <c r="AJ425" s="368"/>
      <c r="AK425" s="368"/>
      <c r="AL425" s="368"/>
      <c r="AM425" s="368"/>
      <c r="AN425" s="368"/>
      <c r="AO425" s="368"/>
    </row>
    <row r="426" spans="1:41" s="152" customFormat="1" ht="36" customHeight="1" x14ac:dyDescent="0.9">
      <c r="A426" s="152">
        <v>1</v>
      </c>
      <c r="B426" s="90">
        <f>SUBTOTAL(103,$A$16:A426)</f>
        <v>374</v>
      </c>
      <c r="C426" s="89" t="s">
        <v>47</v>
      </c>
      <c r="D426" s="163">
        <v>1964</v>
      </c>
      <c r="E426" s="163"/>
      <c r="F426" s="168" t="s">
        <v>270</v>
      </c>
      <c r="G426" s="163">
        <v>3</v>
      </c>
      <c r="H426" s="163">
        <v>2</v>
      </c>
      <c r="I426" s="167">
        <v>961.6</v>
      </c>
      <c r="J426" s="167">
        <v>723.4</v>
      </c>
      <c r="K426" s="167">
        <v>723.4</v>
      </c>
      <c r="L426" s="165">
        <v>26</v>
      </c>
      <c r="M426" s="163" t="s">
        <v>268</v>
      </c>
      <c r="N426" s="163" t="s">
        <v>272</v>
      </c>
      <c r="O426" s="166" t="s">
        <v>274</v>
      </c>
      <c r="P426" s="167">
        <v>3249292.7</v>
      </c>
      <c r="Q426" s="167">
        <v>0</v>
      </c>
      <c r="R426" s="167">
        <v>0</v>
      </c>
      <c r="S426" s="167">
        <f t="shared" ref="S426:S432" si="137">P426-Q426-R426</f>
        <v>3249292.7</v>
      </c>
      <c r="T426" s="167">
        <f t="shared" si="127"/>
        <v>3379.0481489184695</v>
      </c>
      <c r="U426" s="167">
        <v>4066.0616649334447</v>
      </c>
      <c r="V426" s="149">
        <f t="shared" si="131"/>
        <v>687.01351601497527</v>
      </c>
      <c r="W426" s="149">
        <f t="shared" ref="W426:W432" si="138">X426+Y426+Z426+AA426+AB426+AD426+AF426+AH426+AJ426+AL426+AN426+AO426</f>
        <v>4066.0616649334447</v>
      </c>
      <c r="X426" s="149">
        <v>0</v>
      </c>
      <c r="Y426" s="368">
        <v>0</v>
      </c>
      <c r="Z426" s="368">
        <v>0</v>
      </c>
      <c r="AA426" s="368">
        <v>0</v>
      </c>
      <c r="AB426" s="368">
        <v>0</v>
      </c>
      <c r="AC426" s="368">
        <v>0</v>
      </c>
      <c r="AD426" s="368">
        <v>0</v>
      </c>
      <c r="AE426" s="368">
        <v>626.70000000000005</v>
      </c>
      <c r="AF426" s="396">
        <f t="shared" ref="AF426:AF427" si="139">6238.91*AE426/I426</f>
        <v>4066.0616649334447</v>
      </c>
      <c r="AG426" s="368">
        <v>0</v>
      </c>
      <c r="AH426" s="396">
        <v>0</v>
      </c>
      <c r="AI426" s="368">
        <v>0</v>
      </c>
      <c r="AJ426" s="396">
        <v>0</v>
      </c>
      <c r="AK426" s="368">
        <v>0</v>
      </c>
      <c r="AL426" s="368">
        <v>0</v>
      </c>
      <c r="AM426" s="368">
        <v>0</v>
      </c>
      <c r="AN426" s="368"/>
      <c r="AO426" s="368">
        <v>0</v>
      </c>
    </row>
    <row r="427" spans="1:41" s="152" customFormat="1" ht="36" customHeight="1" x14ac:dyDescent="0.9">
      <c r="A427" s="152">
        <v>1</v>
      </c>
      <c r="B427" s="90">
        <f>SUBTOTAL(103,$A$16:A427)</f>
        <v>375</v>
      </c>
      <c r="C427" s="89" t="s">
        <v>809</v>
      </c>
      <c r="D427" s="163">
        <v>1989</v>
      </c>
      <c r="E427" s="163"/>
      <c r="F427" s="168" t="s">
        <v>270</v>
      </c>
      <c r="G427" s="163">
        <v>4</v>
      </c>
      <c r="H427" s="163">
        <v>1</v>
      </c>
      <c r="I427" s="167">
        <v>1871.3</v>
      </c>
      <c r="J427" s="167">
        <v>779.1</v>
      </c>
      <c r="K427" s="167">
        <v>779.1</v>
      </c>
      <c r="L427" s="165">
        <v>88</v>
      </c>
      <c r="M427" s="163" t="s">
        <v>268</v>
      </c>
      <c r="N427" s="163" t="s">
        <v>269</v>
      </c>
      <c r="O427" s="166" t="s">
        <v>271</v>
      </c>
      <c r="P427" s="167">
        <v>3243925.67</v>
      </c>
      <c r="Q427" s="167">
        <v>0</v>
      </c>
      <c r="R427" s="167">
        <v>0</v>
      </c>
      <c r="S427" s="167">
        <f t="shared" si="137"/>
        <v>3243925.67</v>
      </c>
      <c r="T427" s="167">
        <f t="shared" si="127"/>
        <v>1733.5144925987281</v>
      </c>
      <c r="U427" s="167">
        <v>2147.0945545877198</v>
      </c>
      <c r="V427" s="149">
        <f t="shared" si="131"/>
        <v>413.5800619889917</v>
      </c>
      <c r="W427" s="149">
        <f t="shared" si="138"/>
        <v>2147.0945545877198</v>
      </c>
      <c r="X427" s="149">
        <v>0</v>
      </c>
      <c r="Y427" s="368">
        <v>0</v>
      </c>
      <c r="Z427" s="368">
        <v>0</v>
      </c>
      <c r="AA427" s="368">
        <v>0</v>
      </c>
      <c r="AB427" s="368">
        <v>0</v>
      </c>
      <c r="AC427" s="368">
        <v>0</v>
      </c>
      <c r="AD427" s="368">
        <v>0</v>
      </c>
      <c r="AE427" s="368">
        <v>644</v>
      </c>
      <c r="AF427" s="396">
        <f t="shared" si="139"/>
        <v>2147.0945545877198</v>
      </c>
      <c r="AG427" s="368">
        <v>0</v>
      </c>
      <c r="AH427" s="396">
        <v>0</v>
      </c>
      <c r="AI427" s="368">
        <v>0</v>
      </c>
      <c r="AJ427" s="396">
        <v>0</v>
      </c>
      <c r="AK427" s="368">
        <v>0</v>
      </c>
      <c r="AL427" s="368">
        <v>0</v>
      </c>
      <c r="AM427" s="368">
        <v>0</v>
      </c>
      <c r="AN427" s="368"/>
      <c r="AO427" s="368">
        <v>0</v>
      </c>
    </row>
    <row r="428" spans="1:41" s="152" customFormat="1" ht="36" customHeight="1" x14ac:dyDescent="0.9">
      <c r="A428" s="152">
        <v>1</v>
      </c>
      <c r="B428" s="90">
        <f>SUBTOTAL(103,$A$16:A428)</f>
        <v>376</v>
      </c>
      <c r="C428" s="89" t="s">
        <v>1255</v>
      </c>
      <c r="D428" s="163">
        <v>1977</v>
      </c>
      <c r="E428" s="163"/>
      <c r="F428" s="168" t="s">
        <v>270</v>
      </c>
      <c r="G428" s="163">
        <v>5</v>
      </c>
      <c r="H428" s="163">
        <v>4</v>
      </c>
      <c r="I428" s="167">
        <v>3403.05</v>
      </c>
      <c r="J428" s="167">
        <v>3132.12</v>
      </c>
      <c r="K428" s="167">
        <v>3132.12</v>
      </c>
      <c r="L428" s="165">
        <v>182</v>
      </c>
      <c r="M428" s="163" t="s">
        <v>268</v>
      </c>
      <c r="N428" s="163" t="s">
        <v>272</v>
      </c>
      <c r="O428" s="166" t="s">
        <v>1320</v>
      </c>
      <c r="P428" s="167">
        <v>5055398.59</v>
      </c>
      <c r="Q428" s="167">
        <v>0</v>
      </c>
      <c r="R428" s="167">
        <v>0</v>
      </c>
      <c r="S428" s="167">
        <f t="shared" si="137"/>
        <v>5055398.59</v>
      </c>
      <c r="T428" s="167">
        <f t="shared" si="127"/>
        <v>1485.549313116175</v>
      </c>
      <c r="U428" s="167">
        <v>3791.6299999999997</v>
      </c>
      <c r="V428" s="149">
        <f t="shared" si="131"/>
        <v>2306.0806868838245</v>
      </c>
      <c r="W428" s="149">
        <f t="shared" si="138"/>
        <v>3791.6299999999997</v>
      </c>
      <c r="X428" s="149">
        <v>101.55</v>
      </c>
      <c r="Y428" s="368">
        <v>245.44</v>
      </c>
      <c r="Z428" s="368">
        <v>3259.66</v>
      </c>
      <c r="AA428" s="368">
        <v>184.98</v>
      </c>
      <c r="AB428" s="368">
        <v>0</v>
      </c>
      <c r="AC428" s="368">
        <v>0</v>
      </c>
      <c r="AD428" s="368">
        <v>0</v>
      </c>
      <c r="AE428" s="368">
        <v>0</v>
      </c>
      <c r="AF428" s="396">
        <v>0</v>
      </c>
      <c r="AG428" s="368">
        <v>0</v>
      </c>
      <c r="AH428" s="396">
        <v>0</v>
      </c>
      <c r="AI428" s="368">
        <v>0</v>
      </c>
      <c r="AJ428" s="396">
        <v>0</v>
      </c>
      <c r="AK428" s="368">
        <v>0</v>
      </c>
      <c r="AL428" s="368">
        <v>0</v>
      </c>
      <c r="AM428" s="368">
        <v>0</v>
      </c>
      <c r="AN428" s="368"/>
      <c r="AO428" s="368">
        <v>0</v>
      </c>
    </row>
    <row r="429" spans="1:41" s="152" customFormat="1" ht="36" customHeight="1" x14ac:dyDescent="0.9">
      <c r="A429" s="152">
        <v>1</v>
      </c>
      <c r="B429" s="90">
        <f>SUBTOTAL(103,$A$16:A429)</f>
        <v>377</v>
      </c>
      <c r="C429" s="89" t="s">
        <v>1256</v>
      </c>
      <c r="D429" s="163">
        <v>1992</v>
      </c>
      <c r="E429" s="163"/>
      <c r="F429" s="168" t="s">
        <v>270</v>
      </c>
      <c r="G429" s="163">
        <v>5</v>
      </c>
      <c r="H429" s="163">
        <v>5</v>
      </c>
      <c r="I429" s="167">
        <v>3685.4</v>
      </c>
      <c r="J429" s="167">
        <v>3322.7</v>
      </c>
      <c r="K429" s="167">
        <v>3214.1</v>
      </c>
      <c r="L429" s="165">
        <v>157</v>
      </c>
      <c r="M429" s="163" t="s">
        <v>268</v>
      </c>
      <c r="N429" s="163" t="s">
        <v>272</v>
      </c>
      <c r="O429" s="166" t="s">
        <v>1320</v>
      </c>
      <c r="P429" s="167">
        <v>5685725.29</v>
      </c>
      <c r="Q429" s="167">
        <v>0</v>
      </c>
      <c r="R429" s="167">
        <v>0</v>
      </c>
      <c r="S429" s="167">
        <f t="shared" si="137"/>
        <v>5685725.29</v>
      </c>
      <c r="T429" s="167">
        <f t="shared" si="127"/>
        <v>1542.770198621588</v>
      </c>
      <c r="U429" s="167">
        <v>3791.6299999999997</v>
      </c>
      <c r="V429" s="149">
        <f t="shared" si="131"/>
        <v>2248.8598013784117</v>
      </c>
      <c r="W429" s="149">
        <f t="shared" si="138"/>
        <v>3791.6299999999997</v>
      </c>
      <c r="X429" s="149">
        <v>101.55</v>
      </c>
      <c r="Y429" s="368">
        <v>245.44</v>
      </c>
      <c r="Z429" s="368">
        <v>3259.66</v>
      </c>
      <c r="AA429" s="368">
        <v>184.98</v>
      </c>
      <c r="AB429" s="368">
        <v>0</v>
      </c>
      <c r="AC429" s="368">
        <v>0</v>
      </c>
      <c r="AD429" s="368">
        <v>0</v>
      </c>
      <c r="AE429" s="368">
        <v>0</v>
      </c>
      <c r="AF429" s="396">
        <v>0</v>
      </c>
      <c r="AG429" s="368">
        <v>0</v>
      </c>
      <c r="AH429" s="396">
        <v>0</v>
      </c>
      <c r="AI429" s="368">
        <v>0</v>
      </c>
      <c r="AJ429" s="396">
        <v>0</v>
      </c>
      <c r="AK429" s="368">
        <v>0</v>
      </c>
      <c r="AL429" s="368">
        <v>0</v>
      </c>
      <c r="AM429" s="368">
        <v>0</v>
      </c>
      <c r="AN429" s="368"/>
      <c r="AO429" s="368">
        <v>0</v>
      </c>
    </row>
    <row r="430" spans="1:41" s="152" customFormat="1" ht="36" customHeight="1" x14ac:dyDescent="0.9">
      <c r="A430" s="152">
        <v>1</v>
      </c>
      <c r="B430" s="90">
        <f>SUBTOTAL(103,$A$16:A430)</f>
        <v>378</v>
      </c>
      <c r="C430" s="89" t="s">
        <v>1257</v>
      </c>
      <c r="D430" s="163">
        <v>1970</v>
      </c>
      <c r="E430" s="163"/>
      <c r="F430" s="168" t="s">
        <v>270</v>
      </c>
      <c r="G430" s="163">
        <v>5</v>
      </c>
      <c r="H430" s="163">
        <v>3</v>
      </c>
      <c r="I430" s="167">
        <v>3891.1</v>
      </c>
      <c r="J430" s="167">
        <v>2505.5</v>
      </c>
      <c r="K430" s="167">
        <v>950.7</v>
      </c>
      <c r="L430" s="165">
        <v>253</v>
      </c>
      <c r="M430" s="163" t="s">
        <v>268</v>
      </c>
      <c r="N430" s="163" t="s">
        <v>272</v>
      </c>
      <c r="O430" s="166" t="s">
        <v>1320</v>
      </c>
      <c r="P430" s="167">
        <v>3267591.73</v>
      </c>
      <c r="Q430" s="167">
        <v>0</v>
      </c>
      <c r="R430" s="167">
        <v>0</v>
      </c>
      <c r="S430" s="167">
        <f t="shared" si="137"/>
        <v>3267591.73</v>
      </c>
      <c r="T430" s="167">
        <f t="shared" si="127"/>
        <v>839.76040965279742</v>
      </c>
      <c r="U430" s="167">
        <v>3259.66</v>
      </c>
      <c r="V430" s="149">
        <f t="shared" si="131"/>
        <v>2419.8995903472023</v>
      </c>
      <c r="W430" s="149">
        <f t="shared" si="138"/>
        <v>3259.66</v>
      </c>
      <c r="X430" s="149">
        <v>0</v>
      </c>
      <c r="Y430" s="368">
        <v>0</v>
      </c>
      <c r="Z430" s="368">
        <v>3259.66</v>
      </c>
      <c r="AA430" s="368">
        <v>0</v>
      </c>
      <c r="AB430" s="368">
        <v>0</v>
      </c>
      <c r="AC430" s="368">
        <v>0</v>
      </c>
      <c r="AD430" s="368">
        <v>0</v>
      </c>
      <c r="AE430" s="368">
        <v>0</v>
      </c>
      <c r="AF430" s="396">
        <v>0</v>
      </c>
      <c r="AG430" s="368">
        <v>0</v>
      </c>
      <c r="AH430" s="396">
        <v>0</v>
      </c>
      <c r="AI430" s="368">
        <v>0</v>
      </c>
      <c r="AJ430" s="396">
        <v>0</v>
      </c>
      <c r="AK430" s="368">
        <v>0</v>
      </c>
      <c r="AL430" s="368">
        <v>0</v>
      </c>
      <c r="AM430" s="368">
        <v>0</v>
      </c>
      <c r="AN430" s="368"/>
      <c r="AO430" s="368">
        <v>0</v>
      </c>
    </row>
    <row r="431" spans="1:41" s="152" customFormat="1" ht="36" customHeight="1" x14ac:dyDescent="0.9">
      <c r="A431" s="152">
        <v>1</v>
      </c>
      <c r="B431" s="90">
        <f>SUBTOTAL(103,$A$16:A431)</f>
        <v>379</v>
      </c>
      <c r="C431" s="89" t="s">
        <v>1258</v>
      </c>
      <c r="D431" s="163">
        <v>1982</v>
      </c>
      <c r="E431" s="163"/>
      <c r="F431" s="168" t="s">
        <v>270</v>
      </c>
      <c r="G431" s="163">
        <v>5</v>
      </c>
      <c r="H431" s="163">
        <v>7</v>
      </c>
      <c r="I431" s="167">
        <v>6331.45</v>
      </c>
      <c r="J431" s="167">
        <v>5066.51</v>
      </c>
      <c r="K431" s="167">
        <v>5066.51</v>
      </c>
      <c r="L431" s="165">
        <v>218</v>
      </c>
      <c r="M431" s="163" t="s">
        <v>268</v>
      </c>
      <c r="N431" s="163" t="s">
        <v>272</v>
      </c>
      <c r="O431" s="166" t="s">
        <v>274</v>
      </c>
      <c r="P431" s="167">
        <v>9394873.7499999981</v>
      </c>
      <c r="Q431" s="167">
        <v>0</v>
      </c>
      <c r="R431" s="167">
        <v>0</v>
      </c>
      <c r="S431" s="167">
        <f t="shared" si="137"/>
        <v>9394873.7499999981</v>
      </c>
      <c r="T431" s="167">
        <f t="shared" si="127"/>
        <v>1483.8423662826049</v>
      </c>
      <c r="U431" s="167">
        <v>4586.9399999999996</v>
      </c>
      <c r="V431" s="149">
        <f t="shared" si="131"/>
        <v>3103.0976337173947</v>
      </c>
      <c r="W431" s="149">
        <f t="shared" si="138"/>
        <v>4586.9399999999996</v>
      </c>
      <c r="X431" s="149">
        <v>101.55</v>
      </c>
      <c r="Y431" s="368">
        <v>245.44</v>
      </c>
      <c r="Z431" s="368">
        <v>3259.66</v>
      </c>
      <c r="AA431" s="368">
        <v>184.98</v>
      </c>
      <c r="AB431" s="368">
        <v>795.31</v>
      </c>
      <c r="AC431" s="368">
        <v>0</v>
      </c>
      <c r="AD431" s="368">
        <v>0</v>
      </c>
      <c r="AE431" s="368">
        <v>0</v>
      </c>
      <c r="AF431" s="396">
        <v>0</v>
      </c>
      <c r="AG431" s="368">
        <v>0</v>
      </c>
      <c r="AH431" s="396">
        <v>0</v>
      </c>
      <c r="AI431" s="368">
        <v>0</v>
      </c>
      <c r="AJ431" s="396">
        <v>0</v>
      </c>
      <c r="AK431" s="368">
        <v>0</v>
      </c>
      <c r="AL431" s="368">
        <v>0</v>
      </c>
      <c r="AM431" s="368">
        <v>0</v>
      </c>
      <c r="AN431" s="368"/>
      <c r="AO431" s="368">
        <v>0</v>
      </c>
    </row>
    <row r="432" spans="1:41" s="152" customFormat="1" ht="36" customHeight="1" x14ac:dyDescent="0.9">
      <c r="A432" s="152">
        <v>1</v>
      </c>
      <c r="B432" s="90">
        <f>SUBTOTAL(103,$A$16:A432)</f>
        <v>380</v>
      </c>
      <c r="C432" s="89" t="s">
        <v>1259</v>
      </c>
      <c r="D432" s="163">
        <v>1964</v>
      </c>
      <c r="E432" s="163"/>
      <c r="F432" s="168" t="s">
        <v>270</v>
      </c>
      <c r="G432" s="163">
        <v>3</v>
      </c>
      <c r="H432" s="163">
        <v>2</v>
      </c>
      <c r="I432" s="167">
        <v>1043.5999999999999</v>
      </c>
      <c r="J432" s="167">
        <v>970.7</v>
      </c>
      <c r="K432" s="167">
        <v>970.7</v>
      </c>
      <c r="L432" s="165">
        <v>62</v>
      </c>
      <c r="M432" s="163" t="s">
        <v>268</v>
      </c>
      <c r="N432" s="163" t="s">
        <v>272</v>
      </c>
      <c r="O432" s="166" t="s">
        <v>274</v>
      </c>
      <c r="P432" s="167">
        <v>3633885.25</v>
      </c>
      <c r="Q432" s="167">
        <v>0</v>
      </c>
      <c r="R432" s="167">
        <v>0</v>
      </c>
      <c r="S432" s="167">
        <f t="shared" si="137"/>
        <v>3633885.25</v>
      </c>
      <c r="T432" s="167">
        <f t="shared" si="127"/>
        <v>3482.0671234189349</v>
      </c>
      <c r="U432" s="167">
        <v>6123.0721713300127</v>
      </c>
      <c r="V432" s="149">
        <f t="shared" si="131"/>
        <v>2641.0050479110778</v>
      </c>
      <c r="W432" s="149">
        <f t="shared" si="138"/>
        <v>6123.0721713300127</v>
      </c>
      <c r="X432" s="149">
        <v>0</v>
      </c>
      <c r="Y432" s="368">
        <v>0</v>
      </c>
      <c r="Z432" s="368">
        <v>0</v>
      </c>
      <c r="AA432" s="368">
        <v>0</v>
      </c>
      <c r="AB432" s="368">
        <v>0</v>
      </c>
      <c r="AC432" s="368">
        <v>0</v>
      </c>
      <c r="AD432" s="368">
        <v>0</v>
      </c>
      <c r="AE432" s="368">
        <v>0</v>
      </c>
      <c r="AF432" s="396">
        <v>0</v>
      </c>
      <c r="AG432" s="368">
        <v>0</v>
      </c>
      <c r="AH432" s="396">
        <v>0</v>
      </c>
      <c r="AI432" s="368">
        <v>858.98</v>
      </c>
      <c r="AJ432" s="397">
        <f>7439.1*AI432/I432</f>
        <v>6123.0721713300127</v>
      </c>
      <c r="AK432" s="368">
        <v>0</v>
      </c>
      <c r="AL432" s="368">
        <v>0</v>
      </c>
      <c r="AM432" s="368">
        <v>0</v>
      </c>
      <c r="AN432" s="368"/>
      <c r="AO432" s="368">
        <v>0</v>
      </c>
    </row>
    <row r="433" spans="1:41" s="152" customFormat="1" ht="36" customHeight="1" x14ac:dyDescent="0.9">
      <c r="B433" s="382" t="s">
        <v>857</v>
      </c>
      <c r="C433" s="382"/>
      <c r="D433" s="384" t="s">
        <v>903</v>
      </c>
      <c r="E433" s="163" t="s">
        <v>903</v>
      </c>
      <c r="F433" s="384" t="s">
        <v>903</v>
      </c>
      <c r="G433" s="384" t="s">
        <v>903</v>
      </c>
      <c r="H433" s="163" t="s">
        <v>903</v>
      </c>
      <c r="I433" s="386">
        <f>SUM(I434:I438)</f>
        <v>5121.21</v>
      </c>
      <c r="J433" s="164">
        <f>SUM(J434:J438)</f>
        <v>4137.74</v>
      </c>
      <c r="K433" s="164">
        <f>SUM(K434:K438)</f>
        <v>4095.04</v>
      </c>
      <c r="L433" s="165">
        <f>SUM(L434:L438)</f>
        <v>162</v>
      </c>
      <c r="M433" s="163" t="s">
        <v>903</v>
      </c>
      <c r="N433" s="163" t="s">
        <v>903</v>
      </c>
      <c r="O433" s="166" t="s">
        <v>903</v>
      </c>
      <c r="P433" s="387">
        <v>9403284.9900000002</v>
      </c>
      <c r="Q433" s="167">
        <f>SUM(Q434:Q438)</f>
        <v>0</v>
      </c>
      <c r="R433" s="167">
        <f>SUM(R434:R438)</f>
        <v>0</v>
      </c>
      <c r="S433" s="167">
        <f>SUM(S434:S438)</f>
        <v>9403284.9900000002</v>
      </c>
      <c r="T433" s="387">
        <f t="shared" si="127"/>
        <v>1836.1451668648619</v>
      </c>
      <c r="U433" s="387">
        <f>MAX(U434:U438)</f>
        <v>5349.2841943636704</v>
      </c>
      <c r="V433" s="149">
        <f t="shared" si="131"/>
        <v>3513.1390274988084</v>
      </c>
      <c r="W433" s="149"/>
      <c r="X433" s="149"/>
      <c r="Y433" s="368"/>
      <c r="Z433" s="368"/>
      <c r="AA433" s="368"/>
      <c r="AB433" s="368"/>
      <c r="AC433" s="368"/>
      <c r="AD433" s="368"/>
      <c r="AE433" s="368"/>
      <c r="AF433" s="368"/>
      <c r="AG433" s="368"/>
      <c r="AH433" s="368"/>
      <c r="AI433" s="368"/>
      <c r="AJ433" s="368"/>
      <c r="AK433" s="368"/>
      <c r="AL433" s="368"/>
      <c r="AM433" s="368"/>
      <c r="AN433" s="368"/>
      <c r="AO433" s="368"/>
    </row>
    <row r="434" spans="1:41" s="152" customFormat="1" ht="36" customHeight="1" x14ac:dyDescent="0.9">
      <c r="A434" s="152">
        <v>1</v>
      </c>
      <c r="B434" s="90">
        <f>SUBTOTAL(103,$A$16:A434)</f>
        <v>381</v>
      </c>
      <c r="C434" s="89" t="s">
        <v>44</v>
      </c>
      <c r="D434" s="163">
        <v>1956</v>
      </c>
      <c r="E434" s="163"/>
      <c r="F434" s="168" t="s">
        <v>270</v>
      </c>
      <c r="G434" s="163">
        <v>2</v>
      </c>
      <c r="H434" s="163">
        <v>2</v>
      </c>
      <c r="I434" s="167">
        <v>735.94</v>
      </c>
      <c r="J434" s="167">
        <v>672.45</v>
      </c>
      <c r="K434" s="167">
        <v>672.45</v>
      </c>
      <c r="L434" s="165">
        <v>31</v>
      </c>
      <c r="M434" s="163" t="s">
        <v>268</v>
      </c>
      <c r="N434" s="163" t="s">
        <v>272</v>
      </c>
      <c r="O434" s="166" t="s">
        <v>275</v>
      </c>
      <c r="P434" s="167">
        <v>2250143.48</v>
      </c>
      <c r="Q434" s="167">
        <v>0</v>
      </c>
      <c r="R434" s="167">
        <v>0</v>
      </c>
      <c r="S434" s="167">
        <f>P434-Q434-R434</f>
        <v>2250143.48</v>
      </c>
      <c r="T434" s="167">
        <f t="shared" si="127"/>
        <v>3057.5094165285209</v>
      </c>
      <c r="U434" s="167">
        <v>5349.2841943636704</v>
      </c>
      <c r="V434" s="149">
        <f t="shared" si="131"/>
        <v>2291.7747778351495</v>
      </c>
      <c r="W434" s="149">
        <f t="shared" ref="W434:W438" si="140">X434+Y434+Z434+AA434+AB434+AD434+AF434+AH434+AJ434+AL434+AN434+AO434</f>
        <v>5349.2841943636704</v>
      </c>
      <c r="X434" s="149">
        <v>0</v>
      </c>
      <c r="Y434" s="368">
        <v>0</v>
      </c>
      <c r="Z434" s="368">
        <v>0</v>
      </c>
      <c r="AA434" s="368">
        <v>0</v>
      </c>
      <c r="AB434" s="368">
        <v>0</v>
      </c>
      <c r="AC434" s="368">
        <v>0</v>
      </c>
      <c r="AD434" s="368">
        <v>0</v>
      </c>
      <c r="AE434" s="368">
        <v>631</v>
      </c>
      <c r="AF434" s="396">
        <f t="shared" ref="AF434:AF436" si="141">6238.91*AE434/I434</f>
        <v>5349.2841943636704</v>
      </c>
      <c r="AG434" s="368">
        <v>0</v>
      </c>
      <c r="AH434" s="396">
        <v>0</v>
      </c>
      <c r="AI434" s="368">
        <v>0</v>
      </c>
      <c r="AJ434" s="396">
        <v>0</v>
      </c>
      <c r="AK434" s="368">
        <v>0</v>
      </c>
      <c r="AL434" s="368">
        <v>0</v>
      </c>
      <c r="AM434" s="368">
        <v>0</v>
      </c>
      <c r="AN434" s="368"/>
      <c r="AO434" s="368">
        <v>0</v>
      </c>
    </row>
    <row r="435" spans="1:41" s="152" customFormat="1" ht="36" customHeight="1" x14ac:dyDescent="0.9">
      <c r="A435" s="152">
        <v>1</v>
      </c>
      <c r="B435" s="90">
        <f>SUBTOTAL(103,$A$16:A435)</f>
        <v>382</v>
      </c>
      <c r="C435" s="89" t="s">
        <v>43</v>
      </c>
      <c r="D435" s="163">
        <v>1963</v>
      </c>
      <c r="E435" s="163"/>
      <c r="F435" s="168" t="s">
        <v>270</v>
      </c>
      <c r="G435" s="163">
        <v>2</v>
      </c>
      <c r="H435" s="163">
        <v>2</v>
      </c>
      <c r="I435" s="167">
        <v>687.5</v>
      </c>
      <c r="J435" s="167">
        <v>521.5</v>
      </c>
      <c r="K435" s="167">
        <v>478.8</v>
      </c>
      <c r="L435" s="165">
        <v>14</v>
      </c>
      <c r="M435" s="163" t="s">
        <v>268</v>
      </c>
      <c r="N435" s="163" t="s">
        <v>272</v>
      </c>
      <c r="O435" s="166" t="s">
        <v>275</v>
      </c>
      <c r="P435" s="167">
        <v>2167263.7000000002</v>
      </c>
      <c r="Q435" s="167">
        <v>0</v>
      </c>
      <c r="R435" s="167">
        <v>0</v>
      </c>
      <c r="S435" s="167">
        <f>P435-Q435-R435</f>
        <v>2167263.7000000002</v>
      </c>
      <c r="T435" s="167">
        <f t="shared" si="127"/>
        <v>3152.3835636363638</v>
      </c>
      <c r="U435" s="167">
        <v>5035.5944130909093</v>
      </c>
      <c r="V435" s="149">
        <f t="shared" si="131"/>
        <v>1883.2108494545455</v>
      </c>
      <c r="W435" s="149">
        <f t="shared" si="140"/>
        <v>5035.5944130909093</v>
      </c>
      <c r="X435" s="149">
        <v>0</v>
      </c>
      <c r="Y435" s="368">
        <v>0</v>
      </c>
      <c r="Z435" s="368">
        <v>0</v>
      </c>
      <c r="AA435" s="368">
        <v>0</v>
      </c>
      <c r="AB435" s="368">
        <v>0</v>
      </c>
      <c r="AC435" s="368">
        <v>0</v>
      </c>
      <c r="AD435" s="368">
        <v>0</v>
      </c>
      <c r="AE435" s="368">
        <v>554.9</v>
      </c>
      <c r="AF435" s="396">
        <f t="shared" si="141"/>
        <v>5035.5944130909093</v>
      </c>
      <c r="AG435" s="368">
        <v>0</v>
      </c>
      <c r="AH435" s="396">
        <v>0</v>
      </c>
      <c r="AI435" s="368">
        <v>0</v>
      </c>
      <c r="AJ435" s="396">
        <v>0</v>
      </c>
      <c r="AK435" s="368">
        <v>0</v>
      </c>
      <c r="AL435" s="368">
        <v>0</v>
      </c>
      <c r="AM435" s="368">
        <v>0</v>
      </c>
      <c r="AN435" s="368"/>
      <c r="AO435" s="368">
        <v>0</v>
      </c>
    </row>
    <row r="436" spans="1:41" s="152" customFormat="1" ht="36" customHeight="1" x14ac:dyDescent="0.9">
      <c r="A436" s="152">
        <v>1</v>
      </c>
      <c r="B436" s="90">
        <f>SUBTOTAL(103,$A$16:A436)</f>
        <v>383</v>
      </c>
      <c r="C436" s="89" t="s">
        <v>45</v>
      </c>
      <c r="D436" s="163">
        <v>1964</v>
      </c>
      <c r="E436" s="163"/>
      <c r="F436" s="168" t="s">
        <v>270</v>
      </c>
      <c r="G436" s="163">
        <v>2</v>
      </c>
      <c r="H436" s="163">
        <v>2</v>
      </c>
      <c r="I436" s="167">
        <v>691.68</v>
      </c>
      <c r="J436" s="167">
        <v>643.4</v>
      </c>
      <c r="K436" s="167">
        <v>643.4</v>
      </c>
      <c r="L436" s="165">
        <v>15</v>
      </c>
      <c r="M436" s="163" t="s">
        <v>268</v>
      </c>
      <c r="N436" s="163" t="s">
        <v>272</v>
      </c>
      <c r="O436" s="166" t="s">
        <v>275</v>
      </c>
      <c r="P436" s="167">
        <v>2202329.54</v>
      </c>
      <c r="Q436" s="167">
        <v>0</v>
      </c>
      <c r="R436" s="167">
        <v>0</v>
      </c>
      <c r="S436" s="167">
        <f>P436-Q436-R436</f>
        <v>2202329.54</v>
      </c>
      <c r="T436" s="167">
        <f t="shared" si="127"/>
        <v>3184.0295223224616</v>
      </c>
      <c r="U436" s="167">
        <v>5069.2045743696508</v>
      </c>
      <c r="V436" s="149">
        <f t="shared" si="131"/>
        <v>1885.1750520471892</v>
      </c>
      <c r="W436" s="149">
        <f t="shared" si="140"/>
        <v>5069.2045743696508</v>
      </c>
      <c r="X436" s="149">
        <v>0</v>
      </c>
      <c r="Y436" s="368">
        <v>0</v>
      </c>
      <c r="Z436" s="368">
        <v>0</v>
      </c>
      <c r="AA436" s="368">
        <v>0</v>
      </c>
      <c r="AB436" s="368">
        <v>0</v>
      </c>
      <c r="AC436" s="368">
        <v>0</v>
      </c>
      <c r="AD436" s="368">
        <v>0</v>
      </c>
      <c r="AE436" s="368">
        <v>562</v>
      </c>
      <c r="AF436" s="396">
        <f t="shared" si="141"/>
        <v>5069.2045743696508</v>
      </c>
      <c r="AG436" s="368">
        <v>0</v>
      </c>
      <c r="AH436" s="396">
        <v>0</v>
      </c>
      <c r="AI436" s="368">
        <v>0</v>
      </c>
      <c r="AJ436" s="396">
        <v>0</v>
      </c>
      <c r="AK436" s="368">
        <v>0</v>
      </c>
      <c r="AL436" s="368">
        <v>0</v>
      </c>
      <c r="AM436" s="368">
        <v>0</v>
      </c>
      <c r="AN436" s="368"/>
      <c r="AO436" s="368">
        <v>0</v>
      </c>
    </row>
    <row r="437" spans="1:41" s="152" customFormat="1" ht="36" customHeight="1" x14ac:dyDescent="0.9">
      <c r="A437" s="152">
        <v>1</v>
      </c>
      <c r="B437" s="90">
        <f>SUBTOTAL(103,$A$16:A437)</f>
        <v>384</v>
      </c>
      <c r="C437" s="89" t="s">
        <v>1265</v>
      </c>
      <c r="D437" s="163">
        <v>1974</v>
      </c>
      <c r="E437" s="163"/>
      <c r="F437" s="168" t="s">
        <v>270</v>
      </c>
      <c r="G437" s="163">
        <v>5</v>
      </c>
      <c r="H437" s="163">
        <v>2</v>
      </c>
      <c r="I437" s="167">
        <v>2403.29</v>
      </c>
      <c r="J437" s="167">
        <v>1756.39</v>
      </c>
      <c r="K437" s="167">
        <v>1756.39</v>
      </c>
      <c r="L437" s="165">
        <v>78</v>
      </c>
      <c r="M437" s="163" t="s">
        <v>268</v>
      </c>
      <c r="N437" s="163" t="s">
        <v>272</v>
      </c>
      <c r="O437" s="166" t="s">
        <v>275</v>
      </c>
      <c r="P437" s="167">
        <v>1467262.85</v>
      </c>
      <c r="Q437" s="167">
        <v>0</v>
      </c>
      <c r="R437" s="167">
        <v>0</v>
      </c>
      <c r="S437" s="167">
        <f>P437-Q437-R437</f>
        <v>1467262.85</v>
      </c>
      <c r="T437" s="167">
        <f t="shared" si="127"/>
        <v>610.52259610783551</v>
      </c>
      <c r="U437" s="167">
        <v>4156.5200000000004</v>
      </c>
      <c r="V437" s="149">
        <f t="shared" si="131"/>
        <v>3545.997403892165</v>
      </c>
      <c r="W437" s="149">
        <f t="shared" si="140"/>
        <v>4156.5200000000004</v>
      </c>
      <c r="X437" s="149">
        <v>101.55</v>
      </c>
      <c r="Y437" s="368">
        <v>0</v>
      </c>
      <c r="Z437" s="368">
        <v>3259.66</v>
      </c>
      <c r="AA437" s="368">
        <v>0</v>
      </c>
      <c r="AB437" s="368">
        <v>795.31</v>
      </c>
      <c r="AC437" s="368">
        <v>0</v>
      </c>
      <c r="AD437" s="368">
        <v>0</v>
      </c>
      <c r="AE437" s="368">
        <v>0</v>
      </c>
      <c r="AF437" s="396">
        <v>0</v>
      </c>
      <c r="AG437" s="368">
        <v>0</v>
      </c>
      <c r="AH437" s="396">
        <v>0</v>
      </c>
      <c r="AI437" s="368">
        <v>0</v>
      </c>
      <c r="AJ437" s="396">
        <v>0</v>
      </c>
      <c r="AK437" s="368">
        <v>0</v>
      </c>
      <c r="AL437" s="368">
        <v>0</v>
      </c>
      <c r="AM437" s="368">
        <v>0</v>
      </c>
      <c r="AN437" s="368"/>
      <c r="AO437" s="368">
        <v>0</v>
      </c>
    </row>
    <row r="438" spans="1:41" s="152" customFormat="1" ht="36" customHeight="1" x14ac:dyDescent="0.9">
      <c r="A438" s="152">
        <v>1</v>
      </c>
      <c r="B438" s="90">
        <f>SUBTOTAL(103,$A$16:A438)</f>
        <v>385</v>
      </c>
      <c r="C438" s="89" t="s">
        <v>1266</v>
      </c>
      <c r="D438" s="163">
        <v>1936</v>
      </c>
      <c r="E438" s="163"/>
      <c r="F438" s="168" t="s">
        <v>334</v>
      </c>
      <c r="G438" s="163">
        <v>2</v>
      </c>
      <c r="H438" s="163">
        <v>2</v>
      </c>
      <c r="I438" s="167">
        <v>602.79999999999995</v>
      </c>
      <c r="J438" s="167">
        <v>544</v>
      </c>
      <c r="K438" s="167">
        <v>544</v>
      </c>
      <c r="L438" s="165">
        <v>24</v>
      </c>
      <c r="M438" s="163" t="s">
        <v>268</v>
      </c>
      <c r="N438" s="163" t="s">
        <v>272</v>
      </c>
      <c r="O438" s="166" t="s">
        <v>275</v>
      </c>
      <c r="P438" s="167">
        <v>1316285.42</v>
      </c>
      <c r="Q438" s="167">
        <v>0</v>
      </c>
      <c r="R438" s="167">
        <v>0</v>
      </c>
      <c r="S438" s="167">
        <f>P438-Q438-R438</f>
        <v>1316285.42</v>
      </c>
      <c r="T438" s="167">
        <f t="shared" si="127"/>
        <v>2183.6188122096883</v>
      </c>
      <c r="U438" s="167">
        <v>4698.8472793629735</v>
      </c>
      <c r="V438" s="149">
        <f t="shared" si="131"/>
        <v>2515.2284671532852</v>
      </c>
      <c r="W438" s="149">
        <f t="shared" si="140"/>
        <v>4698.8472793629735</v>
      </c>
      <c r="X438" s="149">
        <v>0</v>
      </c>
      <c r="Y438" s="368">
        <v>0</v>
      </c>
      <c r="Z438" s="368">
        <v>0</v>
      </c>
      <c r="AA438" s="368">
        <v>0</v>
      </c>
      <c r="AB438" s="368">
        <v>0</v>
      </c>
      <c r="AC438" s="368">
        <v>0</v>
      </c>
      <c r="AD438" s="368">
        <v>0</v>
      </c>
      <c r="AE438" s="368">
        <v>454</v>
      </c>
      <c r="AF438" s="396">
        <f>6238.91*AE438/I438</f>
        <v>4698.8472793629735</v>
      </c>
      <c r="AG438" s="368">
        <v>0</v>
      </c>
      <c r="AH438" s="396">
        <v>0</v>
      </c>
      <c r="AI438" s="368">
        <v>0</v>
      </c>
      <c r="AJ438" s="396">
        <v>0</v>
      </c>
      <c r="AK438" s="368">
        <v>0</v>
      </c>
      <c r="AL438" s="368">
        <v>0</v>
      </c>
      <c r="AM438" s="368">
        <v>0</v>
      </c>
      <c r="AN438" s="368"/>
      <c r="AO438" s="368">
        <v>0</v>
      </c>
    </row>
    <row r="439" spans="1:41" s="152" customFormat="1" ht="36" customHeight="1" x14ac:dyDescent="0.9">
      <c r="B439" s="382" t="s">
        <v>858</v>
      </c>
      <c r="C439" s="382"/>
      <c r="D439" s="384" t="s">
        <v>903</v>
      </c>
      <c r="E439" s="163" t="s">
        <v>903</v>
      </c>
      <c r="F439" s="384" t="s">
        <v>903</v>
      </c>
      <c r="G439" s="384" t="s">
        <v>903</v>
      </c>
      <c r="H439" s="163" t="s">
        <v>903</v>
      </c>
      <c r="I439" s="386">
        <f t="shared" ref="I439:L439" si="142">SUM(I440:I441)</f>
        <v>1488.6</v>
      </c>
      <c r="J439" s="164">
        <f t="shared" si="142"/>
        <v>1410.2</v>
      </c>
      <c r="K439" s="164">
        <f t="shared" si="142"/>
        <v>987.3</v>
      </c>
      <c r="L439" s="165">
        <f t="shared" si="142"/>
        <v>67</v>
      </c>
      <c r="M439" s="163" t="s">
        <v>903</v>
      </c>
      <c r="N439" s="163" t="s">
        <v>903</v>
      </c>
      <c r="O439" s="166" t="s">
        <v>903</v>
      </c>
      <c r="P439" s="386">
        <v>5174634.9800000004</v>
      </c>
      <c r="Q439" s="164">
        <f t="shared" ref="Q439:R439" si="143">SUM(Q440:Q441)</f>
        <v>0</v>
      </c>
      <c r="R439" s="164">
        <f t="shared" si="143"/>
        <v>0</v>
      </c>
      <c r="S439" s="164">
        <f>SUM(S440:S441)</f>
        <v>5174634.9800000004</v>
      </c>
      <c r="T439" s="387">
        <f t="shared" si="127"/>
        <v>3476.1755878006184</v>
      </c>
      <c r="U439" s="387">
        <f>MAX(U440:U441)</f>
        <v>5741.0878500184708</v>
      </c>
      <c r="V439" s="149">
        <f t="shared" si="131"/>
        <v>2264.9122622178525</v>
      </c>
      <c r="W439" s="149"/>
      <c r="X439" s="149"/>
      <c r="Y439" s="368"/>
      <c r="Z439" s="368"/>
      <c r="AA439" s="368"/>
      <c r="AB439" s="368"/>
      <c r="AC439" s="368"/>
      <c r="AD439" s="368"/>
      <c r="AE439" s="368"/>
      <c r="AF439" s="368"/>
      <c r="AG439" s="368"/>
      <c r="AH439" s="368"/>
      <c r="AI439" s="368"/>
      <c r="AJ439" s="368"/>
      <c r="AK439" s="368"/>
      <c r="AL439" s="368"/>
      <c r="AM439" s="368"/>
      <c r="AN439" s="368"/>
      <c r="AO439" s="368"/>
    </row>
    <row r="440" spans="1:41" s="152" customFormat="1" ht="36" customHeight="1" x14ac:dyDescent="0.9">
      <c r="A440" s="152">
        <v>1</v>
      </c>
      <c r="B440" s="90">
        <f>SUBTOTAL(103,$A$16:A440)</f>
        <v>386</v>
      </c>
      <c r="C440" s="89" t="s">
        <v>42</v>
      </c>
      <c r="D440" s="163">
        <v>1960</v>
      </c>
      <c r="E440" s="163"/>
      <c r="F440" s="168" t="s">
        <v>270</v>
      </c>
      <c r="G440" s="163">
        <v>2</v>
      </c>
      <c r="H440" s="163">
        <v>2</v>
      </c>
      <c r="I440" s="167">
        <v>676.5</v>
      </c>
      <c r="J440" s="167">
        <v>628.1</v>
      </c>
      <c r="K440" s="167">
        <v>542.1</v>
      </c>
      <c r="L440" s="165">
        <v>32</v>
      </c>
      <c r="M440" s="163" t="s">
        <v>268</v>
      </c>
      <c r="N440" s="163" t="s">
        <v>272</v>
      </c>
      <c r="O440" s="166" t="s">
        <v>276</v>
      </c>
      <c r="P440" s="167">
        <v>2210436.8400000003</v>
      </c>
      <c r="Q440" s="167">
        <v>0</v>
      </c>
      <c r="R440" s="167">
        <v>0</v>
      </c>
      <c r="S440" s="167">
        <f>P440-Q440-R440</f>
        <v>2210436.8400000003</v>
      </c>
      <c r="T440" s="167">
        <f t="shared" si="127"/>
        <v>3267.4602217294905</v>
      </c>
      <c r="U440" s="167">
        <v>5488.1196628233556</v>
      </c>
      <c r="V440" s="149">
        <f t="shared" si="131"/>
        <v>2220.6594410938651</v>
      </c>
      <c r="W440" s="149">
        <f t="shared" ref="W440:W441" si="144">X440+Y440+Z440+AA440+AB440+AD440+AF440+AH440+AJ440+AL440+AN440+AO440</f>
        <v>5488.1196628233556</v>
      </c>
      <c r="X440" s="149">
        <v>0</v>
      </c>
      <c r="Y440" s="368">
        <v>0</v>
      </c>
      <c r="Z440" s="368">
        <v>0</v>
      </c>
      <c r="AA440" s="368">
        <v>0</v>
      </c>
      <c r="AB440" s="368">
        <v>0</v>
      </c>
      <c r="AC440" s="368">
        <v>0</v>
      </c>
      <c r="AD440" s="368">
        <v>0</v>
      </c>
      <c r="AE440" s="368">
        <v>595.09</v>
      </c>
      <c r="AF440" s="396">
        <f t="shared" ref="AF440:AF441" si="145">6238.91*AE440/I440</f>
        <v>5488.1196628233556</v>
      </c>
      <c r="AG440" s="368">
        <v>0</v>
      </c>
      <c r="AH440" s="396">
        <v>0</v>
      </c>
      <c r="AI440" s="368">
        <v>0</v>
      </c>
      <c r="AJ440" s="396">
        <v>0</v>
      </c>
      <c r="AK440" s="368">
        <v>0</v>
      </c>
      <c r="AL440" s="368">
        <v>0</v>
      </c>
      <c r="AM440" s="368">
        <v>0</v>
      </c>
      <c r="AN440" s="368"/>
      <c r="AO440" s="368">
        <v>0</v>
      </c>
    </row>
    <row r="441" spans="1:41" s="152" customFormat="1" ht="36" customHeight="1" x14ac:dyDescent="0.9">
      <c r="A441" s="152">
        <v>1</v>
      </c>
      <c r="B441" s="90">
        <f>SUBTOTAL(103,$A$16:A441)</f>
        <v>387</v>
      </c>
      <c r="C441" s="89" t="s">
        <v>1574</v>
      </c>
      <c r="D441" s="163">
        <v>1957</v>
      </c>
      <c r="E441" s="163"/>
      <c r="F441" s="168" t="s">
        <v>270</v>
      </c>
      <c r="G441" s="163">
        <v>2</v>
      </c>
      <c r="H441" s="163">
        <v>2</v>
      </c>
      <c r="I441" s="167">
        <v>812.1</v>
      </c>
      <c r="J441" s="167">
        <v>782.1</v>
      </c>
      <c r="K441" s="167">
        <v>445.2</v>
      </c>
      <c r="L441" s="165">
        <v>35</v>
      </c>
      <c r="M441" s="163" t="s">
        <v>268</v>
      </c>
      <c r="N441" s="163" t="s">
        <v>272</v>
      </c>
      <c r="O441" s="166" t="s">
        <v>276</v>
      </c>
      <c r="P441" s="167">
        <v>2964198.14</v>
      </c>
      <c r="Q441" s="167">
        <v>0</v>
      </c>
      <c r="R441" s="167">
        <v>0</v>
      </c>
      <c r="S441" s="167">
        <f>P441-R441-Q441</f>
        <v>2964198.14</v>
      </c>
      <c r="T441" s="167">
        <f t="shared" si="127"/>
        <v>3650.0408077822931</v>
      </c>
      <c r="U441" s="167">
        <v>5741.0878500184708</v>
      </c>
      <c r="V441" s="149">
        <f t="shared" si="131"/>
        <v>2091.0470422361777</v>
      </c>
      <c r="W441" s="149">
        <f t="shared" si="144"/>
        <v>5741.0878500184708</v>
      </c>
      <c r="X441" s="149">
        <v>0</v>
      </c>
      <c r="Y441" s="368">
        <v>0</v>
      </c>
      <c r="Z441" s="368">
        <v>0</v>
      </c>
      <c r="AA441" s="368">
        <v>0</v>
      </c>
      <c r="AB441" s="368">
        <v>0</v>
      </c>
      <c r="AC441" s="368">
        <v>0</v>
      </c>
      <c r="AD441" s="368">
        <v>0</v>
      </c>
      <c r="AE441" s="368">
        <v>747.3</v>
      </c>
      <c r="AF441" s="396">
        <f t="shared" si="145"/>
        <v>5741.0878500184708</v>
      </c>
      <c r="AG441" s="368">
        <v>0</v>
      </c>
      <c r="AH441" s="396">
        <v>0</v>
      </c>
      <c r="AI441" s="368">
        <v>0</v>
      </c>
      <c r="AJ441" s="396">
        <v>0</v>
      </c>
      <c r="AK441" s="368">
        <v>0</v>
      </c>
      <c r="AL441" s="368">
        <v>0</v>
      </c>
      <c r="AM441" s="368">
        <v>0</v>
      </c>
      <c r="AN441" s="368"/>
      <c r="AO441" s="368">
        <v>0</v>
      </c>
    </row>
    <row r="442" spans="1:41" s="152" customFormat="1" ht="36" customHeight="1" x14ac:dyDescent="0.9">
      <c r="B442" s="382" t="s">
        <v>859</v>
      </c>
      <c r="C442" s="382"/>
      <c r="D442" s="384" t="s">
        <v>903</v>
      </c>
      <c r="E442" s="163" t="s">
        <v>903</v>
      </c>
      <c r="F442" s="384" t="s">
        <v>903</v>
      </c>
      <c r="G442" s="384" t="s">
        <v>903</v>
      </c>
      <c r="H442" s="163" t="s">
        <v>903</v>
      </c>
      <c r="I442" s="386">
        <f>SUM(I443:I451)</f>
        <v>14074.8</v>
      </c>
      <c r="J442" s="164">
        <f>SUM(J443:J451)</f>
        <v>12404.339999999998</v>
      </c>
      <c r="K442" s="164">
        <f>SUM(K443:K451)</f>
        <v>11986.91</v>
      </c>
      <c r="L442" s="165">
        <f>SUM(L443:L451)</f>
        <v>602</v>
      </c>
      <c r="M442" s="163" t="s">
        <v>903</v>
      </c>
      <c r="N442" s="163" t="s">
        <v>903</v>
      </c>
      <c r="O442" s="166" t="s">
        <v>903</v>
      </c>
      <c r="P442" s="387">
        <v>28248063.09</v>
      </c>
      <c r="Q442" s="167">
        <f>SUM(Q443:Q451)</f>
        <v>0</v>
      </c>
      <c r="R442" s="167">
        <f>SUM(R443:R451)</f>
        <v>0</v>
      </c>
      <c r="S442" s="167">
        <f>SUM(S443:S451)</f>
        <v>28248063.09</v>
      </c>
      <c r="T442" s="387">
        <f t="shared" si="127"/>
        <v>2006.9957008270101</v>
      </c>
      <c r="U442" s="387">
        <f>MAX(U443:U451)</f>
        <v>6624.3639085547884</v>
      </c>
      <c r="V442" s="149">
        <f t="shared" si="131"/>
        <v>4617.3682077277781</v>
      </c>
      <c r="W442" s="149"/>
      <c r="X442" s="149"/>
      <c r="Y442" s="368"/>
      <c r="Z442" s="368"/>
      <c r="AA442" s="368"/>
      <c r="AB442" s="368"/>
      <c r="AC442" s="368"/>
      <c r="AD442" s="368"/>
      <c r="AE442" s="368"/>
      <c r="AF442" s="368"/>
      <c r="AG442" s="368"/>
      <c r="AH442" s="368"/>
      <c r="AI442" s="368"/>
      <c r="AJ442" s="368"/>
      <c r="AK442" s="368"/>
      <c r="AL442" s="368"/>
      <c r="AM442" s="368"/>
      <c r="AN442" s="368"/>
      <c r="AO442" s="368"/>
    </row>
    <row r="443" spans="1:41" s="152" customFormat="1" ht="36" customHeight="1" x14ac:dyDescent="0.9">
      <c r="A443" s="152">
        <v>1</v>
      </c>
      <c r="B443" s="90">
        <f>SUBTOTAL(103,$A$16:A443)</f>
        <v>388</v>
      </c>
      <c r="C443" s="89" t="s">
        <v>50</v>
      </c>
      <c r="D443" s="163">
        <v>1941</v>
      </c>
      <c r="E443" s="163"/>
      <c r="F443" s="168" t="s">
        <v>270</v>
      </c>
      <c r="G443" s="163">
        <v>3</v>
      </c>
      <c r="H443" s="163">
        <v>3</v>
      </c>
      <c r="I443" s="167">
        <v>1207.5</v>
      </c>
      <c r="J443" s="167">
        <v>1028.42</v>
      </c>
      <c r="K443" s="167">
        <v>1028.42</v>
      </c>
      <c r="L443" s="165">
        <v>51</v>
      </c>
      <c r="M443" s="163" t="s">
        <v>268</v>
      </c>
      <c r="N443" s="163" t="s">
        <v>269</v>
      </c>
      <c r="O443" s="166" t="s">
        <v>271</v>
      </c>
      <c r="P443" s="167">
        <v>5017460.6800000006</v>
      </c>
      <c r="Q443" s="167">
        <v>0</v>
      </c>
      <c r="R443" s="167">
        <v>0</v>
      </c>
      <c r="S443" s="167">
        <f t="shared" ref="S443:S451" si="146">P443-Q443-R443</f>
        <v>5017460.6800000006</v>
      </c>
      <c r="T443" s="167">
        <f t="shared" si="127"/>
        <v>4155.2469399585925</v>
      </c>
      <c r="U443" s="167">
        <v>4481.1649217391296</v>
      </c>
      <c r="V443" s="149">
        <f t="shared" si="131"/>
        <v>325.91798178053705</v>
      </c>
      <c r="W443" s="149">
        <f t="shared" ref="W443:W451" si="147">X443+Y443+Z443+AA443+AB443+AD443+AF443+AH443+AJ443+AL443+AN443+AO443</f>
        <v>4481.1649217391296</v>
      </c>
      <c r="X443" s="149">
        <v>0</v>
      </c>
      <c r="Y443" s="368">
        <v>0</v>
      </c>
      <c r="Z443" s="368">
        <v>0</v>
      </c>
      <c r="AA443" s="368">
        <v>0</v>
      </c>
      <c r="AB443" s="368">
        <v>0</v>
      </c>
      <c r="AC443" s="368">
        <v>0</v>
      </c>
      <c r="AD443" s="368">
        <v>0</v>
      </c>
      <c r="AE443" s="368">
        <v>867.3</v>
      </c>
      <c r="AF443" s="396">
        <f t="shared" ref="AF443:AF448" si="148">6238.91*AE443/I443</f>
        <v>4481.1649217391296</v>
      </c>
      <c r="AG443" s="368">
        <v>0</v>
      </c>
      <c r="AH443" s="396">
        <v>0</v>
      </c>
      <c r="AI443" s="368">
        <v>0</v>
      </c>
      <c r="AJ443" s="396">
        <v>0</v>
      </c>
      <c r="AK443" s="368">
        <v>0</v>
      </c>
      <c r="AL443" s="368">
        <v>0</v>
      </c>
      <c r="AM443" s="368">
        <v>0</v>
      </c>
      <c r="AN443" s="368"/>
      <c r="AO443" s="368">
        <v>0</v>
      </c>
    </row>
    <row r="444" spans="1:41" s="152" customFormat="1" ht="36" customHeight="1" x14ac:dyDescent="0.9">
      <c r="A444" s="152">
        <v>1</v>
      </c>
      <c r="B444" s="90">
        <f>SUBTOTAL(103,$A$16:A444)</f>
        <v>389</v>
      </c>
      <c r="C444" s="89" t="s">
        <v>48</v>
      </c>
      <c r="D444" s="163">
        <v>1972</v>
      </c>
      <c r="E444" s="163"/>
      <c r="F444" s="168" t="s">
        <v>270</v>
      </c>
      <c r="G444" s="163">
        <v>2</v>
      </c>
      <c r="H444" s="163">
        <v>2</v>
      </c>
      <c r="I444" s="167">
        <v>729.8</v>
      </c>
      <c r="J444" s="167">
        <v>670.43999999999994</v>
      </c>
      <c r="K444" s="167">
        <v>670.44</v>
      </c>
      <c r="L444" s="165">
        <v>29</v>
      </c>
      <c r="M444" s="163" t="s">
        <v>268</v>
      </c>
      <c r="N444" s="163" t="s">
        <v>269</v>
      </c>
      <c r="O444" s="166" t="s">
        <v>271</v>
      </c>
      <c r="P444" s="167">
        <v>2810575.6300000004</v>
      </c>
      <c r="Q444" s="167">
        <v>0</v>
      </c>
      <c r="R444" s="167">
        <v>0</v>
      </c>
      <c r="S444" s="167">
        <f t="shared" si="146"/>
        <v>2810575.6300000004</v>
      </c>
      <c r="T444" s="167">
        <f>P444/I444</f>
        <v>3851.1587147163614</v>
      </c>
      <c r="U444" s="167">
        <v>5579.7979679364216</v>
      </c>
      <c r="V444" s="149">
        <f t="shared" si="131"/>
        <v>1728.6392532200603</v>
      </c>
      <c r="W444" s="149">
        <f t="shared" si="147"/>
        <v>5579.7979679364216</v>
      </c>
      <c r="X444" s="149">
        <v>0</v>
      </c>
      <c r="Y444" s="368">
        <v>0</v>
      </c>
      <c r="Z444" s="368">
        <v>0</v>
      </c>
      <c r="AA444" s="368">
        <v>0</v>
      </c>
      <c r="AB444" s="368">
        <v>0</v>
      </c>
      <c r="AC444" s="368">
        <v>0</v>
      </c>
      <c r="AD444" s="368">
        <v>0</v>
      </c>
      <c r="AE444" s="368">
        <v>652.70000000000005</v>
      </c>
      <c r="AF444" s="396">
        <f t="shared" si="148"/>
        <v>5579.7979679364216</v>
      </c>
      <c r="AG444" s="368">
        <v>0</v>
      </c>
      <c r="AH444" s="396">
        <v>0</v>
      </c>
      <c r="AI444" s="368">
        <v>0</v>
      </c>
      <c r="AJ444" s="396">
        <v>0</v>
      </c>
      <c r="AK444" s="368">
        <v>0</v>
      </c>
      <c r="AL444" s="368">
        <v>0</v>
      </c>
      <c r="AM444" s="368">
        <v>0</v>
      </c>
      <c r="AN444" s="368"/>
      <c r="AO444" s="368">
        <v>0</v>
      </c>
    </row>
    <row r="445" spans="1:41" s="152" customFormat="1" ht="36" customHeight="1" x14ac:dyDescent="0.9">
      <c r="A445" s="152">
        <v>1</v>
      </c>
      <c r="B445" s="90">
        <f>SUBTOTAL(103,$A$16:A445)</f>
        <v>390</v>
      </c>
      <c r="C445" s="89" t="s">
        <v>49</v>
      </c>
      <c r="D445" s="163">
        <v>1962</v>
      </c>
      <c r="E445" s="163"/>
      <c r="F445" s="168" t="s">
        <v>270</v>
      </c>
      <c r="G445" s="163">
        <v>4</v>
      </c>
      <c r="H445" s="163">
        <v>3</v>
      </c>
      <c r="I445" s="167">
        <v>1905.34</v>
      </c>
      <c r="J445" s="167">
        <v>1830.34</v>
      </c>
      <c r="K445" s="167">
        <v>1708.94</v>
      </c>
      <c r="L445" s="165">
        <v>104</v>
      </c>
      <c r="M445" s="163" t="s">
        <v>268</v>
      </c>
      <c r="N445" s="163" t="s">
        <v>269</v>
      </c>
      <c r="O445" s="166" t="s">
        <v>271</v>
      </c>
      <c r="P445" s="167">
        <v>5245064.0000000009</v>
      </c>
      <c r="Q445" s="167">
        <v>0</v>
      </c>
      <c r="R445" s="167">
        <v>0</v>
      </c>
      <c r="S445" s="167">
        <f t="shared" si="146"/>
        <v>5245064.0000000009</v>
      </c>
      <c r="T445" s="167">
        <f t="shared" ref="T445:T487" si="149">P445/I445</f>
        <v>2752.8231181836318</v>
      </c>
      <c r="U445" s="167">
        <v>2936.8398180902095</v>
      </c>
      <c r="V445" s="149">
        <f t="shared" si="131"/>
        <v>184.01669990657774</v>
      </c>
      <c r="W445" s="149">
        <f t="shared" si="147"/>
        <v>2936.8398180902095</v>
      </c>
      <c r="X445" s="149">
        <v>0</v>
      </c>
      <c r="Y445" s="368">
        <v>0</v>
      </c>
      <c r="Z445" s="368">
        <v>0</v>
      </c>
      <c r="AA445" s="368">
        <v>0</v>
      </c>
      <c r="AB445" s="368">
        <v>0</v>
      </c>
      <c r="AC445" s="368">
        <v>0</v>
      </c>
      <c r="AD445" s="368">
        <v>0</v>
      </c>
      <c r="AE445" s="368">
        <v>896.9</v>
      </c>
      <c r="AF445" s="396">
        <f t="shared" si="148"/>
        <v>2936.8398180902095</v>
      </c>
      <c r="AG445" s="368">
        <v>0</v>
      </c>
      <c r="AH445" s="396">
        <v>0</v>
      </c>
      <c r="AI445" s="368">
        <v>0</v>
      </c>
      <c r="AJ445" s="396">
        <v>0</v>
      </c>
      <c r="AK445" s="368">
        <v>0</v>
      </c>
      <c r="AL445" s="368">
        <v>0</v>
      </c>
      <c r="AM445" s="368">
        <v>0</v>
      </c>
      <c r="AN445" s="368"/>
      <c r="AO445" s="368">
        <v>0</v>
      </c>
    </row>
    <row r="446" spans="1:41" s="152" customFormat="1" ht="36" customHeight="1" x14ac:dyDescent="0.9">
      <c r="A446" s="152">
        <v>1</v>
      </c>
      <c r="B446" s="90">
        <f>SUBTOTAL(103,$A$16:A446)</f>
        <v>391</v>
      </c>
      <c r="C446" s="89" t="s">
        <v>51</v>
      </c>
      <c r="D446" s="163">
        <v>1971</v>
      </c>
      <c r="E446" s="163"/>
      <c r="F446" s="168" t="s">
        <v>270</v>
      </c>
      <c r="G446" s="163">
        <v>2</v>
      </c>
      <c r="H446" s="163">
        <v>2</v>
      </c>
      <c r="I446" s="167">
        <v>758.5</v>
      </c>
      <c r="J446" s="167">
        <v>696.38</v>
      </c>
      <c r="K446" s="167">
        <v>644.48</v>
      </c>
      <c r="L446" s="165">
        <v>22</v>
      </c>
      <c r="M446" s="163" t="s">
        <v>268</v>
      </c>
      <c r="N446" s="163" t="s">
        <v>269</v>
      </c>
      <c r="O446" s="166" t="s">
        <v>271</v>
      </c>
      <c r="P446" s="167">
        <v>2938871.62</v>
      </c>
      <c r="Q446" s="167">
        <v>0</v>
      </c>
      <c r="R446" s="167">
        <v>0</v>
      </c>
      <c r="S446" s="167">
        <f t="shared" si="146"/>
        <v>2938871.62</v>
      </c>
      <c r="T446" s="167">
        <f t="shared" si="149"/>
        <v>3874.5835464733027</v>
      </c>
      <c r="U446" s="167">
        <v>5601.447211601846</v>
      </c>
      <c r="V446" s="149">
        <f t="shared" si="131"/>
        <v>1726.8636651285433</v>
      </c>
      <c r="W446" s="149">
        <f t="shared" si="147"/>
        <v>5601.447211601846</v>
      </c>
      <c r="X446" s="149">
        <v>0</v>
      </c>
      <c r="Y446" s="368">
        <v>0</v>
      </c>
      <c r="Z446" s="368">
        <v>0</v>
      </c>
      <c r="AA446" s="368">
        <v>0</v>
      </c>
      <c r="AB446" s="368">
        <v>0</v>
      </c>
      <c r="AC446" s="368">
        <v>0</v>
      </c>
      <c r="AD446" s="368">
        <v>0</v>
      </c>
      <c r="AE446" s="368">
        <v>681</v>
      </c>
      <c r="AF446" s="396">
        <f t="shared" si="148"/>
        <v>5601.447211601846</v>
      </c>
      <c r="AG446" s="368">
        <v>0</v>
      </c>
      <c r="AH446" s="396">
        <v>0</v>
      </c>
      <c r="AI446" s="368">
        <v>0</v>
      </c>
      <c r="AJ446" s="396">
        <v>0</v>
      </c>
      <c r="AK446" s="368">
        <v>0</v>
      </c>
      <c r="AL446" s="368">
        <v>0</v>
      </c>
      <c r="AM446" s="368">
        <v>0</v>
      </c>
      <c r="AN446" s="368"/>
      <c r="AO446" s="368">
        <v>0</v>
      </c>
    </row>
    <row r="447" spans="1:41" s="152" customFormat="1" ht="36" customHeight="1" x14ac:dyDescent="0.9">
      <c r="A447" s="152">
        <v>1</v>
      </c>
      <c r="B447" s="90">
        <f>SUBTOTAL(103,$A$16:A447)</f>
        <v>392</v>
      </c>
      <c r="C447" s="89" t="s">
        <v>1260</v>
      </c>
      <c r="D447" s="163">
        <v>1978</v>
      </c>
      <c r="E447" s="163"/>
      <c r="F447" s="168" t="s">
        <v>270</v>
      </c>
      <c r="G447" s="163">
        <v>3</v>
      </c>
      <c r="H447" s="163">
        <v>3</v>
      </c>
      <c r="I447" s="167">
        <v>1326.37</v>
      </c>
      <c r="J447" s="167">
        <v>1191.9699999999998</v>
      </c>
      <c r="K447" s="167">
        <v>1191.97</v>
      </c>
      <c r="L447" s="165">
        <v>55</v>
      </c>
      <c r="M447" s="163" t="s">
        <v>268</v>
      </c>
      <c r="N447" s="163" t="s">
        <v>269</v>
      </c>
      <c r="O447" s="166" t="s">
        <v>271</v>
      </c>
      <c r="P447" s="167">
        <v>3146286.42</v>
      </c>
      <c r="Q447" s="167">
        <v>0</v>
      </c>
      <c r="R447" s="167">
        <v>0</v>
      </c>
      <c r="S447" s="167">
        <f t="shared" si="146"/>
        <v>3146286.42</v>
      </c>
      <c r="T447" s="167">
        <f t="shared" si="149"/>
        <v>2372.103123562807</v>
      </c>
      <c r="U447" s="167">
        <v>3191.4928979093315</v>
      </c>
      <c r="V447" s="149">
        <f t="shared" si="131"/>
        <v>819.38977434652452</v>
      </c>
      <c r="W447" s="149">
        <f t="shared" si="147"/>
        <v>3191.4928979093315</v>
      </c>
      <c r="X447" s="149">
        <v>0</v>
      </c>
      <c r="Y447" s="368">
        <v>0</v>
      </c>
      <c r="Z447" s="368">
        <v>0</v>
      </c>
      <c r="AA447" s="368">
        <v>0</v>
      </c>
      <c r="AB447" s="368">
        <v>0</v>
      </c>
      <c r="AC447" s="368">
        <v>0</v>
      </c>
      <c r="AD447" s="368">
        <v>0</v>
      </c>
      <c r="AE447" s="368">
        <v>678.5</v>
      </c>
      <c r="AF447" s="396">
        <f t="shared" si="148"/>
        <v>3191.4928979093315</v>
      </c>
      <c r="AG447" s="368">
        <v>0</v>
      </c>
      <c r="AH447" s="396">
        <v>0</v>
      </c>
      <c r="AI447" s="368">
        <v>0</v>
      </c>
      <c r="AJ447" s="396">
        <v>0</v>
      </c>
      <c r="AK447" s="368">
        <v>0</v>
      </c>
      <c r="AL447" s="368">
        <v>0</v>
      </c>
      <c r="AM447" s="368">
        <v>0</v>
      </c>
      <c r="AN447" s="368"/>
      <c r="AO447" s="368">
        <v>0</v>
      </c>
    </row>
    <row r="448" spans="1:41" s="152" customFormat="1" ht="36" customHeight="1" x14ac:dyDescent="0.9">
      <c r="A448" s="152">
        <v>1</v>
      </c>
      <c r="B448" s="90">
        <f>SUBTOTAL(103,$A$16:A448)</f>
        <v>393</v>
      </c>
      <c r="C448" s="89" t="s">
        <v>1261</v>
      </c>
      <c r="D448" s="163">
        <v>1983</v>
      </c>
      <c r="E448" s="163"/>
      <c r="F448" s="168" t="s">
        <v>270</v>
      </c>
      <c r="G448" s="163">
        <v>5</v>
      </c>
      <c r="H448" s="163">
        <v>6</v>
      </c>
      <c r="I448" s="167">
        <v>4088.44</v>
      </c>
      <c r="J448" s="167">
        <v>3644.94</v>
      </c>
      <c r="K448" s="167">
        <v>3612.34</v>
      </c>
      <c r="L448" s="165">
        <v>151</v>
      </c>
      <c r="M448" s="163" t="s">
        <v>268</v>
      </c>
      <c r="N448" s="163" t="s">
        <v>272</v>
      </c>
      <c r="O448" s="166" t="s">
        <v>1319</v>
      </c>
      <c r="P448" s="167">
        <v>2695968.78</v>
      </c>
      <c r="Q448" s="167">
        <v>0</v>
      </c>
      <c r="R448" s="167">
        <v>0</v>
      </c>
      <c r="S448" s="167">
        <f t="shared" si="146"/>
        <v>2695968.78</v>
      </c>
      <c r="T448" s="167">
        <f t="shared" si="149"/>
        <v>659.41258279441547</v>
      </c>
      <c r="U448" s="167">
        <v>1944.0933341078749</v>
      </c>
      <c r="V448" s="149">
        <f t="shared" si="131"/>
        <v>1284.6807513134595</v>
      </c>
      <c r="W448" s="149">
        <f t="shared" si="147"/>
        <v>1944.0933341078749</v>
      </c>
      <c r="X448" s="149">
        <v>0</v>
      </c>
      <c r="Y448" s="368">
        <v>0</v>
      </c>
      <c r="Z448" s="368">
        <v>0</v>
      </c>
      <c r="AA448" s="368">
        <v>0</v>
      </c>
      <c r="AB448" s="368">
        <v>0</v>
      </c>
      <c r="AC448" s="368">
        <v>0</v>
      </c>
      <c r="AD448" s="368">
        <v>0</v>
      </c>
      <c r="AE448" s="368">
        <v>1273.99</v>
      </c>
      <c r="AF448" s="396">
        <f t="shared" si="148"/>
        <v>1944.0933341078749</v>
      </c>
      <c r="AG448" s="368">
        <v>0</v>
      </c>
      <c r="AH448" s="396">
        <v>0</v>
      </c>
      <c r="AI448" s="368">
        <v>0</v>
      </c>
      <c r="AJ448" s="396">
        <v>0</v>
      </c>
      <c r="AK448" s="368">
        <v>0</v>
      </c>
      <c r="AL448" s="368">
        <v>0</v>
      </c>
      <c r="AM448" s="368">
        <v>0</v>
      </c>
      <c r="AN448" s="368"/>
      <c r="AO448" s="368">
        <v>0</v>
      </c>
    </row>
    <row r="449" spans="1:41" s="152" customFormat="1" ht="36" customHeight="1" x14ac:dyDescent="0.9">
      <c r="A449" s="152">
        <v>1</v>
      </c>
      <c r="B449" s="90">
        <f>SUBTOTAL(103,$A$16:A449)</f>
        <v>394</v>
      </c>
      <c r="C449" s="89" t="s">
        <v>1262</v>
      </c>
      <c r="D449" s="163">
        <v>1974</v>
      </c>
      <c r="E449" s="163"/>
      <c r="F449" s="168" t="s">
        <v>315</v>
      </c>
      <c r="G449" s="163">
        <v>5</v>
      </c>
      <c r="H449" s="163">
        <v>5</v>
      </c>
      <c r="I449" s="167">
        <v>3399.85</v>
      </c>
      <c r="J449" s="167">
        <v>2854.6499999999996</v>
      </c>
      <c r="K449" s="167">
        <v>2776.82</v>
      </c>
      <c r="L449" s="165">
        <v>163</v>
      </c>
      <c r="M449" s="163" t="s">
        <v>268</v>
      </c>
      <c r="N449" s="163" t="s">
        <v>272</v>
      </c>
      <c r="O449" s="166" t="s">
        <v>1319</v>
      </c>
      <c r="P449" s="167">
        <v>4373146.29</v>
      </c>
      <c r="Q449" s="167">
        <v>0</v>
      </c>
      <c r="R449" s="167">
        <v>0</v>
      </c>
      <c r="S449" s="167">
        <f t="shared" si="146"/>
        <v>4373146.29</v>
      </c>
      <c r="T449" s="167">
        <f t="shared" si="149"/>
        <v>1286.2762445402004</v>
      </c>
      <c r="U449" s="167">
        <v>6624.3639085547884</v>
      </c>
      <c r="V449" s="149">
        <f t="shared" si="131"/>
        <v>5338.087664014588</v>
      </c>
      <c r="W449" s="149">
        <f t="shared" si="147"/>
        <v>6624.3639085547884</v>
      </c>
      <c r="X449" s="149">
        <v>0</v>
      </c>
      <c r="Y449" s="368">
        <v>0</v>
      </c>
      <c r="Z449" s="368">
        <v>0</v>
      </c>
      <c r="AA449" s="368">
        <v>0</v>
      </c>
      <c r="AB449" s="368">
        <v>0</v>
      </c>
      <c r="AC449" s="368">
        <v>0</v>
      </c>
      <c r="AD449" s="368">
        <v>0</v>
      </c>
      <c r="AE449" s="368">
        <v>0</v>
      </c>
      <c r="AF449" s="396">
        <v>0</v>
      </c>
      <c r="AG449" s="368">
        <v>0</v>
      </c>
      <c r="AH449" s="396">
        <v>0</v>
      </c>
      <c r="AI449" s="368">
        <v>2886.45</v>
      </c>
      <c r="AJ449" s="397">
        <f>7802.61*AI449/I449</f>
        <v>6624.3639085547884</v>
      </c>
      <c r="AK449" s="368">
        <v>0</v>
      </c>
      <c r="AL449" s="368">
        <v>0</v>
      </c>
      <c r="AM449" s="368">
        <v>0</v>
      </c>
      <c r="AN449" s="368"/>
      <c r="AO449" s="368">
        <v>0</v>
      </c>
    </row>
    <row r="450" spans="1:41" s="152" customFormat="1" ht="36" customHeight="1" x14ac:dyDescent="0.9">
      <c r="A450" s="152">
        <v>1</v>
      </c>
      <c r="B450" s="90">
        <f>SUBTOTAL(103,$A$16:A450)</f>
        <v>395</v>
      </c>
      <c r="C450" s="89" t="s">
        <v>1263</v>
      </c>
      <c r="D450" s="163">
        <v>1959</v>
      </c>
      <c r="E450" s="163"/>
      <c r="F450" s="168" t="s">
        <v>270</v>
      </c>
      <c r="G450" s="163">
        <v>1</v>
      </c>
      <c r="H450" s="163">
        <v>1</v>
      </c>
      <c r="I450" s="167">
        <v>264.3</v>
      </c>
      <c r="J450" s="167">
        <v>252.9</v>
      </c>
      <c r="K450" s="167">
        <v>119.20000000000002</v>
      </c>
      <c r="L450" s="165">
        <v>15</v>
      </c>
      <c r="M450" s="163" t="s">
        <v>268</v>
      </c>
      <c r="N450" s="163" t="s">
        <v>269</v>
      </c>
      <c r="O450" s="166" t="s">
        <v>271</v>
      </c>
      <c r="P450" s="167">
        <v>800120.67999999993</v>
      </c>
      <c r="Q450" s="167">
        <v>0</v>
      </c>
      <c r="R450" s="167">
        <v>0</v>
      </c>
      <c r="S450" s="167">
        <f t="shared" si="146"/>
        <v>800120.67999999993</v>
      </c>
      <c r="T450" s="167">
        <f t="shared" si="149"/>
        <v>3027.3200151343167</v>
      </c>
      <c r="U450" s="167">
        <v>5523.6660612939841</v>
      </c>
      <c r="V450" s="149">
        <f t="shared" si="131"/>
        <v>2496.3460461596674</v>
      </c>
      <c r="W450" s="149">
        <f t="shared" si="147"/>
        <v>5523.6660612939841</v>
      </c>
      <c r="X450" s="149">
        <v>0</v>
      </c>
      <c r="Y450" s="368">
        <v>0</v>
      </c>
      <c r="Z450" s="368">
        <v>0</v>
      </c>
      <c r="AA450" s="368">
        <v>0</v>
      </c>
      <c r="AB450" s="368">
        <v>0</v>
      </c>
      <c r="AC450" s="368">
        <v>0</v>
      </c>
      <c r="AD450" s="368">
        <v>0</v>
      </c>
      <c r="AE450" s="368">
        <v>234</v>
      </c>
      <c r="AF450" s="396">
        <f t="shared" ref="AF450:AF451" si="150">6238.91*AE450/I450</f>
        <v>5523.6660612939841</v>
      </c>
      <c r="AG450" s="368">
        <v>0</v>
      </c>
      <c r="AH450" s="396">
        <v>0</v>
      </c>
      <c r="AI450" s="368">
        <v>0</v>
      </c>
      <c r="AJ450" s="396">
        <v>0</v>
      </c>
      <c r="AK450" s="368">
        <v>0</v>
      </c>
      <c r="AL450" s="368">
        <v>0</v>
      </c>
      <c r="AM450" s="368">
        <v>0</v>
      </c>
      <c r="AN450" s="368"/>
      <c r="AO450" s="368">
        <v>0</v>
      </c>
    </row>
    <row r="451" spans="1:41" s="152" customFormat="1" ht="36" customHeight="1" x14ac:dyDescent="0.9">
      <c r="A451" s="152">
        <v>1</v>
      </c>
      <c r="B451" s="90">
        <f>SUBTOTAL(103,$A$16:A451)</f>
        <v>396</v>
      </c>
      <c r="C451" s="89" t="s">
        <v>1264</v>
      </c>
      <c r="D451" s="163">
        <v>19557</v>
      </c>
      <c r="E451" s="163"/>
      <c r="F451" s="168" t="s">
        <v>334</v>
      </c>
      <c r="G451" s="163">
        <v>2</v>
      </c>
      <c r="H451" s="163">
        <v>2</v>
      </c>
      <c r="I451" s="167">
        <v>394.7</v>
      </c>
      <c r="J451" s="167">
        <v>234.3</v>
      </c>
      <c r="K451" s="167">
        <v>234.3</v>
      </c>
      <c r="L451" s="165">
        <v>12</v>
      </c>
      <c r="M451" s="163" t="s">
        <v>268</v>
      </c>
      <c r="N451" s="163" t="s">
        <v>269</v>
      </c>
      <c r="O451" s="166" t="s">
        <v>271</v>
      </c>
      <c r="P451" s="167">
        <v>1220568.99</v>
      </c>
      <c r="Q451" s="167">
        <v>0</v>
      </c>
      <c r="R451" s="167">
        <v>0</v>
      </c>
      <c r="S451" s="167">
        <f t="shared" si="146"/>
        <v>1220568.99</v>
      </c>
      <c r="T451" s="167">
        <f t="shared" si="149"/>
        <v>3092.3967316949584</v>
      </c>
      <c r="U451" s="167">
        <v>5492.2008325310362</v>
      </c>
      <c r="V451" s="149">
        <f t="shared" si="131"/>
        <v>2399.8041008360779</v>
      </c>
      <c r="W451" s="149">
        <f t="shared" si="147"/>
        <v>5492.2008325310362</v>
      </c>
      <c r="X451" s="149">
        <v>0</v>
      </c>
      <c r="Y451" s="368">
        <v>0</v>
      </c>
      <c r="Z451" s="368">
        <v>0</v>
      </c>
      <c r="AA451" s="368">
        <v>0</v>
      </c>
      <c r="AB451" s="368">
        <v>0</v>
      </c>
      <c r="AC451" s="368">
        <v>0</v>
      </c>
      <c r="AD451" s="368">
        <v>0</v>
      </c>
      <c r="AE451" s="368">
        <v>347.46</v>
      </c>
      <c r="AF451" s="396">
        <f t="shared" si="150"/>
        <v>5492.2008325310362</v>
      </c>
      <c r="AG451" s="368">
        <v>0</v>
      </c>
      <c r="AH451" s="396">
        <v>0</v>
      </c>
      <c r="AI451" s="368">
        <v>0</v>
      </c>
      <c r="AJ451" s="396">
        <v>0</v>
      </c>
      <c r="AK451" s="368">
        <v>0</v>
      </c>
      <c r="AL451" s="368">
        <v>0</v>
      </c>
      <c r="AM451" s="368">
        <v>0</v>
      </c>
      <c r="AN451" s="368"/>
      <c r="AO451" s="368">
        <v>0</v>
      </c>
    </row>
    <row r="452" spans="1:41" s="152" customFormat="1" ht="36" customHeight="1" x14ac:dyDescent="0.9">
      <c r="B452" s="382" t="s">
        <v>896</v>
      </c>
      <c r="C452" s="382"/>
      <c r="D452" s="384" t="s">
        <v>903</v>
      </c>
      <c r="E452" s="163" t="s">
        <v>903</v>
      </c>
      <c r="F452" s="384" t="s">
        <v>903</v>
      </c>
      <c r="G452" s="384" t="s">
        <v>903</v>
      </c>
      <c r="H452" s="163" t="s">
        <v>903</v>
      </c>
      <c r="I452" s="387">
        <f>I453</f>
        <v>878.6</v>
      </c>
      <c r="J452" s="167">
        <f>J453</f>
        <v>516.76</v>
      </c>
      <c r="K452" s="167">
        <f>K453</f>
        <v>465.9</v>
      </c>
      <c r="L452" s="177">
        <f>L453</f>
        <v>65</v>
      </c>
      <c r="M452" s="163" t="s">
        <v>903</v>
      </c>
      <c r="N452" s="163" t="s">
        <v>903</v>
      </c>
      <c r="O452" s="166" t="s">
        <v>903</v>
      </c>
      <c r="P452" s="387">
        <v>3623254.4499999997</v>
      </c>
      <c r="Q452" s="167">
        <f>Q453</f>
        <v>0</v>
      </c>
      <c r="R452" s="167">
        <f>R453</f>
        <v>0</v>
      </c>
      <c r="S452" s="167">
        <f>S453</f>
        <v>3623254.4499999997</v>
      </c>
      <c r="T452" s="387">
        <f t="shared" si="149"/>
        <v>4123.8953448668335</v>
      </c>
      <c r="U452" s="387">
        <f>MAX(U453)</f>
        <v>5945.6400443887997</v>
      </c>
      <c r="V452" s="149">
        <f t="shared" si="131"/>
        <v>1821.7446995219661</v>
      </c>
      <c r="W452" s="149"/>
      <c r="X452" s="149"/>
      <c r="Y452" s="368"/>
      <c r="Z452" s="368"/>
      <c r="AA452" s="368"/>
      <c r="AB452" s="368"/>
      <c r="AC452" s="368"/>
      <c r="AD452" s="368"/>
      <c r="AE452" s="368"/>
      <c r="AF452" s="368"/>
      <c r="AG452" s="368"/>
      <c r="AH452" s="368"/>
      <c r="AI452" s="368"/>
      <c r="AJ452" s="368"/>
      <c r="AK452" s="368"/>
      <c r="AL452" s="368"/>
      <c r="AM452" s="368"/>
      <c r="AN452" s="368"/>
      <c r="AO452" s="368"/>
    </row>
    <row r="453" spans="1:41" s="152" customFormat="1" ht="36" customHeight="1" x14ac:dyDescent="0.9">
      <c r="A453" s="152">
        <v>1</v>
      </c>
      <c r="B453" s="90">
        <f>SUBTOTAL(103,$A$16:A453)</f>
        <v>397</v>
      </c>
      <c r="C453" s="89" t="s">
        <v>1573</v>
      </c>
      <c r="D453" s="163">
        <v>1979</v>
      </c>
      <c r="E453" s="163"/>
      <c r="F453" s="168" t="s">
        <v>270</v>
      </c>
      <c r="G453" s="163">
        <v>2</v>
      </c>
      <c r="H453" s="163">
        <v>2</v>
      </c>
      <c r="I453" s="167">
        <v>878.6</v>
      </c>
      <c r="J453" s="167">
        <v>516.76</v>
      </c>
      <c r="K453" s="167">
        <v>465.9</v>
      </c>
      <c r="L453" s="165">
        <v>65</v>
      </c>
      <c r="M453" s="163" t="s">
        <v>268</v>
      </c>
      <c r="N453" s="163" t="s">
        <v>269</v>
      </c>
      <c r="O453" s="166" t="s">
        <v>271</v>
      </c>
      <c r="P453" s="167">
        <v>3623254.4499999997</v>
      </c>
      <c r="Q453" s="167">
        <v>0</v>
      </c>
      <c r="R453" s="167">
        <v>0</v>
      </c>
      <c r="S453" s="167">
        <f>P453-R453-Q453</f>
        <v>3623254.4499999997</v>
      </c>
      <c r="T453" s="167">
        <f t="shared" si="149"/>
        <v>4123.8953448668335</v>
      </c>
      <c r="U453" s="167">
        <v>5945.6400443887997</v>
      </c>
      <c r="V453" s="149">
        <f>U453-T453</f>
        <v>1821.7446995219661</v>
      </c>
      <c r="W453" s="149">
        <f>X453+Y453+Z453+AA453+AB453+AD453+AF453+AH453+AJ453+AL453+AN453+AO453</f>
        <v>5945.6400443887997</v>
      </c>
      <c r="X453" s="149">
        <v>0</v>
      </c>
      <c r="Y453" s="368">
        <v>0</v>
      </c>
      <c r="Z453" s="368">
        <v>0</v>
      </c>
      <c r="AA453" s="368">
        <v>0</v>
      </c>
      <c r="AB453" s="368">
        <v>0</v>
      </c>
      <c r="AC453" s="368">
        <v>0</v>
      </c>
      <c r="AD453" s="368">
        <v>0</v>
      </c>
      <c r="AE453" s="368">
        <v>837.3</v>
      </c>
      <c r="AF453" s="396">
        <f>6238.91*AE453/I453</f>
        <v>5945.6400443887997</v>
      </c>
      <c r="AG453" s="368">
        <v>0</v>
      </c>
      <c r="AH453" s="396">
        <v>0</v>
      </c>
      <c r="AI453" s="368">
        <v>0</v>
      </c>
      <c r="AJ453" s="396">
        <v>0</v>
      </c>
      <c r="AK453" s="368">
        <v>0</v>
      </c>
      <c r="AL453" s="368">
        <v>0</v>
      </c>
      <c r="AM453" s="368">
        <v>0</v>
      </c>
      <c r="AN453" s="368"/>
      <c r="AO453" s="368">
        <v>0</v>
      </c>
    </row>
    <row r="454" spans="1:41" s="152" customFormat="1" ht="36" customHeight="1" x14ac:dyDescent="0.9">
      <c r="B454" s="382" t="s">
        <v>860</v>
      </c>
      <c r="C454" s="388"/>
      <c r="D454" s="384" t="s">
        <v>903</v>
      </c>
      <c r="E454" s="163" t="s">
        <v>903</v>
      </c>
      <c r="F454" s="384" t="s">
        <v>903</v>
      </c>
      <c r="G454" s="384" t="s">
        <v>903</v>
      </c>
      <c r="H454" s="163" t="s">
        <v>903</v>
      </c>
      <c r="I454" s="386">
        <f>I455</f>
        <v>940.6</v>
      </c>
      <c r="J454" s="164">
        <f>J455</f>
        <v>495.6</v>
      </c>
      <c r="K454" s="164">
        <f>K455</f>
        <v>495.6</v>
      </c>
      <c r="L454" s="165">
        <f>L455</f>
        <v>33</v>
      </c>
      <c r="M454" s="163" t="s">
        <v>903</v>
      </c>
      <c r="N454" s="163" t="s">
        <v>903</v>
      </c>
      <c r="O454" s="166" t="s">
        <v>903</v>
      </c>
      <c r="P454" s="387">
        <v>3515825.94</v>
      </c>
      <c r="Q454" s="167">
        <f>Q455</f>
        <v>0</v>
      </c>
      <c r="R454" s="167">
        <f>R455</f>
        <v>0</v>
      </c>
      <c r="S454" s="167">
        <f>S455</f>
        <v>3515825.94</v>
      </c>
      <c r="T454" s="387">
        <f t="shared" si="149"/>
        <v>3737.8544971294918</v>
      </c>
      <c r="U454" s="387">
        <f>MAX(U455)</f>
        <v>5348.9068702955556</v>
      </c>
      <c r="V454" s="149">
        <f t="shared" si="131"/>
        <v>1611.0523731660637</v>
      </c>
      <c r="W454" s="149"/>
      <c r="X454" s="149"/>
      <c r="Y454" s="368"/>
      <c r="Z454" s="368"/>
      <c r="AA454" s="368"/>
      <c r="AB454" s="368"/>
      <c r="AC454" s="368"/>
      <c r="AD454" s="368"/>
      <c r="AE454" s="368"/>
      <c r="AF454" s="368"/>
      <c r="AG454" s="368"/>
      <c r="AH454" s="368"/>
      <c r="AI454" s="368"/>
      <c r="AJ454" s="368"/>
      <c r="AK454" s="368"/>
      <c r="AL454" s="368"/>
      <c r="AM454" s="368"/>
      <c r="AN454" s="368"/>
      <c r="AO454" s="368"/>
    </row>
    <row r="455" spans="1:41" s="152" customFormat="1" ht="36" customHeight="1" x14ac:dyDescent="0.9">
      <c r="A455" s="152">
        <v>1</v>
      </c>
      <c r="B455" s="90">
        <f>SUBTOTAL(103,$A$16:A455)</f>
        <v>398</v>
      </c>
      <c r="C455" s="89" t="s">
        <v>229</v>
      </c>
      <c r="D455" s="163">
        <v>1995</v>
      </c>
      <c r="E455" s="163"/>
      <c r="F455" s="168" t="s">
        <v>270</v>
      </c>
      <c r="G455" s="163">
        <v>2</v>
      </c>
      <c r="H455" s="163">
        <v>3</v>
      </c>
      <c r="I455" s="167">
        <v>940.6</v>
      </c>
      <c r="J455" s="167">
        <v>495.6</v>
      </c>
      <c r="K455" s="167">
        <v>495.6</v>
      </c>
      <c r="L455" s="165">
        <v>33</v>
      </c>
      <c r="M455" s="163" t="s">
        <v>268</v>
      </c>
      <c r="N455" s="163" t="s">
        <v>272</v>
      </c>
      <c r="O455" s="166" t="s">
        <v>714</v>
      </c>
      <c r="P455" s="167">
        <v>3515825.94</v>
      </c>
      <c r="Q455" s="167">
        <v>0</v>
      </c>
      <c r="R455" s="167">
        <v>0</v>
      </c>
      <c r="S455" s="167">
        <f>P455-Q455-R455</f>
        <v>3515825.94</v>
      </c>
      <c r="T455" s="167">
        <f t="shared" si="149"/>
        <v>3737.8544971294918</v>
      </c>
      <c r="U455" s="167">
        <v>5348.9068702955556</v>
      </c>
      <c r="V455" s="149">
        <f>U455-T455</f>
        <v>1611.0523731660637</v>
      </c>
      <c r="W455" s="149">
        <f>X455+Y455+Z455+AA455+AB455+AD455+AF455+AH455+AJ455+AL455+AN455+AO455</f>
        <v>5348.9068702955556</v>
      </c>
      <c r="X455" s="149">
        <v>0</v>
      </c>
      <c r="Y455" s="368">
        <v>0</v>
      </c>
      <c r="Z455" s="368">
        <v>0</v>
      </c>
      <c r="AA455" s="368">
        <v>0</v>
      </c>
      <c r="AB455" s="368">
        <v>0</v>
      </c>
      <c r="AC455" s="368">
        <v>0</v>
      </c>
      <c r="AD455" s="368">
        <v>0</v>
      </c>
      <c r="AE455" s="368">
        <v>806.42</v>
      </c>
      <c r="AF455" s="396">
        <f>6238.91*AE455/I455</f>
        <v>5348.9068702955556</v>
      </c>
      <c r="AG455" s="368">
        <v>0</v>
      </c>
      <c r="AH455" s="396">
        <v>0</v>
      </c>
      <c r="AI455" s="368">
        <v>0</v>
      </c>
      <c r="AJ455" s="396">
        <v>0</v>
      </c>
      <c r="AK455" s="368">
        <v>0</v>
      </c>
      <c r="AL455" s="368">
        <v>0</v>
      </c>
      <c r="AM455" s="368">
        <v>0</v>
      </c>
      <c r="AN455" s="368"/>
      <c r="AO455" s="368">
        <v>0</v>
      </c>
    </row>
    <row r="456" spans="1:41" s="152" customFormat="1" ht="36" customHeight="1" x14ac:dyDescent="0.9">
      <c r="B456" s="382" t="s">
        <v>861</v>
      </c>
      <c r="C456" s="382"/>
      <c r="D456" s="384" t="s">
        <v>903</v>
      </c>
      <c r="E456" s="163" t="s">
        <v>903</v>
      </c>
      <c r="F456" s="384" t="s">
        <v>903</v>
      </c>
      <c r="G456" s="384" t="s">
        <v>903</v>
      </c>
      <c r="H456" s="163" t="s">
        <v>903</v>
      </c>
      <c r="I456" s="386">
        <f>I457</f>
        <v>320</v>
      </c>
      <c r="J456" s="164">
        <f>J457</f>
        <v>282.42</v>
      </c>
      <c r="K456" s="164">
        <f>K457</f>
        <v>282.42</v>
      </c>
      <c r="L456" s="165">
        <f>L457</f>
        <v>19</v>
      </c>
      <c r="M456" s="163" t="s">
        <v>903</v>
      </c>
      <c r="N456" s="163" t="s">
        <v>903</v>
      </c>
      <c r="O456" s="166" t="s">
        <v>903</v>
      </c>
      <c r="P456" s="387">
        <v>1371104.41</v>
      </c>
      <c r="Q456" s="167">
        <f>Q457</f>
        <v>0</v>
      </c>
      <c r="R456" s="167">
        <f>R457</f>
        <v>0</v>
      </c>
      <c r="S456" s="167">
        <f>S457</f>
        <v>1371104.41</v>
      </c>
      <c r="T456" s="387">
        <f t="shared" si="149"/>
        <v>4284.7012812499997</v>
      </c>
      <c r="U456" s="387">
        <f>MAX(U457)</f>
        <v>5887.9713124999998</v>
      </c>
      <c r="V456" s="149">
        <f t="shared" si="131"/>
        <v>1603.2700312500001</v>
      </c>
      <c r="W456" s="149"/>
      <c r="X456" s="149"/>
      <c r="Y456" s="368"/>
      <c r="Z456" s="368"/>
      <c r="AA456" s="368"/>
      <c r="AB456" s="368"/>
      <c r="AC456" s="368"/>
      <c r="AD456" s="368"/>
      <c r="AE456" s="368"/>
      <c r="AF456" s="368"/>
      <c r="AG456" s="368"/>
      <c r="AH456" s="368"/>
      <c r="AI456" s="368"/>
      <c r="AJ456" s="368"/>
      <c r="AK456" s="368"/>
      <c r="AL456" s="368"/>
      <c r="AM456" s="368"/>
      <c r="AN456" s="368"/>
      <c r="AO456" s="368"/>
    </row>
    <row r="457" spans="1:41" s="152" customFormat="1" ht="36" customHeight="1" x14ac:dyDescent="0.9">
      <c r="A457" s="152">
        <v>1</v>
      </c>
      <c r="B457" s="90">
        <f>SUBTOTAL(103,$A$16:A457)</f>
        <v>399</v>
      </c>
      <c r="C457" s="89" t="s">
        <v>232</v>
      </c>
      <c r="D457" s="163">
        <v>1975</v>
      </c>
      <c r="E457" s="163"/>
      <c r="F457" s="168" t="s">
        <v>270</v>
      </c>
      <c r="G457" s="163">
        <v>2</v>
      </c>
      <c r="H457" s="163">
        <v>1</v>
      </c>
      <c r="I457" s="167">
        <v>320</v>
      </c>
      <c r="J457" s="167">
        <v>282.42</v>
      </c>
      <c r="K457" s="167">
        <v>282.42</v>
      </c>
      <c r="L457" s="165">
        <v>19</v>
      </c>
      <c r="M457" s="163" t="s">
        <v>268</v>
      </c>
      <c r="N457" s="163" t="s">
        <v>272</v>
      </c>
      <c r="O457" s="166" t="s">
        <v>714</v>
      </c>
      <c r="P457" s="167">
        <v>1371104.41</v>
      </c>
      <c r="Q457" s="167">
        <v>0</v>
      </c>
      <c r="R457" s="167">
        <v>0</v>
      </c>
      <c r="S457" s="167">
        <f>P457-Q457-R457</f>
        <v>1371104.41</v>
      </c>
      <c r="T457" s="167">
        <f t="shared" si="149"/>
        <v>4284.7012812499997</v>
      </c>
      <c r="U457" s="167">
        <v>5887.9713124999998</v>
      </c>
      <c r="V457" s="149">
        <f>U457-T457</f>
        <v>1603.2700312500001</v>
      </c>
      <c r="W457" s="149">
        <f>X457+Y457+Z457+AA457+AB457+AD457+AF457+AH457+AJ457+AL457+AN457+AO457</f>
        <v>5887.9713124999998</v>
      </c>
      <c r="X457" s="149">
        <v>0</v>
      </c>
      <c r="Y457" s="368">
        <v>0</v>
      </c>
      <c r="Z457" s="368">
        <v>0</v>
      </c>
      <c r="AA457" s="368">
        <v>0</v>
      </c>
      <c r="AB457" s="368">
        <v>0</v>
      </c>
      <c r="AC457" s="368">
        <v>0</v>
      </c>
      <c r="AD457" s="368">
        <v>0</v>
      </c>
      <c r="AE457" s="368">
        <v>302</v>
      </c>
      <c r="AF457" s="396">
        <f>6238.91*AE457/I457</f>
        <v>5887.9713124999998</v>
      </c>
      <c r="AG457" s="368">
        <v>0</v>
      </c>
      <c r="AH457" s="396">
        <v>0</v>
      </c>
      <c r="AI457" s="368">
        <v>0</v>
      </c>
      <c r="AJ457" s="396">
        <v>0</v>
      </c>
      <c r="AK457" s="368">
        <v>0</v>
      </c>
      <c r="AL457" s="368">
        <v>0</v>
      </c>
      <c r="AM457" s="368">
        <v>0</v>
      </c>
      <c r="AN457" s="368"/>
      <c r="AO457" s="368">
        <v>0</v>
      </c>
    </row>
    <row r="458" spans="1:41" s="152" customFormat="1" ht="36" customHeight="1" x14ac:dyDescent="0.9">
      <c r="B458" s="382" t="s">
        <v>1306</v>
      </c>
      <c r="C458" s="382"/>
      <c r="D458" s="384" t="s">
        <v>903</v>
      </c>
      <c r="E458" s="163" t="s">
        <v>903</v>
      </c>
      <c r="F458" s="384" t="s">
        <v>903</v>
      </c>
      <c r="G458" s="384" t="s">
        <v>903</v>
      </c>
      <c r="H458" s="163" t="s">
        <v>903</v>
      </c>
      <c r="I458" s="386">
        <f>I459</f>
        <v>953.9</v>
      </c>
      <c r="J458" s="164">
        <f>J459</f>
        <v>857.7</v>
      </c>
      <c r="K458" s="164">
        <f>K459</f>
        <v>857.7</v>
      </c>
      <c r="L458" s="165">
        <f>L459</f>
        <v>28</v>
      </c>
      <c r="M458" s="163" t="s">
        <v>903</v>
      </c>
      <c r="N458" s="163" t="s">
        <v>903</v>
      </c>
      <c r="O458" s="166" t="s">
        <v>903</v>
      </c>
      <c r="P458" s="387">
        <v>4974970.34</v>
      </c>
      <c r="Q458" s="167">
        <f>Q459</f>
        <v>0</v>
      </c>
      <c r="R458" s="167">
        <f>R459</f>
        <v>0</v>
      </c>
      <c r="S458" s="167">
        <f>S459</f>
        <v>4974970.34</v>
      </c>
      <c r="T458" s="387">
        <f t="shared" si="149"/>
        <v>5215.4002935318167</v>
      </c>
      <c r="U458" s="387">
        <f>U459</f>
        <v>5215.4002935318167</v>
      </c>
      <c r="V458" s="149">
        <f t="shared" si="131"/>
        <v>0</v>
      </c>
      <c r="W458" s="149"/>
      <c r="X458" s="149"/>
      <c r="Y458" s="368"/>
      <c r="Z458" s="368"/>
      <c r="AA458" s="368"/>
      <c r="AB458" s="368"/>
      <c r="AC458" s="368"/>
      <c r="AD458" s="368"/>
      <c r="AE458" s="368"/>
      <c r="AF458" s="368"/>
      <c r="AG458" s="368"/>
      <c r="AH458" s="368"/>
      <c r="AI458" s="368"/>
      <c r="AJ458" s="368"/>
      <c r="AK458" s="368"/>
      <c r="AL458" s="368"/>
      <c r="AM458" s="368"/>
      <c r="AN458" s="368"/>
      <c r="AO458" s="368"/>
    </row>
    <row r="459" spans="1:41" s="152" customFormat="1" ht="36" customHeight="1" x14ac:dyDescent="0.9">
      <c r="A459" s="152">
        <v>1</v>
      </c>
      <c r="B459" s="90">
        <f>SUBTOTAL(103,$A$16:A459)</f>
        <v>400</v>
      </c>
      <c r="C459" s="89" t="s">
        <v>1307</v>
      </c>
      <c r="D459" s="163">
        <v>1984</v>
      </c>
      <c r="E459" s="163"/>
      <c r="F459" s="168" t="s">
        <v>270</v>
      </c>
      <c r="G459" s="163">
        <v>2</v>
      </c>
      <c r="H459" s="163">
        <v>3</v>
      </c>
      <c r="I459" s="167">
        <v>953.9</v>
      </c>
      <c r="J459" s="167">
        <v>857.7</v>
      </c>
      <c r="K459" s="167">
        <v>857.7</v>
      </c>
      <c r="L459" s="165">
        <v>28</v>
      </c>
      <c r="M459" s="163" t="s">
        <v>268</v>
      </c>
      <c r="N459" s="163" t="s">
        <v>269</v>
      </c>
      <c r="O459" s="166" t="s">
        <v>271</v>
      </c>
      <c r="P459" s="167">
        <v>4974970.34</v>
      </c>
      <c r="Q459" s="167">
        <v>0</v>
      </c>
      <c r="R459" s="167">
        <v>0</v>
      </c>
      <c r="S459" s="167">
        <f>P459-Q459-R459</f>
        <v>4974970.34</v>
      </c>
      <c r="T459" s="167">
        <f t="shared" si="149"/>
        <v>5215.4002935318167</v>
      </c>
      <c r="U459" s="167">
        <v>5215.4002935318167</v>
      </c>
      <c r="V459" s="149">
        <f>U459-T459</f>
        <v>0</v>
      </c>
      <c r="W459" s="149">
        <f>T459</f>
        <v>5215.4002935318167</v>
      </c>
      <c r="X459" s="149">
        <v>0</v>
      </c>
      <c r="Y459" s="368">
        <v>0</v>
      </c>
      <c r="Z459" s="368">
        <v>0</v>
      </c>
      <c r="AA459" s="368">
        <v>0</v>
      </c>
      <c r="AB459" s="368">
        <v>0</v>
      </c>
      <c r="AC459" s="368">
        <v>0</v>
      </c>
      <c r="AD459" s="368">
        <v>0</v>
      </c>
      <c r="AE459" s="368">
        <v>735</v>
      </c>
      <c r="AF459" s="396">
        <f>6436.53*AE459/I459</f>
        <v>4959.4816542614526</v>
      </c>
      <c r="AG459" s="368">
        <v>0</v>
      </c>
      <c r="AH459" s="396">
        <v>0</v>
      </c>
      <c r="AI459" s="368">
        <v>0</v>
      </c>
      <c r="AJ459" s="396">
        <v>0</v>
      </c>
      <c r="AK459" s="368">
        <v>0</v>
      </c>
      <c r="AL459" s="368">
        <v>0</v>
      </c>
      <c r="AM459" s="368">
        <v>0</v>
      </c>
      <c r="AN459" s="368"/>
      <c r="AO459" s="368">
        <v>0</v>
      </c>
    </row>
    <row r="460" spans="1:41" s="152" customFormat="1" ht="36" customHeight="1" x14ac:dyDescent="0.9">
      <c r="B460" s="382" t="s">
        <v>862</v>
      </c>
      <c r="C460" s="388"/>
      <c r="D460" s="384" t="s">
        <v>903</v>
      </c>
      <c r="E460" s="163" t="s">
        <v>903</v>
      </c>
      <c r="F460" s="384" t="s">
        <v>903</v>
      </c>
      <c r="G460" s="384" t="s">
        <v>903</v>
      </c>
      <c r="H460" s="163" t="s">
        <v>903</v>
      </c>
      <c r="I460" s="386">
        <f>I461</f>
        <v>1446.38</v>
      </c>
      <c r="J460" s="164">
        <f>J461</f>
        <v>996.18</v>
      </c>
      <c r="K460" s="164">
        <f>K461</f>
        <v>229.3</v>
      </c>
      <c r="L460" s="165">
        <f>L461</f>
        <v>93</v>
      </c>
      <c r="M460" s="163" t="s">
        <v>903</v>
      </c>
      <c r="N460" s="163" t="s">
        <v>903</v>
      </c>
      <c r="O460" s="166" t="s">
        <v>903</v>
      </c>
      <c r="P460" s="387">
        <v>5368567.4000000004</v>
      </c>
      <c r="Q460" s="167">
        <f>Q461</f>
        <v>0</v>
      </c>
      <c r="R460" s="167">
        <f>R461</f>
        <v>0</v>
      </c>
      <c r="S460" s="167">
        <f>S461</f>
        <v>5368567.4000000004</v>
      </c>
      <c r="T460" s="387">
        <f t="shared" si="149"/>
        <v>3711.7267937886309</v>
      </c>
      <c r="U460" s="387">
        <f>U461</f>
        <v>4227.1960342371985</v>
      </c>
      <c r="V460" s="149">
        <f t="shared" si="131"/>
        <v>515.46924044856769</v>
      </c>
      <c r="W460" s="149"/>
      <c r="X460" s="149"/>
      <c r="Y460" s="368"/>
      <c r="Z460" s="368"/>
      <c r="AA460" s="368"/>
      <c r="AB460" s="368"/>
      <c r="AC460" s="368"/>
      <c r="AD460" s="368"/>
      <c r="AE460" s="368"/>
      <c r="AF460" s="368"/>
      <c r="AG460" s="368"/>
      <c r="AH460" s="368"/>
      <c r="AI460" s="368"/>
      <c r="AJ460" s="368"/>
      <c r="AK460" s="368"/>
      <c r="AL460" s="368"/>
      <c r="AM460" s="368"/>
      <c r="AN460" s="368"/>
      <c r="AO460" s="368"/>
    </row>
    <row r="461" spans="1:41" s="152" customFormat="1" ht="36" customHeight="1" x14ac:dyDescent="0.9">
      <c r="A461" s="152">
        <v>1</v>
      </c>
      <c r="B461" s="90">
        <f>SUBTOTAL(103,$A$16:A461)</f>
        <v>401</v>
      </c>
      <c r="C461" s="89" t="s">
        <v>140</v>
      </c>
      <c r="D461" s="163">
        <v>1983</v>
      </c>
      <c r="E461" s="163"/>
      <c r="F461" s="168" t="s">
        <v>270</v>
      </c>
      <c r="G461" s="163">
        <v>2</v>
      </c>
      <c r="H461" s="163">
        <v>1</v>
      </c>
      <c r="I461" s="167">
        <v>1446.38</v>
      </c>
      <c r="J461" s="167">
        <v>996.18</v>
      </c>
      <c r="K461" s="167">
        <v>229.3</v>
      </c>
      <c r="L461" s="165">
        <v>93</v>
      </c>
      <c r="M461" s="163" t="s">
        <v>268</v>
      </c>
      <c r="N461" s="163" t="s">
        <v>272</v>
      </c>
      <c r="O461" s="166" t="s">
        <v>1007</v>
      </c>
      <c r="P461" s="167">
        <v>5368567.4000000004</v>
      </c>
      <c r="Q461" s="167">
        <v>0</v>
      </c>
      <c r="R461" s="167">
        <v>0</v>
      </c>
      <c r="S461" s="167">
        <f>P461-Q461-R461</f>
        <v>5368567.4000000004</v>
      </c>
      <c r="T461" s="167">
        <f t="shared" si="149"/>
        <v>3711.7267937886309</v>
      </c>
      <c r="U461" s="167">
        <v>4227.1960342371985</v>
      </c>
      <c r="V461" s="149">
        <f>U461-T461</f>
        <v>515.46924044856769</v>
      </c>
      <c r="W461" s="149">
        <f>X461+Y461+Z461+AA461+AB461+AD461+AF461+AH461+AJ461+AL461+AN461+AO461</f>
        <v>4227.1960342371985</v>
      </c>
      <c r="X461" s="149">
        <v>0</v>
      </c>
      <c r="Y461" s="368">
        <v>0</v>
      </c>
      <c r="Z461" s="368">
        <v>0</v>
      </c>
      <c r="AA461" s="368">
        <v>0</v>
      </c>
      <c r="AB461" s="368">
        <v>0</v>
      </c>
      <c r="AC461" s="368">
        <v>0</v>
      </c>
      <c r="AD461" s="368">
        <v>0</v>
      </c>
      <c r="AE461" s="368">
        <v>980</v>
      </c>
      <c r="AF461" s="396">
        <f>6238.91*AE461/I461</f>
        <v>4227.1960342371985</v>
      </c>
      <c r="AG461" s="368">
        <v>0</v>
      </c>
      <c r="AH461" s="396">
        <v>0</v>
      </c>
      <c r="AI461" s="368">
        <v>0</v>
      </c>
      <c r="AJ461" s="396">
        <v>0</v>
      </c>
      <c r="AK461" s="368">
        <v>0</v>
      </c>
      <c r="AL461" s="368">
        <v>0</v>
      </c>
      <c r="AM461" s="368">
        <v>0</v>
      </c>
      <c r="AN461" s="368"/>
      <c r="AO461" s="368">
        <v>0</v>
      </c>
    </row>
    <row r="462" spans="1:41" s="152" customFormat="1" ht="36" customHeight="1" x14ac:dyDescent="0.9">
      <c r="B462" s="382" t="s">
        <v>863</v>
      </c>
      <c r="C462" s="382"/>
      <c r="D462" s="384" t="s">
        <v>903</v>
      </c>
      <c r="E462" s="163" t="s">
        <v>903</v>
      </c>
      <c r="F462" s="384" t="s">
        <v>903</v>
      </c>
      <c r="G462" s="384" t="s">
        <v>903</v>
      </c>
      <c r="H462" s="163" t="s">
        <v>903</v>
      </c>
      <c r="I462" s="386">
        <f>I463</f>
        <v>676.3</v>
      </c>
      <c r="J462" s="164">
        <f>J463</f>
        <v>631.49</v>
      </c>
      <c r="K462" s="164">
        <f>K463</f>
        <v>546.79</v>
      </c>
      <c r="L462" s="165">
        <f>L463</f>
        <v>33</v>
      </c>
      <c r="M462" s="163" t="s">
        <v>903</v>
      </c>
      <c r="N462" s="163" t="s">
        <v>903</v>
      </c>
      <c r="O462" s="166" t="s">
        <v>903</v>
      </c>
      <c r="P462" s="387">
        <v>2682382.0500000003</v>
      </c>
      <c r="Q462" s="167">
        <f>Q463</f>
        <v>0</v>
      </c>
      <c r="R462" s="167">
        <f>R463</f>
        <v>0</v>
      </c>
      <c r="S462" s="167">
        <f>S463</f>
        <v>2682382.0500000003</v>
      </c>
      <c r="T462" s="387">
        <f t="shared" si="149"/>
        <v>3966.2606091971024</v>
      </c>
      <c r="U462" s="387">
        <f>U463</f>
        <v>5803.4604739822853</v>
      </c>
      <c r="V462" s="149">
        <f t="shared" si="131"/>
        <v>1837.1998647851829</v>
      </c>
      <c r="W462" s="149"/>
      <c r="X462" s="149"/>
      <c r="Y462" s="368"/>
      <c r="Z462" s="368"/>
      <c r="AA462" s="368"/>
      <c r="AB462" s="368"/>
      <c r="AC462" s="368"/>
      <c r="AD462" s="368"/>
      <c r="AE462" s="368"/>
      <c r="AF462" s="368"/>
      <c r="AG462" s="368"/>
      <c r="AH462" s="368"/>
      <c r="AI462" s="368"/>
      <c r="AJ462" s="368"/>
      <c r="AK462" s="368"/>
      <c r="AL462" s="368"/>
      <c r="AM462" s="368"/>
      <c r="AN462" s="368"/>
      <c r="AO462" s="368"/>
    </row>
    <row r="463" spans="1:41" s="152" customFormat="1" ht="36" customHeight="1" x14ac:dyDescent="0.9">
      <c r="A463" s="152">
        <v>1</v>
      </c>
      <c r="B463" s="90">
        <f>SUBTOTAL(103,$A$16:A463)</f>
        <v>402</v>
      </c>
      <c r="C463" s="89" t="s">
        <v>145</v>
      </c>
      <c r="D463" s="163">
        <v>1965</v>
      </c>
      <c r="E463" s="163"/>
      <c r="F463" s="168" t="s">
        <v>270</v>
      </c>
      <c r="G463" s="163">
        <v>2</v>
      </c>
      <c r="H463" s="163">
        <v>2</v>
      </c>
      <c r="I463" s="167">
        <v>676.3</v>
      </c>
      <c r="J463" s="167">
        <v>631.49</v>
      </c>
      <c r="K463" s="167">
        <v>546.79</v>
      </c>
      <c r="L463" s="165">
        <v>33</v>
      </c>
      <c r="M463" s="163" t="s">
        <v>268</v>
      </c>
      <c r="N463" s="163" t="s">
        <v>272</v>
      </c>
      <c r="O463" s="166" t="s">
        <v>291</v>
      </c>
      <c r="P463" s="167">
        <v>2682382.0500000003</v>
      </c>
      <c r="Q463" s="167">
        <v>0</v>
      </c>
      <c r="R463" s="167">
        <v>0</v>
      </c>
      <c r="S463" s="167">
        <f>P463-Q463-R463</f>
        <v>2682382.0500000003</v>
      </c>
      <c r="T463" s="167">
        <f t="shared" si="149"/>
        <v>3966.2606091971024</v>
      </c>
      <c r="U463" s="167">
        <v>5803.4604739822853</v>
      </c>
      <c r="V463" s="149">
        <f>U463-T463</f>
        <v>1837.1998647851829</v>
      </c>
      <c r="W463" s="149">
        <f>X463+Y463+Z463+AA463+AB463+AD463+AF463+AH463+AJ463+AL463+AN463+AO463</f>
        <v>5803.4604739822853</v>
      </c>
      <c r="X463" s="149">
        <v>0</v>
      </c>
      <c r="Y463" s="368">
        <v>0</v>
      </c>
      <c r="Z463" s="368">
        <v>0</v>
      </c>
      <c r="AA463" s="368">
        <v>0</v>
      </c>
      <c r="AB463" s="368">
        <v>0</v>
      </c>
      <c r="AC463" s="368">
        <v>0</v>
      </c>
      <c r="AD463" s="368">
        <v>0</v>
      </c>
      <c r="AE463" s="368">
        <v>629.09712090000005</v>
      </c>
      <c r="AF463" s="396">
        <f>6238.91*AE463/I463</f>
        <v>5803.4604739822853</v>
      </c>
      <c r="AG463" s="368">
        <v>0</v>
      </c>
      <c r="AH463" s="396">
        <v>0</v>
      </c>
      <c r="AI463" s="368">
        <v>0</v>
      </c>
      <c r="AJ463" s="396">
        <v>0</v>
      </c>
      <c r="AK463" s="368">
        <v>0</v>
      </c>
      <c r="AL463" s="368">
        <v>0</v>
      </c>
      <c r="AM463" s="368">
        <v>0</v>
      </c>
      <c r="AN463" s="368"/>
      <c r="AO463" s="368">
        <v>0</v>
      </c>
    </row>
    <row r="464" spans="1:41" s="152" customFormat="1" ht="36" customHeight="1" x14ac:dyDescent="0.9">
      <c r="B464" s="382" t="s">
        <v>864</v>
      </c>
      <c r="C464" s="382"/>
      <c r="D464" s="384" t="s">
        <v>903</v>
      </c>
      <c r="E464" s="163" t="s">
        <v>903</v>
      </c>
      <c r="F464" s="384" t="s">
        <v>903</v>
      </c>
      <c r="G464" s="384" t="s">
        <v>903</v>
      </c>
      <c r="H464" s="163" t="s">
        <v>903</v>
      </c>
      <c r="I464" s="386">
        <f>SUM(I465:I469)</f>
        <v>3415.58</v>
      </c>
      <c r="J464" s="164">
        <f>SUM(J465:J469)</f>
        <v>3004.1000000000004</v>
      </c>
      <c r="K464" s="164">
        <f>SUM(K465:K469)</f>
        <v>2955.3</v>
      </c>
      <c r="L464" s="165">
        <f>SUM(L465:L469)</f>
        <v>141</v>
      </c>
      <c r="M464" s="163" t="s">
        <v>903</v>
      </c>
      <c r="N464" s="163" t="s">
        <v>903</v>
      </c>
      <c r="O464" s="166" t="s">
        <v>903</v>
      </c>
      <c r="P464" s="387">
        <v>11742480.74</v>
      </c>
      <c r="Q464" s="167">
        <f>SUM(Q465:Q469)</f>
        <v>0</v>
      </c>
      <c r="R464" s="167">
        <f>SUM(R465:R469)</f>
        <v>0</v>
      </c>
      <c r="S464" s="167">
        <f>SUM(S465:S469)</f>
        <v>11742480.74</v>
      </c>
      <c r="T464" s="387">
        <f t="shared" si="149"/>
        <v>3437.9170565467653</v>
      </c>
      <c r="U464" s="387">
        <f>MAX(U465:U469)</f>
        <v>6590.812635692575</v>
      </c>
      <c r="V464" s="149">
        <f t="shared" si="131"/>
        <v>3152.8955791458097</v>
      </c>
      <c r="W464" s="149"/>
      <c r="X464" s="149"/>
      <c r="Y464" s="368"/>
      <c r="Z464" s="368"/>
      <c r="AA464" s="368"/>
      <c r="AB464" s="368"/>
      <c r="AC464" s="368"/>
      <c r="AD464" s="368"/>
      <c r="AE464" s="368"/>
      <c r="AF464" s="368"/>
      <c r="AG464" s="368"/>
      <c r="AH464" s="368"/>
      <c r="AI464" s="368"/>
      <c r="AJ464" s="368"/>
      <c r="AK464" s="368"/>
      <c r="AL464" s="368"/>
      <c r="AM464" s="368"/>
      <c r="AN464" s="368"/>
      <c r="AO464" s="368"/>
    </row>
    <row r="465" spans="1:41" s="152" customFormat="1" ht="36" customHeight="1" x14ac:dyDescent="0.9">
      <c r="A465" s="152">
        <v>1</v>
      </c>
      <c r="B465" s="90">
        <f>SUBTOTAL(103,$A$16:A465)</f>
        <v>403</v>
      </c>
      <c r="C465" s="89" t="s">
        <v>143</v>
      </c>
      <c r="D465" s="163">
        <v>1983</v>
      </c>
      <c r="E465" s="163"/>
      <c r="F465" s="168" t="s">
        <v>270</v>
      </c>
      <c r="G465" s="163">
        <v>3</v>
      </c>
      <c r="H465" s="163">
        <v>2</v>
      </c>
      <c r="I465" s="167">
        <v>1387.1</v>
      </c>
      <c r="J465" s="167">
        <v>1285.0999999999999</v>
      </c>
      <c r="K465" s="167">
        <v>1285.0999999999999</v>
      </c>
      <c r="L465" s="165">
        <v>57</v>
      </c>
      <c r="M465" s="163" t="s">
        <v>268</v>
      </c>
      <c r="N465" s="163" t="s">
        <v>272</v>
      </c>
      <c r="O465" s="166" t="s">
        <v>292</v>
      </c>
      <c r="P465" s="167">
        <v>4201814.5599999996</v>
      </c>
      <c r="Q465" s="167">
        <v>0</v>
      </c>
      <c r="R465" s="167">
        <v>0</v>
      </c>
      <c r="S465" s="167">
        <f>P465-Q465-R465</f>
        <v>4201814.5599999996</v>
      </c>
      <c r="T465" s="167">
        <f t="shared" si="149"/>
        <v>3029.2081032369692</v>
      </c>
      <c r="U465" s="167">
        <v>3029.2081032369692</v>
      </c>
      <c r="V465" s="149">
        <f t="shared" si="131"/>
        <v>0</v>
      </c>
      <c r="W465" s="149">
        <f>T465</f>
        <v>3029.2081032369692</v>
      </c>
      <c r="X465" s="149">
        <v>0</v>
      </c>
      <c r="Y465" s="368">
        <v>0</v>
      </c>
      <c r="Z465" s="368">
        <v>0</v>
      </c>
      <c r="AA465" s="368">
        <v>0</v>
      </c>
      <c r="AB465" s="368">
        <v>0</v>
      </c>
      <c r="AC465" s="368">
        <v>0</v>
      </c>
      <c r="AD465" s="368">
        <v>0</v>
      </c>
      <c r="AE465" s="368">
        <v>0</v>
      </c>
      <c r="AF465" s="396">
        <v>0</v>
      </c>
      <c r="AG465" s="368">
        <v>0</v>
      </c>
      <c r="AH465" s="396">
        <v>0</v>
      </c>
      <c r="AI465" s="368">
        <v>0</v>
      </c>
      <c r="AJ465" s="396">
        <v>0</v>
      </c>
      <c r="AK465" s="368">
        <v>0</v>
      </c>
      <c r="AL465" s="368">
        <v>0</v>
      </c>
      <c r="AM465" s="368">
        <v>583.41</v>
      </c>
      <c r="AN465" s="368">
        <f>6984.52*AM465/I465</f>
        <v>2937.6676614519506</v>
      </c>
      <c r="AO465" s="368">
        <v>0</v>
      </c>
    </row>
    <row r="466" spans="1:41" s="152" customFormat="1" ht="36" customHeight="1" x14ac:dyDescent="0.9">
      <c r="A466" s="152">
        <v>1</v>
      </c>
      <c r="B466" s="90">
        <f>SUBTOTAL(103,$A$16:A466)</f>
        <v>404</v>
      </c>
      <c r="C466" s="89" t="s">
        <v>144</v>
      </c>
      <c r="D466" s="163">
        <v>1964</v>
      </c>
      <c r="E466" s="163"/>
      <c r="F466" s="168" t="s">
        <v>270</v>
      </c>
      <c r="G466" s="163">
        <v>2</v>
      </c>
      <c r="H466" s="163">
        <v>1</v>
      </c>
      <c r="I466" s="167">
        <v>337.2</v>
      </c>
      <c r="J466" s="167">
        <v>313.2</v>
      </c>
      <c r="K466" s="167">
        <v>313.2</v>
      </c>
      <c r="L466" s="165">
        <v>19</v>
      </c>
      <c r="M466" s="163" t="s">
        <v>268</v>
      </c>
      <c r="N466" s="163" t="s">
        <v>272</v>
      </c>
      <c r="O466" s="166" t="s">
        <v>292</v>
      </c>
      <c r="P466" s="167">
        <v>1216558.3500000001</v>
      </c>
      <c r="Q466" s="167">
        <v>0</v>
      </c>
      <c r="R466" s="167">
        <v>0</v>
      </c>
      <c r="S466" s="167">
        <f>P466-Q466-R466</f>
        <v>1216558.3500000001</v>
      </c>
      <c r="T466" s="167">
        <f t="shared" si="149"/>
        <v>3607.8242882562281</v>
      </c>
      <c r="U466" s="167">
        <v>5879.9691518386717</v>
      </c>
      <c r="V466" s="149">
        <f t="shared" si="131"/>
        <v>2272.1448635824436</v>
      </c>
      <c r="W466" s="149">
        <f t="shared" ref="W466:W469" si="151">X466+Y466+Z466+AA466+AB466+AD466+AF466+AH466+AJ466+AL466+AN466+AO466</f>
        <v>5879.9691518386717</v>
      </c>
      <c r="X466" s="149">
        <v>0</v>
      </c>
      <c r="Y466" s="368">
        <v>0</v>
      </c>
      <c r="Z466" s="368">
        <v>0</v>
      </c>
      <c r="AA466" s="368">
        <v>0</v>
      </c>
      <c r="AB466" s="368">
        <v>0</v>
      </c>
      <c r="AC466" s="368">
        <v>0</v>
      </c>
      <c r="AD466" s="368">
        <v>0</v>
      </c>
      <c r="AE466" s="368">
        <v>317.8</v>
      </c>
      <c r="AF466" s="396">
        <f>6238.91*AE466/I466</f>
        <v>5879.9691518386717</v>
      </c>
      <c r="AG466" s="368">
        <v>0</v>
      </c>
      <c r="AH466" s="396">
        <v>0</v>
      </c>
      <c r="AI466" s="368">
        <v>0</v>
      </c>
      <c r="AJ466" s="396">
        <v>0</v>
      </c>
      <c r="AK466" s="368">
        <v>0</v>
      </c>
      <c r="AL466" s="368">
        <v>0</v>
      </c>
      <c r="AM466" s="368">
        <v>0</v>
      </c>
      <c r="AN466" s="368"/>
      <c r="AO466" s="368">
        <v>0</v>
      </c>
    </row>
    <row r="467" spans="1:41" s="152" customFormat="1" ht="36" customHeight="1" x14ac:dyDescent="0.9">
      <c r="A467" s="152">
        <v>1</v>
      </c>
      <c r="B467" s="90">
        <f>SUBTOTAL(103,$A$16:A467)</f>
        <v>405</v>
      </c>
      <c r="C467" s="89" t="s">
        <v>1277</v>
      </c>
      <c r="D467" s="163">
        <v>1962</v>
      </c>
      <c r="E467" s="163"/>
      <c r="F467" s="168" t="s">
        <v>270</v>
      </c>
      <c r="G467" s="163">
        <v>2</v>
      </c>
      <c r="H467" s="163">
        <v>1</v>
      </c>
      <c r="I467" s="167">
        <v>658.78</v>
      </c>
      <c r="J467" s="167">
        <v>373.3</v>
      </c>
      <c r="K467" s="167">
        <v>373.3</v>
      </c>
      <c r="L467" s="165">
        <v>21</v>
      </c>
      <c r="M467" s="163" t="s">
        <v>268</v>
      </c>
      <c r="N467" s="163" t="s">
        <v>269</v>
      </c>
      <c r="O467" s="166" t="s">
        <v>271</v>
      </c>
      <c r="P467" s="167">
        <v>1860965.27</v>
      </c>
      <c r="Q467" s="167">
        <v>0</v>
      </c>
      <c r="R467" s="167">
        <v>0</v>
      </c>
      <c r="S467" s="167">
        <f>P467-Q467-R467</f>
        <v>1860965.27</v>
      </c>
      <c r="T467" s="167">
        <f t="shared" si="149"/>
        <v>2824.8660706153801</v>
      </c>
      <c r="U467" s="167">
        <v>3575.1222866510825</v>
      </c>
      <c r="V467" s="149">
        <f t="shared" si="131"/>
        <v>750.25621603570244</v>
      </c>
      <c r="W467" s="149">
        <f t="shared" si="151"/>
        <v>3575.1222866510825</v>
      </c>
      <c r="X467" s="149">
        <v>0</v>
      </c>
      <c r="Y467" s="368">
        <v>0</v>
      </c>
      <c r="Z467" s="368">
        <v>0</v>
      </c>
      <c r="AA467" s="368">
        <v>0</v>
      </c>
      <c r="AB467" s="368">
        <v>0</v>
      </c>
      <c r="AC467" s="368">
        <v>0</v>
      </c>
      <c r="AD467" s="368">
        <v>0</v>
      </c>
      <c r="AE467" s="368">
        <v>0</v>
      </c>
      <c r="AF467" s="396">
        <v>0</v>
      </c>
      <c r="AG467" s="368">
        <v>0</v>
      </c>
      <c r="AH467" s="396">
        <v>0</v>
      </c>
      <c r="AI467" s="368">
        <v>316.60000000000002</v>
      </c>
      <c r="AJ467" s="397">
        <f>7439.1*AI467/I467</f>
        <v>3575.1222866510825</v>
      </c>
      <c r="AK467" s="368">
        <v>0</v>
      </c>
      <c r="AL467" s="368">
        <v>0</v>
      </c>
      <c r="AM467" s="368">
        <v>0</v>
      </c>
      <c r="AN467" s="368"/>
      <c r="AO467" s="368">
        <v>0</v>
      </c>
    </row>
    <row r="468" spans="1:41" s="152" customFormat="1" ht="36" customHeight="1" x14ac:dyDescent="0.9">
      <c r="A468" s="152">
        <v>1</v>
      </c>
      <c r="B468" s="90">
        <f>SUBTOTAL(103,$A$16:A468)</f>
        <v>406</v>
      </c>
      <c r="C468" s="89" t="s">
        <v>1278</v>
      </c>
      <c r="D468" s="163">
        <v>1961</v>
      </c>
      <c r="E468" s="163"/>
      <c r="F468" s="168" t="s">
        <v>270</v>
      </c>
      <c r="G468" s="163">
        <v>2</v>
      </c>
      <c r="H468" s="163">
        <v>1</v>
      </c>
      <c r="I468" s="167">
        <v>230.3</v>
      </c>
      <c r="J468" s="167">
        <v>230.3</v>
      </c>
      <c r="K468" s="167">
        <v>181.5</v>
      </c>
      <c r="L468" s="165">
        <v>8</v>
      </c>
      <c r="M468" s="163" t="s">
        <v>268</v>
      </c>
      <c r="N468" s="163" t="s">
        <v>272</v>
      </c>
      <c r="O468" s="166" t="s">
        <v>292</v>
      </c>
      <c r="P468" s="167">
        <v>1517864.1500000001</v>
      </c>
      <c r="Q468" s="167">
        <v>0</v>
      </c>
      <c r="R468" s="167">
        <v>0</v>
      </c>
      <c r="S468" s="167">
        <f>P468-Q468-R468</f>
        <v>1517864.1500000001</v>
      </c>
      <c r="T468" s="167">
        <f t="shared" si="149"/>
        <v>6590.812635692575</v>
      </c>
      <c r="U468" s="167">
        <v>6590.812635692575</v>
      </c>
      <c r="V468" s="149">
        <f t="shared" si="131"/>
        <v>0</v>
      </c>
      <c r="W468" s="149">
        <f>T468</f>
        <v>6590.812635692575</v>
      </c>
      <c r="X468" s="149">
        <v>0</v>
      </c>
      <c r="Y468" s="368">
        <v>0</v>
      </c>
      <c r="Z468" s="368">
        <v>0</v>
      </c>
      <c r="AA468" s="368">
        <v>0</v>
      </c>
      <c r="AB468" s="368">
        <v>0</v>
      </c>
      <c r="AC468" s="368">
        <v>0</v>
      </c>
      <c r="AD468" s="368">
        <v>0</v>
      </c>
      <c r="AE468" s="368">
        <v>189.8</v>
      </c>
      <c r="AF468" s="396">
        <f>6436.53*AE468/I468</f>
        <v>5304.6174294398616</v>
      </c>
      <c r="AG468" s="368">
        <v>0</v>
      </c>
      <c r="AH468" s="396">
        <v>0</v>
      </c>
      <c r="AI468" s="368">
        <v>0</v>
      </c>
      <c r="AJ468" s="396">
        <v>0</v>
      </c>
      <c r="AK468" s="368">
        <v>0</v>
      </c>
      <c r="AL468" s="368">
        <v>0</v>
      </c>
      <c r="AM468" s="368">
        <v>0</v>
      </c>
      <c r="AN468" s="368"/>
      <c r="AO468" s="368">
        <v>0</v>
      </c>
    </row>
    <row r="469" spans="1:41" s="152" customFormat="1" ht="36" customHeight="1" x14ac:dyDescent="0.9">
      <c r="A469" s="152">
        <v>1</v>
      </c>
      <c r="B469" s="90">
        <f>SUBTOTAL(103,$A$16:A469)</f>
        <v>407</v>
      </c>
      <c r="C469" s="89" t="s">
        <v>1313</v>
      </c>
      <c r="D469" s="163">
        <v>1974</v>
      </c>
      <c r="E469" s="163"/>
      <c r="F469" s="168" t="s">
        <v>270</v>
      </c>
      <c r="G469" s="163">
        <v>2</v>
      </c>
      <c r="H469" s="163">
        <v>2</v>
      </c>
      <c r="I469" s="167">
        <v>802.2</v>
      </c>
      <c r="J469" s="167">
        <v>802.2</v>
      </c>
      <c r="K469" s="167">
        <v>802.2</v>
      </c>
      <c r="L469" s="165">
        <v>36</v>
      </c>
      <c r="M469" s="163" t="s">
        <v>268</v>
      </c>
      <c r="N469" s="163" t="s">
        <v>269</v>
      </c>
      <c r="O469" s="166" t="s">
        <v>271</v>
      </c>
      <c r="P469" s="167">
        <v>2945278.41</v>
      </c>
      <c r="Q469" s="167">
        <v>0</v>
      </c>
      <c r="R469" s="167">
        <v>0</v>
      </c>
      <c r="S469" s="167">
        <f>P469-Q469-R469</f>
        <v>2945278.41</v>
      </c>
      <c r="T469" s="167">
        <f t="shared" si="149"/>
        <v>3671.5013836948392</v>
      </c>
      <c r="U469" s="167">
        <v>4641.4628371977051</v>
      </c>
      <c r="V469" s="149">
        <f t="shared" ref="V469" si="152">U469-T469</f>
        <v>969.96145350286588</v>
      </c>
      <c r="W469" s="149">
        <f t="shared" si="151"/>
        <v>4641.4628371977051</v>
      </c>
      <c r="X469" s="149">
        <v>0</v>
      </c>
      <c r="Y469" s="368">
        <v>0</v>
      </c>
      <c r="Z469" s="368">
        <v>0</v>
      </c>
      <c r="AA469" s="368">
        <v>0</v>
      </c>
      <c r="AB469" s="368">
        <v>0</v>
      </c>
      <c r="AC469" s="368">
        <v>0</v>
      </c>
      <c r="AD469" s="368">
        <v>0</v>
      </c>
      <c r="AE469" s="368">
        <v>596.79999999999995</v>
      </c>
      <c r="AF469" s="396">
        <f t="shared" ref="AF469" si="153">6238.91*AE469/I469</f>
        <v>4641.4628371977051</v>
      </c>
      <c r="AG469" s="368">
        <v>0</v>
      </c>
      <c r="AH469" s="396">
        <v>0</v>
      </c>
      <c r="AI469" s="368">
        <v>0</v>
      </c>
      <c r="AJ469" s="396">
        <v>0</v>
      </c>
      <c r="AK469" s="368">
        <v>0</v>
      </c>
      <c r="AL469" s="368">
        <v>0</v>
      </c>
      <c r="AM469" s="368">
        <v>0</v>
      </c>
      <c r="AN469" s="368"/>
      <c r="AO469" s="368">
        <v>0</v>
      </c>
    </row>
    <row r="470" spans="1:41" s="152" customFormat="1" ht="36" customHeight="1" x14ac:dyDescent="0.9">
      <c r="B470" s="382" t="s">
        <v>865</v>
      </c>
      <c r="C470" s="382"/>
      <c r="D470" s="384" t="s">
        <v>903</v>
      </c>
      <c r="E470" s="163" t="s">
        <v>903</v>
      </c>
      <c r="F470" s="384" t="s">
        <v>903</v>
      </c>
      <c r="G470" s="384" t="s">
        <v>903</v>
      </c>
      <c r="H470" s="163" t="s">
        <v>903</v>
      </c>
      <c r="I470" s="386">
        <f>SUM(I471:I481)</f>
        <v>39848.200000000004</v>
      </c>
      <c r="J470" s="164">
        <f>SUM(J471:J481)</f>
        <v>19167.72</v>
      </c>
      <c r="K470" s="164">
        <f>SUM(K471:K481)</f>
        <v>30272.280000000002</v>
      </c>
      <c r="L470" s="165">
        <f>SUM(L471:L481)</f>
        <v>1332</v>
      </c>
      <c r="M470" s="163" t="s">
        <v>903</v>
      </c>
      <c r="N470" s="163" t="s">
        <v>903</v>
      </c>
      <c r="O470" s="166" t="s">
        <v>903</v>
      </c>
      <c r="P470" s="386">
        <v>40245217.780000001</v>
      </c>
      <c r="Q470" s="164">
        <f>SUM(Q471:Q481)</f>
        <v>0</v>
      </c>
      <c r="R470" s="164">
        <f>SUM(R471:R481)</f>
        <v>0</v>
      </c>
      <c r="S470" s="164">
        <f>SUM(S471:S481)</f>
        <v>40245217.780000001</v>
      </c>
      <c r="T470" s="387">
        <f t="shared" si="149"/>
        <v>1009.9632550529258</v>
      </c>
      <c r="U470" s="387">
        <f>MAX(U471:U481)</f>
        <v>6917.3350541516247</v>
      </c>
      <c r="V470" s="149">
        <f t="shared" ref="V470:V532" si="154">U470-T470</f>
        <v>5907.3717990986988</v>
      </c>
      <c r="W470" s="149"/>
      <c r="X470" s="149"/>
      <c r="Y470" s="368"/>
      <c r="Z470" s="368"/>
      <c r="AA470" s="368"/>
      <c r="AB470" s="368"/>
      <c r="AC470" s="368"/>
      <c r="AD470" s="368"/>
      <c r="AE470" s="368"/>
      <c r="AF470" s="368"/>
      <c r="AG470" s="368"/>
      <c r="AH470" s="368"/>
      <c r="AI470" s="368"/>
      <c r="AJ470" s="368"/>
      <c r="AK470" s="368"/>
      <c r="AL470" s="368"/>
      <c r="AM470" s="368"/>
      <c r="AN470" s="368"/>
      <c r="AO470" s="368"/>
    </row>
    <row r="471" spans="1:41" s="152" customFormat="1" ht="36" customHeight="1" x14ac:dyDescent="0.9">
      <c r="A471" s="152">
        <v>1</v>
      </c>
      <c r="B471" s="90">
        <f>SUBTOTAL(103,$A$16:A471)</f>
        <v>408</v>
      </c>
      <c r="C471" s="89" t="s">
        <v>146</v>
      </c>
      <c r="D471" s="163">
        <v>1976</v>
      </c>
      <c r="E471" s="163"/>
      <c r="F471" s="168" t="s">
        <v>290</v>
      </c>
      <c r="G471" s="163">
        <v>5</v>
      </c>
      <c r="H471" s="163">
        <v>8</v>
      </c>
      <c r="I471" s="167">
        <v>8133.81</v>
      </c>
      <c r="J471" s="167">
        <v>3519.76</v>
      </c>
      <c r="K471" s="167">
        <v>322.68</v>
      </c>
      <c r="L471" s="165">
        <v>200</v>
      </c>
      <c r="M471" s="163" t="s">
        <v>268</v>
      </c>
      <c r="N471" s="163" t="s">
        <v>272</v>
      </c>
      <c r="O471" s="166" t="s">
        <v>293</v>
      </c>
      <c r="P471" s="167">
        <v>4633571.43</v>
      </c>
      <c r="Q471" s="167">
        <v>0</v>
      </c>
      <c r="R471" s="167">
        <v>0</v>
      </c>
      <c r="S471" s="167">
        <f t="shared" ref="S471:S478" si="155">P471-Q471-R471</f>
        <v>4633571.43</v>
      </c>
      <c r="T471" s="167">
        <f t="shared" si="149"/>
        <v>569.66801904642466</v>
      </c>
      <c r="U471" s="167">
        <v>1180.3428238918784</v>
      </c>
      <c r="V471" s="149">
        <f t="shared" si="154"/>
        <v>610.67480484545376</v>
      </c>
      <c r="W471" s="149">
        <f t="shared" ref="W471:W481" si="156">X471+Y471+Z471+AA471+AB471+AD471+AF471+AH471+AJ471+AL471+AN471+AO471</f>
        <v>1180.3428238918784</v>
      </c>
      <c r="X471" s="149">
        <v>0</v>
      </c>
      <c r="Y471" s="368">
        <v>0</v>
      </c>
      <c r="Z471" s="368">
        <v>0</v>
      </c>
      <c r="AA471" s="368">
        <v>0</v>
      </c>
      <c r="AB471" s="368">
        <v>0</v>
      </c>
      <c r="AC471" s="368">
        <v>0</v>
      </c>
      <c r="AD471" s="368">
        <v>0</v>
      </c>
      <c r="AE471" s="368">
        <v>1538.84</v>
      </c>
      <c r="AF471" s="396">
        <f t="shared" ref="AF471:AF473" si="157">6238.91*AE471/I471</f>
        <v>1180.3428238918784</v>
      </c>
      <c r="AG471" s="368">
        <v>0</v>
      </c>
      <c r="AH471" s="396">
        <v>0</v>
      </c>
      <c r="AI471" s="368">
        <v>0</v>
      </c>
      <c r="AJ471" s="396">
        <v>0</v>
      </c>
      <c r="AK471" s="368">
        <v>0</v>
      </c>
      <c r="AL471" s="368">
        <v>0</v>
      </c>
      <c r="AM471" s="368">
        <v>0</v>
      </c>
      <c r="AN471" s="368"/>
      <c r="AO471" s="368">
        <v>0</v>
      </c>
    </row>
    <row r="472" spans="1:41" s="152" customFormat="1" ht="36" customHeight="1" x14ac:dyDescent="0.9">
      <c r="A472" s="152">
        <v>1</v>
      </c>
      <c r="B472" s="90">
        <f>SUBTOTAL(103,$A$16:A472)</f>
        <v>409</v>
      </c>
      <c r="C472" s="89" t="s">
        <v>141</v>
      </c>
      <c r="D472" s="163">
        <v>1969</v>
      </c>
      <c r="E472" s="163"/>
      <c r="F472" s="168" t="s">
        <v>290</v>
      </c>
      <c r="G472" s="163">
        <v>5</v>
      </c>
      <c r="H472" s="163">
        <v>5</v>
      </c>
      <c r="I472" s="167">
        <v>7171.2</v>
      </c>
      <c r="J472" s="167">
        <v>2897.5</v>
      </c>
      <c r="K472" s="167">
        <v>181.3</v>
      </c>
      <c r="L472" s="165">
        <v>156</v>
      </c>
      <c r="M472" s="163" t="s">
        <v>268</v>
      </c>
      <c r="N472" s="163" t="s">
        <v>272</v>
      </c>
      <c r="O472" s="166" t="s">
        <v>293</v>
      </c>
      <c r="P472" s="167">
        <v>5343157.95</v>
      </c>
      <c r="Q472" s="167">
        <v>0</v>
      </c>
      <c r="R472" s="167">
        <v>0</v>
      </c>
      <c r="S472" s="167">
        <f t="shared" si="155"/>
        <v>5343157.95</v>
      </c>
      <c r="T472" s="167">
        <f t="shared" si="149"/>
        <v>745.08561328647932</v>
      </c>
      <c r="U472" s="167">
        <v>1084.1880915327979</v>
      </c>
      <c r="V472" s="149">
        <f t="shared" si="154"/>
        <v>339.10247824631858</v>
      </c>
      <c r="W472" s="149">
        <f t="shared" si="156"/>
        <v>1084.1880915327979</v>
      </c>
      <c r="X472" s="149">
        <v>0</v>
      </c>
      <c r="Y472" s="368">
        <v>0</v>
      </c>
      <c r="Z472" s="368">
        <v>0</v>
      </c>
      <c r="AA472" s="368">
        <v>0</v>
      </c>
      <c r="AB472" s="368">
        <v>0</v>
      </c>
      <c r="AC472" s="368">
        <v>0</v>
      </c>
      <c r="AD472" s="368">
        <v>0</v>
      </c>
      <c r="AE472" s="368">
        <v>1246.2</v>
      </c>
      <c r="AF472" s="396">
        <f t="shared" si="157"/>
        <v>1084.1880915327979</v>
      </c>
      <c r="AG472" s="368">
        <v>0</v>
      </c>
      <c r="AH472" s="396">
        <v>0</v>
      </c>
      <c r="AI472" s="368">
        <v>0</v>
      </c>
      <c r="AJ472" s="396">
        <v>0</v>
      </c>
      <c r="AK472" s="368">
        <v>0</v>
      </c>
      <c r="AL472" s="368">
        <v>0</v>
      </c>
      <c r="AM472" s="368">
        <v>0</v>
      </c>
      <c r="AN472" s="368"/>
      <c r="AO472" s="368">
        <v>0</v>
      </c>
    </row>
    <row r="473" spans="1:41" s="152" customFormat="1" ht="36" customHeight="1" x14ac:dyDescent="0.9">
      <c r="A473" s="152">
        <v>1</v>
      </c>
      <c r="B473" s="90">
        <f>SUBTOTAL(103,$A$16:A473)</f>
        <v>410</v>
      </c>
      <c r="C473" s="89" t="s">
        <v>142</v>
      </c>
      <c r="D473" s="163">
        <v>1987</v>
      </c>
      <c r="E473" s="163"/>
      <c r="F473" s="168" t="s">
        <v>290</v>
      </c>
      <c r="G473" s="163">
        <v>5</v>
      </c>
      <c r="H473" s="163">
        <v>7</v>
      </c>
      <c r="I473" s="167">
        <v>7649.2</v>
      </c>
      <c r="J473" s="167">
        <v>3077.1</v>
      </c>
      <c r="K473" s="167">
        <v>260.8</v>
      </c>
      <c r="L473" s="165">
        <v>237</v>
      </c>
      <c r="M473" s="163" t="s">
        <v>268</v>
      </c>
      <c r="N473" s="163" t="s">
        <v>272</v>
      </c>
      <c r="O473" s="166" t="s">
        <v>293</v>
      </c>
      <c r="P473" s="167">
        <v>4313623.05</v>
      </c>
      <c r="Q473" s="167">
        <v>0</v>
      </c>
      <c r="R473" s="167">
        <v>0</v>
      </c>
      <c r="S473" s="167">
        <f t="shared" si="155"/>
        <v>4313623.05</v>
      </c>
      <c r="T473" s="167">
        <f t="shared" si="149"/>
        <v>563.93126732207293</v>
      </c>
      <c r="U473" s="167">
        <v>1120.3481116979551</v>
      </c>
      <c r="V473" s="149">
        <f t="shared" si="154"/>
        <v>556.41684437588219</v>
      </c>
      <c r="W473" s="149">
        <f t="shared" si="156"/>
        <v>1120.3481116979551</v>
      </c>
      <c r="X473" s="149">
        <v>0</v>
      </c>
      <c r="Y473" s="368">
        <v>0</v>
      </c>
      <c r="Z473" s="368">
        <v>0</v>
      </c>
      <c r="AA473" s="368">
        <v>0</v>
      </c>
      <c r="AB473" s="368">
        <v>0</v>
      </c>
      <c r="AC473" s="368">
        <v>0</v>
      </c>
      <c r="AD473" s="368">
        <v>0</v>
      </c>
      <c r="AE473" s="368">
        <v>1373.6</v>
      </c>
      <c r="AF473" s="396">
        <f t="shared" si="157"/>
        <v>1120.3481116979551</v>
      </c>
      <c r="AG473" s="368">
        <v>0</v>
      </c>
      <c r="AH473" s="396">
        <v>0</v>
      </c>
      <c r="AI473" s="368">
        <v>0</v>
      </c>
      <c r="AJ473" s="396">
        <v>0</v>
      </c>
      <c r="AK473" s="368">
        <v>0</v>
      </c>
      <c r="AL473" s="368">
        <v>0</v>
      </c>
      <c r="AM473" s="368">
        <v>0</v>
      </c>
      <c r="AN473" s="368"/>
      <c r="AO473" s="368">
        <v>0</v>
      </c>
    </row>
    <row r="474" spans="1:41" s="152" customFormat="1" ht="36" customHeight="1" x14ac:dyDescent="0.9">
      <c r="A474" s="152">
        <v>1</v>
      </c>
      <c r="B474" s="90">
        <f>SUBTOTAL(103,$A$16:A474)</f>
        <v>411</v>
      </c>
      <c r="C474" s="89" t="s">
        <v>1269</v>
      </c>
      <c r="D474" s="163">
        <v>1963</v>
      </c>
      <c r="E474" s="163"/>
      <c r="F474" s="168" t="s">
        <v>270</v>
      </c>
      <c r="G474" s="163">
        <v>2</v>
      </c>
      <c r="H474" s="163">
        <v>2</v>
      </c>
      <c r="I474" s="167">
        <v>626.52</v>
      </c>
      <c r="J474" s="167">
        <v>622.79999999999995</v>
      </c>
      <c r="K474" s="167">
        <v>582.25</v>
      </c>
      <c r="L474" s="165">
        <v>45</v>
      </c>
      <c r="M474" s="163" t="s">
        <v>268</v>
      </c>
      <c r="N474" s="163" t="s">
        <v>272</v>
      </c>
      <c r="O474" s="166" t="s">
        <v>293</v>
      </c>
      <c r="P474" s="167">
        <v>1989946.9500000002</v>
      </c>
      <c r="Q474" s="167">
        <v>0</v>
      </c>
      <c r="R474" s="167">
        <v>0</v>
      </c>
      <c r="S474" s="167">
        <f t="shared" si="155"/>
        <v>1989946.9500000002</v>
      </c>
      <c r="T474" s="167">
        <f t="shared" si="149"/>
        <v>3176.1906244014563</v>
      </c>
      <c r="U474" s="167">
        <v>4341.5</v>
      </c>
      <c r="V474" s="149">
        <f t="shared" si="154"/>
        <v>1165.3093755985437</v>
      </c>
      <c r="W474" s="149">
        <f t="shared" si="156"/>
        <v>4341.5</v>
      </c>
      <c r="X474" s="149">
        <v>101.55</v>
      </c>
      <c r="Y474" s="368">
        <v>0</v>
      </c>
      <c r="Z474" s="368">
        <v>3259.66</v>
      </c>
      <c r="AA474" s="368">
        <v>184.98</v>
      </c>
      <c r="AB474" s="368">
        <v>795.31</v>
      </c>
      <c r="AC474" s="368">
        <v>0</v>
      </c>
      <c r="AD474" s="368">
        <v>0</v>
      </c>
      <c r="AE474" s="368">
        <v>0</v>
      </c>
      <c r="AF474" s="396">
        <v>0</v>
      </c>
      <c r="AG474" s="368">
        <v>0</v>
      </c>
      <c r="AH474" s="396">
        <v>0</v>
      </c>
      <c r="AI474" s="368">
        <v>0</v>
      </c>
      <c r="AJ474" s="396">
        <v>0</v>
      </c>
      <c r="AK474" s="368">
        <v>0</v>
      </c>
      <c r="AL474" s="368">
        <v>0</v>
      </c>
      <c r="AM474" s="368">
        <v>0</v>
      </c>
      <c r="AN474" s="368"/>
      <c r="AO474" s="368">
        <v>0</v>
      </c>
    </row>
    <row r="475" spans="1:41" s="152" customFormat="1" ht="36" customHeight="1" x14ac:dyDescent="0.9">
      <c r="A475" s="152">
        <v>1</v>
      </c>
      <c r="B475" s="90">
        <f>SUBTOTAL(103,$A$16:A475)</f>
        <v>412</v>
      </c>
      <c r="C475" s="89" t="s">
        <v>1270</v>
      </c>
      <c r="D475" s="163" t="s">
        <v>310</v>
      </c>
      <c r="E475" s="163"/>
      <c r="F475" s="168" t="s">
        <v>270</v>
      </c>
      <c r="G475" s="163" t="s">
        <v>307</v>
      </c>
      <c r="H475" s="163" t="s">
        <v>307</v>
      </c>
      <c r="I475" s="167">
        <v>1132.77</v>
      </c>
      <c r="J475" s="167">
        <v>555.08000000000004</v>
      </c>
      <c r="K475" s="167">
        <v>555.08000000000004</v>
      </c>
      <c r="L475" s="165">
        <v>42</v>
      </c>
      <c r="M475" s="163" t="s">
        <v>268</v>
      </c>
      <c r="N475" s="163" t="s">
        <v>272</v>
      </c>
      <c r="O475" s="166" t="s">
        <v>293</v>
      </c>
      <c r="P475" s="167">
        <v>1509653.6199999999</v>
      </c>
      <c r="Q475" s="167">
        <v>0</v>
      </c>
      <c r="R475" s="167">
        <v>0</v>
      </c>
      <c r="S475" s="167">
        <f t="shared" si="155"/>
        <v>1509653.6199999999</v>
      </c>
      <c r="T475" s="167">
        <f t="shared" si="149"/>
        <v>1332.709746903608</v>
      </c>
      <c r="U475" s="167">
        <v>4341.5</v>
      </c>
      <c r="V475" s="149">
        <f t="shared" si="154"/>
        <v>3008.790253096392</v>
      </c>
      <c r="W475" s="149">
        <f t="shared" si="156"/>
        <v>4341.5</v>
      </c>
      <c r="X475" s="149">
        <v>101.55</v>
      </c>
      <c r="Y475" s="368">
        <v>0</v>
      </c>
      <c r="Z475" s="368">
        <v>3259.66</v>
      </c>
      <c r="AA475" s="368">
        <v>184.98</v>
      </c>
      <c r="AB475" s="368">
        <v>795.31</v>
      </c>
      <c r="AC475" s="368">
        <v>0</v>
      </c>
      <c r="AD475" s="368">
        <v>0</v>
      </c>
      <c r="AE475" s="368">
        <v>0</v>
      </c>
      <c r="AF475" s="396">
        <v>0</v>
      </c>
      <c r="AG475" s="368">
        <v>0</v>
      </c>
      <c r="AH475" s="396">
        <v>0</v>
      </c>
      <c r="AI475" s="368">
        <v>0</v>
      </c>
      <c r="AJ475" s="396">
        <v>0</v>
      </c>
      <c r="AK475" s="368">
        <v>0</v>
      </c>
      <c r="AL475" s="368">
        <v>0</v>
      </c>
      <c r="AM475" s="368">
        <v>0</v>
      </c>
      <c r="AN475" s="368"/>
      <c r="AO475" s="368">
        <v>0</v>
      </c>
    </row>
    <row r="476" spans="1:41" s="152" customFormat="1" ht="36" customHeight="1" x14ac:dyDescent="0.9">
      <c r="A476" s="152">
        <v>1</v>
      </c>
      <c r="B476" s="90">
        <f>SUBTOTAL(103,$A$16:A476)</f>
        <v>413</v>
      </c>
      <c r="C476" s="89" t="s">
        <v>1271</v>
      </c>
      <c r="D476" s="163">
        <v>1964</v>
      </c>
      <c r="E476" s="163"/>
      <c r="F476" s="168" t="s">
        <v>270</v>
      </c>
      <c r="G476" s="163">
        <v>2</v>
      </c>
      <c r="H476" s="163">
        <v>4</v>
      </c>
      <c r="I476" s="167">
        <v>768.3</v>
      </c>
      <c r="J476" s="167">
        <v>281.60000000000002</v>
      </c>
      <c r="K476" s="167">
        <v>253.5</v>
      </c>
      <c r="L476" s="165">
        <v>100</v>
      </c>
      <c r="M476" s="163" t="s">
        <v>268</v>
      </c>
      <c r="N476" s="163" t="s">
        <v>272</v>
      </c>
      <c r="O476" s="166" t="s">
        <v>291</v>
      </c>
      <c r="P476" s="167">
        <v>1409084.5899999999</v>
      </c>
      <c r="Q476" s="167">
        <v>0</v>
      </c>
      <c r="R476" s="167">
        <v>0</v>
      </c>
      <c r="S476" s="167">
        <f t="shared" si="155"/>
        <v>1409084.5899999999</v>
      </c>
      <c r="T476" s="167">
        <f t="shared" si="149"/>
        <v>1834.0291422621372</v>
      </c>
      <c r="U476" s="167">
        <v>3259.66</v>
      </c>
      <c r="V476" s="149">
        <f t="shared" si="154"/>
        <v>1425.6308577378627</v>
      </c>
      <c r="W476" s="149">
        <f t="shared" si="156"/>
        <v>3259.66</v>
      </c>
      <c r="X476" s="149">
        <v>0</v>
      </c>
      <c r="Y476" s="368">
        <v>0</v>
      </c>
      <c r="Z476" s="368">
        <v>3259.66</v>
      </c>
      <c r="AA476" s="368">
        <v>0</v>
      </c>
      <c r="AB476" s="368">
        <v>0</v>
      </c>
      <c r="AC476" s="368">
        <v>0</v>
      </c>
      <c r="AD476" s="368">
        <v>0</v>
      </c>
      <c r="AE476" s="368">
        <v>0</v>
      </c>
      <c r="AF476" s="396">
        <v>0</v>
      </c>
      <c r="AG476" s="368">
        <v>0</v>
      </c>
      <c r="AH476" s="396">
        <v>0</v>
      </c>
      <c r="AI476" s="368">
        <v>0</v>
      </c>
      <c r="AJ476" s="396">
        <v>0</v>
      </c>
      <c r="AK476" s="368">
        <v>0</v>
      </c>
      <c r="AL476" s="368">
        <v>0</v>
      </c>
      <c r="AM476" s="368">
        <v>0</v>
      </c>
      <c r="AN476" s="368"/>
      <c r="AO476" s="368">
        <v>0</v>
      </c>
    </row>
    <row r="477" spans="1:41" s="152" customFormat="1" ht="36" customHeight="1" x14ac:dyDescent="0.9">
      <c r="A477" s="152">
        <v>1</v>
      </c>
      <c r="B477" s="90">
        <f>SUBTOTAL(103,$A$16:A477)</f>
        <v>414</v>
      </c>
      <c r="C477" s="89" t="s">
        <v>1299</v>
      </c>
      <c r="D477" s="163">
        <v>1958</v>
      </c>
      <c r="E477" s="163"/>
      <c r="F477" s="168" t="s">
        <v>270</v>
      </c>
      <c r="G477" s="163">
        <v>2</v>
      </c>
      <c r="H477" s="163">
        <v>2</v>
      </c>
      <c r="I477" s="167">
        <v>554</v>
      </c>
      <c r="J477" s="167">
        <v>554</v>
      </c>
      <c r="K477" s="167">
        <v>521.69000000000005</v>
      </c>
      <c r="L477" s="165">
        <v>30</v>
      </c>
      <c r="M477" s="163" t="s">
        <v>268</v>
      </c>
      <c r="N477" s="163" t="s">
        <v>272</v>
      </c>
      <c r="O477" s="166" t="s">
        <v>291</v>
      </c>
      <c r="P477" s="167">
        <v>3832203.62</v>
      </c>
      <c r="Q477" s="167">
        <v>0</v>
      </c>
      <c r="R477" s="167">
        <v>0</v>
      </c>
      <c r="S477" s="167">
        <f t="shared" si="155"/>
        <v>3832203.62</v>
      </c>
      <c r="T477" s="167">
        <f t="shared" si="149"/>
        <v>6917.3350541516247</v>
      </c>
      <c r="U477" s="167">
        <v>6917.3350541516247</v>
      </c>
      <c r="V477" s="149">
        <f t="shared" si="154"/>
        <v>0</v>
      </c>
      <c r="W477" s="149">
        <f>T477</f>
        <v>6917.3350541516247</v>
      </c>
      <c r="X477" s="149">
        <v>0</v>
      </c>
      <c r="Y477" s="368">
        <v>0</v>
      </c>
      <c r="Z477" s="368">
        <v>0</v>
      </c>
      <c r="AA477" s="368">
        <v>0</v>
      </c>
      <c r="AB477" s="368">
        <v>0</v>
      </c>
      <c r="AC477" s="368">
        <v>0</v>
      </c>
      <c r="AD477" s="368">
        <v>0</v>
      </c>
      <c r="AE477" s="368">
        <v>500</v>
      </c>
      <c r="AF477" s="396">
        <f>6436.53*AE477/I477</f>
        <v>5809.1425992779787</v>
      </c>
      <c r="AG477" s="368">
        <v>0</v>
      </c>
      <c r="AH477" s="396">
        <v>0</v>
      </c>
      <c r="AI477" s="368">
        <v>0</v>
      </c>
      <c r="AJ477" s="396">
        <v>0</v>
      </c>
      <c r="AK477" s="368">
        <v>0</v>
      </c>
      <c r="AL477" s="368">
        <v>0</v>
      </c>
      <c r="AM477" s="368">
        <v>0</v>
      </c>
      <c r="AN477" s="368"/>
      <c r="AO477" s="368">
        <v>0</v>
      </c>
    </row>
    <row r="478" spans="1:41" s="152" customFormat="1" ht="36" customHeight="1" x14ac:dyDescent="0.9">
      <c r="A478" s="152">
        <v>1</v>
      </c>
      <c r="B478" s="90">
        <f>SUBTOTAL(103,$A$16:A478)</f>
        <v>415</v>
      </c>
      <c r="C478" s="89" t="s">
        <v>1300</v>
      </c>
      <c r="D478" s="163">
        <v>1973</v>
      </c>
      <c r="E478" s="163"/>
      <c r="F478" s="168" t="s">
        <v>270</v>
      </c>
      <c r="G478" s="163">
        <v>5</v>
      </c>
      <c r="H478" s="163">
        <v>3</v>
      </c>
      <c r="I478" s="167">
        <v>3131.46</v>
      </c>
      <c r="J478" s="167">
        <v>3131.28</v>
      </c>
      <c r="K478" s="167">
        <v>3070.48</v>
      </c>
      <c r="L478" s="165">
        <v>208</v>
      </c>
      <c r="M478" s="163" t="s">
        <v>268</v>
      </c>
      <c r="N478" s="163" t="s">
        <v>272</v>
      </c>
      <c r="O478" s="166" t="s">
        <v>1372</v>
      </c>
      <c r="P478" s="167">
        <v>4994309.25</v>
      </c>
      <c r="Q478" s="167">
        <v>0</v>
      </c>
      <c r="R478" s="167">
        <v>0</v>
      </c>
      <c r="S478" s="167">
        <f t="shared" si="155"/>
        <v>4994309.25</v>
      </c>
      <c r="T478" s="167">
        <f t="shared" si="149"/>
        <v>1594.8820198884864</v>
      </c>
      <c r="U478" s="167">
        <v>1908.6546786482984</v>
      </c>
      <c r="V478" s="149">
        <f t="shared" si="154"/>
        <v>313.77265875981197</v>
      </c>
      <c r="W478" s="149">
        <f t="shared" si="156"/>
        <v>1908.6546786482984</v>
      </c>
      <c r="X478" s="149">
        <v>0</v>
      </c>
      <c r="Y478" s="368">
        <v>0</v>
      </c>
      <c r="Z478" s="368">
        <v>0</v>
      </c>
      <c r="AA478" s="368">
        <v>0</v>
      </c>
      <c r="AB478" s="368">
        <v>0</v>
      </c>
      <c r="AC478" s="368">
        <v>0</v>
      </c>
      <c r="AD478" s="368">
        <v>0</v>
      </c>
      <c r="AE478" s="368">
        <v>958</v>
      </c>
      <c r="AF478" s="396">
        <f t="shared" ref="AF478:AF481" si="158">6238.91*AE478/I478</f>
        <v>1908.6546786482984</v>
      </c>
      <c r="AG478" s="368">
        <v>0</v>
      </c>
      <c r="AH478" s="396">
        <v>0</v>
      </c>
      <c r="AI478" s="368">
        <v>0</v>
      </c>
      <c r="AJ478" s="396">
        <v>0</v>
      </c>
      <c r="AK478" s="368">
        <v>0</v>
      </c>
      <c r="AL478" s="368">
        <v>0</v>
      </c>
      <c r="AM478" s="368">
        <v>0</v>
      </c>
      <c r="AN478" s="368"/>
      <c r="AO478" s="368">
        <v>0</v>
      </c>
    </row>
    <row r="479" spans="1:41" s="152" customFormat="1" ht="36" customHeight="1" x14ac:dyDescent="0.9">
      <c r="A479" s="152">
        <v>1</v>
      </c>
      <c r="B479" s="90">
        <f>SUBTOTAL(103,$A$16:A479)</f>
        <v>416</v>
      </c>
      <c r="C479" s="89" t="s">
        <v>1580</v>
      </c>
      <c r="D479" s="163">
        <v>1961</v>
      </c>
      <c r="E479" s="163"/>
      <c r="F479" s="168" t="s">
        <v>1596</v>
      </c>
      <c r="G479" s="163">
        <v>2</v>
      </c>
      <c r="H479" s="163">
        <v>2</v>
      </c>
      <c r="I479" s="167">
        <v>970.74</v>
      </c>
      <c r="J479" s="167">
        <v>543.79999999999995</v>
      </c>
      <c r="K479" s="167">
        <f>J479</f>
        <v>543.79999999999995</v>
      </c>
      <c r="L479" s="165">
        <v>42</v>
      </c>
      <c r="M479" s="163" t="s">
        <v>268</v>
      </c>
      <c r="N479" s="163" t="s">
        <v>269</v>
      </c>
      <c r="O479" s="166" t="s">
        <v>271</v>
      </c>
      <c r="P479" s="167">
        <v>3215741.2600000002</v>
      </c>
      <c r="Q479" s="167">
        <v>0</v>
      </c>
      <c r="R479" s="167">
        <v>0</v>
      </c>
      <c r="S479" s="167">
        <f>P479-R479-Q479</f>
        <v>3215741.2600000002</v>
      </c>
      <c r="T479" s="167">
        <f t="shared" si="149"/>
        <v>3312.6699837237575</v>
      </c>
      <c r="U479" s="167">
        <v>3370.0422848548528</v>
      </c>
      <c r="V479" s="149">
        <f t="shared" si="154"/>
        <v>57.372301131095355</v>
      </c>
      <c r="W479" s="149">
        <f t="shared" si="156"/>
        <v>3370.0422848548528</v>
      </c>
      <c r="X479" s="149">
        <v>0</v>
      </c>
      <c r="Y479" s="368">
        <v>0</v>
      </c>
      <c r="Z479" s="368">
        <v>0</v>
      </c>
      <c r="AA479" s="368">
        <v>0</v>
      </c>
      <c r="AB479" s="368">
        <v>0</v>
      </c>
      <c r="AC479" s="368">
        <v>0</v>
      </c>
      <c r="AD479" s="368">
        <v>0</v>
      </c>
      <c r="AE479" s="368">
        <v>524.36</v>
      </c>
      <c r="AF479" s="396">
        <f t="shared" si="158"/>
        <v>3370.0422848548528</v>
      </c>
      <c r="AG479" s="368">
        <v>0</v>
      </c>
      <c r="AH479" s="396">
        <v>0</v>
      </c>
      <c r="AI479" s="368">
        <v>0</v>
      </c>
      <c r="AJ479" s="396">
        <v>0</v>
      </c>
      <c r="AK479" s="368">
        <v>0</v>
      </c>
      <c r="AL479" s="368">
        <v>0</v>
      </c>
      <c r="AM479" s="368">
        <v>0</v>
      </c>
      <c r="AN479" s="368"/>
      <c r="AO479" s="368">
        <v>0</v>
      </c>
    </row>
    <row r="480" spans="1:41" s="152" customFormat="1" ht="36" customHeight="1" x14ac:dyDescent="0.9">
      <c r="A480" s="152">
        <v>1</v>
      </c>
      <c r="B480" s="90">
        <f>SUBTOTAL(103,$A$16:A480)</f>
        <v>417</v>
      </c>
      <c r="C480" s="89" t="s">
        <v>152</v>
      </c>
      <c r="D480" s="163">
        <v>1983</v>
      </c>
      <c r="E480" s="163"/>
      <c r="F480" s="168" t="s">
        <v>290</v>
      </c>
      <c r="G480" s="163">
        <v>5</v>
      </c>
      <c r="H480" s="163">
        <v>4</v>
      </c>
      <c r="I480" s="164">
        <v>4333.8</v>
      </c>
      <c r="J480" s="164">
        <v>1755.3</v>
      </c>
      <c r="K480" s="164">
        <v>1755.3</v>
      </c>
      <c r="L480" s="165">
        <v>123</v>
      </c>
      <c r="M480" s="163" t="s">
        <v>268</v>
      </c>
      <c r="N480" s="163" t="s">
        <v>272</v>
      </c>
      <c r="O480" s="166" t="s">
        <v>296</v>
      </c>
      <c r="P480" s="167">
        <v>4659445.5299999993</v>
      </c>
      <c r="Q480" s="167">
        <v>0</v>
      </c>
      <c r="R480" s="167">
        <v>0</v>
      </c>
      <c r="S480" s="167">
        <f>P480-Q480-R480</f>
        <v>4659445.5299999993</v>
      </c>
      <c r="T480" s="167">
        <f t="shared" si="149"/>
        <v>1075.1408763671602</v>
      </c>
      <c r="U480" s="167">
        <v>1200.4769599427752</v>
      </c>
      <c r="V480" s="149">
        <f t="shared" si="154"/>
        <v>125.33608357561502</v>
      </c>
      <c r="W480" s="149">
        <f t="shared" si="156"/>
        <v>1200.4769599427752</v>
      </c>
      <c r="X480" s="149">
        <v>0</v>
      </c>
      <c r="Y480" s="368">
        <v>0</v>
      </c>
      <c r="Z480" s="368">
        <v>0</v>
      </c>
      <c r="AA480" s="368">
        <v>0</v>
      </c>
      <c r="AB480" s="368">
        <v>0</v>
      </c>
      <c r="AC480" s="368">
        <v>0</v>
      </c>
      <c r="AD480" s="368">
        <v>0</v>
      </c>
      <c r="AE480" s="368">
        <v>833.9</v>
      </c>
      <c r="AF480" s="396">
        <f t="shared" si="158"/>
        <v>1200.4769599427752</v>
      </c>
      <c r="AG480" s="368">
        <v>0</v>
      </c>
      <c r="AH480" s="396">
        <v>0</v>
      </c>
      <c r="AI480" s="368">
        <v>0</v>
      </c>
      <c r="AJ480" s="396">
        <v>0</v>
      </c>
      <c r="AK480" s="368">
        <v>0</v>
      </c>
      <c r="AL480" s="368">
        <v>0</v>
      </c>
      <c r="AM480" s="368">
        <v>0</v>
      </c>
      <c r="AN480" s="368"/>
      <c r="AO480" s="368">
        <v>0</v>
      </c>
    </row>
    <row r="481" spans="1:41" s="152" customFormat="1" ht="36" customHeight="1" x14ac:dyDescent="0.9">
      <c r="A481" s="152">
        <v>1</v>
      </c>
      <c r="B481" s="90">
        <f>SUBTOTAL(103,$A$16:A481)</f>
        <v>418</v>
      </c>
      <c r="C481" s="89" t="s">
        <v>153</v>
      </c>
      <c r="D481" s="163">
        <v>1985</v>
      </c>
      <c r="E481" s="163"/>
      <c r="F481" s="168" t="s">
        <v>290</v>
      </c>
      <c r="G481" s="163">
        <v>5</v>
      </c>
      <c r="H481" s="163">
        <v>5</v>
      </c>
      <c r="I481" s="164">
        <v>5376.4</v>
      </c>
      <c r="J481" s="164">
        <v>2229.5</v>
      </c>
      <c r="K481" s="164">
        <v>22225.4</v>
      </c>
      <c r="L481" s="165">
        <v>149</v>
      </c>
      <c r="M481" s="163" t="s">
        <v>268</v>
      </c>
      <c r="N481" s="163" t="s">
        <v>272</v>
      </c>
      <c r="O481" s="166" t="s">
        <v>296</v>
      </c>
      <c r="P481" s="167">
        <v>4344480.5299999993</v>
      </c>
      <c r="Q481" s="167">
        <v>0</v>
      </c>
      <c r="R481" s="167">
        <v>0</v>
      </c>
      <c r="S481" s="167">
        <f>P481-Q481-R481</f>
        <v>4344480.5299999993</v>
      </c>
      <c r="T481" s="167">
        <f t="shared" si="149"/>
        <v>808.06497470426302</v>
      </c>
      <c r="U481" s="167">
        <v>1202.0844559556583</v>
      </c>
      <c r="V481" s="149">
        <f t="shared" si="154"/>
        <v>394.01948125139529</v>
      </c>
      <c r="W481" s="149">
        <f t="shared" si="156"/>
        <v>1202.0844559556583</v>
      </c>
      <c r="X481" s="149">
        <v>0</v>
      </c>
      <c r="Y481" s="368">
        <v>0</v>
      </c>
      <c r="Z481" s="368">
        <v>0</v>
      </c>
      <c r="AA481" s="368">
        <v>0</v>
      </c>
      <c r="AB481" s="368">
        <v>0</v>
      </c>
      <c r="AC481" s="368">
        <v>0</v>
      </c>
      <c r="AD481" s="368">
        <v>0</v>
      </c>
      <c r="AE481" s="368">
        <v>1035.9000000000001</v>
      </c>
      <c r="AF481" s="396">
        <f t="shared" si="158"/>
        <v>1202.0844559556583</v>
      </c>
      <c r="AG481" s="368">
        <v>0</v>
      </c>
      <c r="AH481" s="396">
        <v>0</v>
      </c>
      <c r="AI481" s="368">
        <v>0</v>
      </c>
      <c r="AJ481" s="396">
        <v>0</v>
      </c>
      <c r="AK481" s="368">
        <v>0</v>
      </c>
      <c r="AL481" s="368">
        <v>0</v>
      </c>
      <c r="AM481" s="368">
        <v>0</v>
      </c>
      <c r="AN481" s="368"/>
      <c r="AO481" s="368">
        <v>0</v>
      </c>
    </row>
    <row r="482" spans="1:41" s="152" customFormat="1" ht="36" customHeight="1" x14ac:dyDescent="0.9">
      <c r="B482" s="382" t="s">
        <v>866</v>
      </c>
      <c r="C482" s="382"/>
      <c r="D482" s="384" t="s">
        <v>903</v>
      </c>
      <c r="E482" s="163" t="s">
        <v>903</v>
      </c>
      <c r="F482" s="384" t="s">
        <v>903</v>
      </c>
      <c r="G482" s="384" t="s">
        <v>903</v>
      </c>
      <c r="H482" s="163" t="s">
        <v>903</v>
      </c>
      <c r="I482" s="386">
        <f>SUM(I483:I490)</f>
        <v>33276.850000000006</v>
      </c>
      <c r="J482" s="164">
        <f>SUM(J483:J490)</f>
        <v>22191.000000000004</v>
      </c>
      <c r="K482" s="164">
        <f>SUM(K483:K490)</f>
        <v>19832.54</v>
      </c>
      <c r="L482" s="165">
        <f>SUM(L483:L490)</f>
        <v>1281</v>
      </c>
      <c r="M482" s="163" t="s">
        <v>903</v>
      </c>
      <c r="N482" s="163" t="s">
        <v>903</v>
      </c>
      <c r="O482" s="166" t="s">
        <v>903</v>
      </c>
      <c r="P482" s="387">
        <v>34433820.409999996</v>
      </c>
      <c r="Q482" s="167">
        <f>SUM(Q483:Q490)</f>
        <v>0</v>
      </c>
      <c r="R482" s="167">
        <f>SUM(R483:R490)</f>
        <v>0</v>
      </c>
      <c r="S482" s="167">
        <f>SUM(S483:S490)</f>
        <v>34433820.409999996</v>
      </c>
      <c r="T482" s="387">
        <f t="shared" si="149"/>
        <v>1034.7680267212788</v>
      </c>
      <c r="U482" s="387">
        <f>MAX(U483:U490)</f>
        <v>5916.5770254033641</v>
      </c>
      <c r="V482" s="149">
        <f t="shared" si="154"/>
        <v>4881.8089986820851</v>
      </c>
      <c r="W482" s="149"/>
      <c r="X482" s="149"/>
      <c r="Y482" s="368"/>
      <c r="Z482" s="368"/>
      <c r="AA482" s="368"/>
      <c r="AB482" s="368"/>
      <c r="AC482" s="368"/>
      <c r="AD482" s="368"/>
      <c r="AE482" s="368"/>
      <c r="AF482" s="368"/>
      <c r="AG482" s="368"/>
      <c r="AH482" s="368"/>
      <c r="AI482" s="368"/>
      <c r="AJ482" s="368"/>
      <c r="AK482" s="368"/>
      <c r="AL482" s="368"/>
      <c r="AM482" s="368"/>
      <c r="AN482" s="368"/>
      <c r="AO482" s="368"/>
    </row>
    <row r="483" spans="1:41" s="152" customFormat="1" ht="36" customHeight="1" x14ac:dyDescent="0.9">
      <c r="A483" s="152">
        <v>1</v>
      </c>
      <c r="B483" s="90">
        <f>SUBTOTAL(103,$A$16:A483)</f>
        <v>419</v>
      </c>
      <c r="C483" s="89" t="s">
        <v>137</v>
      </c>
      <c r="D483" s="163">
        <v>1982</v>
      </c>
      <c r="E483" s="163"/>
      <c r="F483" s="168" t="s">
        <v>270</v>
      </c>
      <c r="G483" s="163">
        <v>5</v>
      </c>
      <c r="H483" s="163">
        <v>6</v>
      </c>
      <c r="I483" s="167">
        <v>3868.3</v>
      </c>
      <c r="J483" s="167">
        <v>2289.6</v>
      </c>
      <c r="K483" s="167">
        <v>2289.6</v>
      </c>
      <c r="L483" s="165">
        <v>192</v>
      </c>
      <c r="M483" s="163" t="s">
        <v>268</v>
      </c>
      <c r="N483" s="163" t="s">
        <v>294</v>
      </c>
      <c r="O483" s="166" t="s">
        <v>305</v>
      </c>
      <c r="P483" s="167">
        <v>2052000.74</v>
      </c>
      <c r="Q483" s="167">
        <v>0</v>
      </c>
      <c r="R483" s="167">
        <v>0</v>
      </c>
      <c r="S483" s="167">
        <f t="shared" ref="S483:S490" si="159">P483-Q483-R483</f>
        <v>2052000.74</v>
      </c>
      <c r="T483" s="167">
        <f t="shared" si="149"/>
        <v>530.46577049349844</v>
      </c>
      <c r="U483" s="167">
        <v>1661.0212834578497</v>
      </c>
      <c r="V483" s="149">
        <f t="shared" si="154"/>
        <v>1130.5555129643512</v>
      </c>
      <c r="W483" s="149">
        <f t="shared" ref="W483:W490" si="160">X483+Y483+Z483+AA483+AB483+AD483+AF483+AH483+AJ483+AL483+AN483+AO483</f>
        <v>1661.0212834578497</v>
      </c>
      <c r="X483" s="149">
        <v>0</v>
      </c>
      <c r="Y483" s="368">
        <v>0</v>
      </c>
      <c r="Z483" s="368">
        <v>0</v>
      </c>
      <c r="AA483" s="368">
        <v>0</v>
      </c>
      <c r="AB483" s="368">
        <v>0</v>
      </c>
      <c r="AC483" s="368">
        <v>0</v>
      </c>
      <c r="AD483" s="368">
        <v>0</v>
      </c>
      <c r="AE483" s="368">
        <v>1029.8800000000001</v>
      </c>
      <c r="AF483" s="396">
        <f t="shared" ref="AF483:AF488" si="161">6238.91*AE483/I483</f>
        <v>1661.0212834578497</v>
      </c>
      <c r="AG483" s="368">
        <v>0</v>
      </c>
      <c r="AH483" s="396">
        <v>0</v>
      </c>
      <c r="AI483" s="368">
        <v>0</v>
      </c>
      <c r="AJ483" s="396">
        <v>0</v>
      </c>
      <c r="AK483" s="368">
        <v>0</v>
      </c>
      <c r="AL483" s="368">
        <v>0</v>
      </c>
      <c r="AM483" s="368">
        <v>0</v>
      </c>
      <c r="AN483" s="368"/>
      <c r="AO483" s="368">
        <v>0</v>
      </c>
    </row>
    <row r="484" spans="1:41" s="152" customFormat="1" ht="36" customHeight="1" x14ac:dyDescent="0.9">
      <c r="A484" s="152">
        <v>1</v>
      </c>
      <c r="B484" s="90">
        <f>SUBTOTAL(103,$A$16:A484)</f>
        <v>420</v>
      </c>
      <c r="C484" s="89" t="s">
        <v>139</v>
      </c>
      <c r="D484" s="163">
        <v>1964</v>
      </c>
      <c r="E484" s="163"/>
      <c r="F484" s="168" t="s">
        <v>270</v>
      </c>
      <c r="G484" s="163">
        <v>4</v>
      </c>
      <c r="H484" s="163">
        <v>2</v>
      </c>
      <c r="I484" s="167">
        <v>2499.9</v>
      </c>
      <c r="J484" s="167">
        <v>2061.5</v>
      </c>
      <c r="K484" s="167">
        <v>2061.5</v>
      </c>
      <c r="L484" s="165">
        <v>75</v>
      </c>
      <c r="M484" s="163" t="s">
        <v>268</v>
      </c>
      <c r="N484" s="163" t="s">
        <v>294</v>
      </c>
      <c r="O484" s="166" t="s">
        <v>295</v>
      </c>
      <c r="P484" s="167">
        <v>2381202.33</v>
      </c>
      <c r="Q484" s="167">
        <v>0</v>
      </c>
      <c r="R484" s="167">
        <v>0</v>
      </c>
      <c r="S484" s="167">
        <f t="shared" si="159"/>
        <v>2381202.33</v>
      </c>
      <c r="T484" s="167">
        <f t="shared" si="149"/>
        <v>952.51903276131043</v>
      </c>
      <c r="U484" s="167">
        <v>1286.4398326733069</v>
      </c>
      <c r="V484" s="149">
        <f t="shared" si="154"/>
        <v>333.92079991199648</v>
      </c>
      <c r="W484" s="149">
        <f t="shared" si="160"/>
        <v>1286.4398326733069</v>
      </c>
      <c r="X484" s="149">
        <v>0</v>
      </c>
      <c r="Y484" s="368">
        <v>0</v>
      </c>
      <c r="Z484" s="368">
        <v>0</v>
      </c>
      <c r="AA484" s="368">
        <v>0</v>
      </c>
      <c r="AB484" s="368">
        <v>0</v>
      </c>
      <c r="AC484" s="368">
        <v>0</v>
      </c>
      <c r="AD484" s="368">
        <v>0</v>
      </c>
      <c r="AE484" s="368">
        <v>515.47</v>
      </c>
      <c r="AF484" s="396">
        <f t="shared" si="161"/>
        <v>1286.4398326733069</v>
      </c>
      <c r="AG484" s="368">
        <v>0</v>
      </c>
      <c r="AH484" s="396">
        <v>0</v>
      </c>
      <c r="AI484" s="368">
        <v>0</v>
      </c>
      <c r="AJ484" s="396">
        <v>0</v>
      </c>
      <c r="AK484" s="368">
        <v>0</v>
      </c>
      <c r="AL484" s="368">
        <v>0</v>
      </c>
      <c r="AM484" s="368">
        <v>0</v>
      </c>
      <c r="AN484" s="368"/>
      <c r="AO484" s="368">
        <v>0</v>
      </c>
    </row>
    <row r="485" spans="1:41" s="152" customFormat="1" ht="36" customHeight="1" x14ac:dyDescent="0.9">
      <c r="A485" s="152">
        <v>1</v>
      </c>
      <c r="B485" s="90">
        <f>SUBTOTAL(103,$A$16:A485)</f>
        <v>421</v>
      </c>
      <c r="C485" s="89" t="s">
        <v>148</v>
      </c>
      <c r="D485" s="163">
        <v>1972</v>
      </c>
      <c r="E485" s="163"/>
      <c r="F485" s="168" t="s">
        <v>270</v>
      </c>
      <c r="G485" s="163">
        <v>5</v>
      </c>
      <c r="H485" s="163">
        <v>8</v>
      </c>
      <c r="I485" s="167">
        <v>8090.9</v>
      </c>
      <c r="J485" s="167">
        <v>6096.3</v>
      </c>
      <c r="K485" s="167">
        <v>5723.68</v>
      </c>
      <c r="L485" s="165">
        <v>307</v>
      </c>
      <c r="M485" s="163" t="s">
        <v>268</v>
      </c>
      <c r="N485" s="163" t="s">
        <v>272</v>
      </c>
      <c r="O485" s="166" t="s">
        <v>297</v>
      </c>
      <c r="P485" s="167">
        <v>8666833.0800000001</v>
      </c>
      <c r="Q485" s="167">
        <v>0</v>
      </c>
      <c r="R485" s="167">
        <v>0</v>
      </c>
      <c r="S485" s="167">
        <f t="shared" si="159"/>
        <v>8666833.0800000001</v>
      </c>
      <c r="T485" s="167">
        <f t="shared" si="149"/>
        <v>1071.182820205416</v>
      </c>
      <c r="U485" s="167">
        <v>1283.1447424143173</v>
      </c>
      <c r="V485" s="149">
        <f t="shared" si="154"/>
        <v>211.96192220890134</v>
      </c>
      <c r="W485" s="149">
        <f t="shared" si="160"/>
        <v>1283.1447424143173</v>
      </c>
      <c r="X485" s="149">
        <v>0</v>
      </c>
      <c r="Y485" s="368">
        <v>0</v>
      </c>
      <c r="Z485" s="368">
        <v>0</v>
      </c>
      <c r="AA485" s="368">
        <v>0</v>
      </c>
      <c r="AB485" s="368">
        <v>0</v>
      </c>
      <c r="AC485" s="368">
        <v>0</v>
      </c>
      <c r="AD485" s="368">
        <v>0</v>
      </c>
      <c r="AE485" s="368">
        <v>1664.04</v>
      </c>
      <c r="AF485" s="396">
        <f t="shared" si="161"/>
        <v>1283.1447424143173</v>
      </c>
      <c r="AG485" s="368">
        <v>0</v>
      </c>
      <c r="AH485" s="396">
        <v>0</v>
      </c>
      <c r="AI485" s="368">
        <v>0</v>
      </c>
      <c r="AJ485" s="396">
        <v>0</v>
      </c>
      <c r="AK485" s="368">
        <v>0</v>
      </c>
      <c r="AL485" s="368">
        <v>0</v>
      </c>
      <c r="AM485" s="368">
        <v>0</v>
      </c>
      <c r="AN485" s="368"/>
      <c r="AO485" s="368">
        <v>0</v>
      </c>
    </row>
    <row r="486" spans="1:41" s="152" customFormat="1" ht="36" customHeight="1" x14ac:dyDescent="0.9">
      <c r="A486" s="152">
        <v>1</v>
      </c>
      <c r="B486" s="90">
        <f>SUBTOTAL(103,$A$16:A486)</f>
        <v>422</v>
      </c>
      <c r="C486" s="89" t="s">
        <v>1274</v>
      </c>
      <c r="D486" s="163">
        <v>1928</v>
      </c>
      <c r="E486" s="163"/>
      <c r="F486" s="168" t="s">
        <v>270</v>
      </c>
      <c r="G486" s="163">
        <v>3</v>
      </c>
      <c r="H486" s="163">
        <v>4</v>
      </c>
      <c r="I486" s="167">
        <v>1165.2</v>
      </c>
      <c r="J486" s="167">
        <v>998.7</v>
      </c>
      <c r="K486" s="167">
        <v>538.29999999999995</v>
      </c>
      <c r="L486" s="165">
        <v>72</v>
      </c>
      <c r="M486" s="163" t="s">
        <v>268</v>
      </c>
      <c r="N486" s="163" t="s">
        <v>272</v>
      </c>
      <c r="O486" s="166" t="s">
        <v>291</v>
      </c>
      <c r="P486" s="167">
        <v>5276306.63</v>
      </c>
      <c r="Q486" s="167">
        <v>0</v>
      </c>
      <c r="R486" s="167">
        <v>0</v>
      </c>
      <c r="S486" s="167">
        <f t="shared" si="159"/>
        <v>5276306.63</v>
      </c>
      <c r="T486" s="167">
        <f t="shared" si="149"/>
        <v>4528.2411860624779</v>
      </c>
      <c r="U486" s="167">
        <v>5916.5770254033641</v>
      </c>
      <c r="V486" s="149">
        <f t="shared" si="154"/>
        <v>1388.3358393408862</v>
      </c>
      <c r="W486" s="149">
        <f t="shared" si="160"/>
        <v>5916.5770254033641</v>
      </c>
      <c r="X486" s="149">
        <v>0</v>
      </c>
      <c r="Y486" s="368">
        <v>0</v>
      </c>
      <c r="Z486" s="368">
        <v>0</v>
      </c>
      <c r="AA486" s="368">
        <v>0</v>
      </c>
      <c r="AB486" s="368">
        <v>0</v>
      </c>
      <c r="AC486" s="368">
        <v>0</v>
      </c>
      <c r="AD486" s="368">
        <v>0</v>
      </c>
      <c r="AE486" s="368">
        <v>1105</v>
      </c>
      <c r="AF486" s="396">
        <f t="shared" si="161"/>
        <v>5916.5770254033641</v>
      </c>
      <c r="AG486" s="368">
        <v>0</v>
      </c>
      <c r="AH486" s="396">
        <v>0</v>
      </c>
      <c r="AI486" s="368">
        <v>0</v>
      </c>
      <c r="AJ486" s="396">
        <v>0</v>
      </c>
      <c r="AK486" s="368">
        <v>0</v>
      </c>
      <c r="AL486" s="368">
        <v>0</v>
      </c>
      <c r="AM486" s="368">
        <v>0</v>
      </c>
      <c r="AN486" s="368"/>
      <c r="AO486" s="368">
        <v>0</v>
      </c>
    </row>
    <row r="487" spans="1:41" s="152" customFormat="1" ht="36" customHeight="1" x14ac:dyDescent="0.9">
      <c r="A487" s="152">
        <v>1</v>
      </c>
      <c r="B487" s="90">
        <f>SUBTOTAL(103,$A$16:A487)</f>
        <v>423</v>
      </c>
      <c r="C487" s="89" t="s">
        <v>1275</v>
      </c>
      <c r="D487" s="163">
        <v>1962</v>
      </c>
      <c r="E487" s="163"/>
      <c r="F487" s="168" t="s">
        <v>270</v>
      </c>
      <c r="G487" s="163">
        <v>3</v>
      </c>
      <c r="H487" s="163">
        <v>3</v>
      </c>
      <c r="I487" s="167">
        <v>1520.41</v>
      </c>
      <c r="J487" s="167">
        <v>903.54</v>
      </c>
      <c r="K487" s="167">
        <v>226.5</v>
      </c>
      <c r="L487" s="165">
        <v>135</v>
      </c>
      <c r="M487" s="163" t="s">
        <v>268</v>
      </c>
      <c r="N487" s="163" t="s">
        <v>272</v>
      </c>
      <c r="O487" s="166" t="s">
        <v>1353</v>
      </c>
      <c r="P487" s="167">
        <v>3408422.6399999997</v>
      </c>
      <c r="Q487" s="167">
        <v>0</v>
      </c>
      <c r="R487" s="167">
        <v>0</v>
      </c>
      <c r="S487" s="167">
        <f t="shared" si="159"/>
        <v>3408422.6399999997</v>
      </c>
      <c r="T487" s="167">
        <f t="shared" si="149"/>
        <v>2241.7786255023311</v>
      </c>
      <c r="U487" s="167">
        <v>3428.1362141132981</v>
      </c>
      <c r="V487" s="149">
        <f t="shared" si="154"/>
        <v>1186.357588610967</v>
      </c>
      <c r="W487" s="149">
        <f t="shared" si="160"/>
        <v>3428.1362141132981</v>
      </c>
      <c r="X487" s="149">
        <v>0</v>
      </c>
      <c r="Y487" s="368">
        <v>0</v>
      </c>
      <c r="Z487" s="368">
        <v>0</v>
      </c>
      <c r="AA487" s="368">
        <v>0</v>
      </c>
      <c r="AB487" s="368">
        <v>0</v>
      </c>
      <c r="AC487" s="368">
        <v>0</v>
      </c>
      <c r="AD487" s="368">
        <v>0</v>
      </c>
      <c r="AE487" s="368">
        <v>835.43</v>
      </c>
      <c r="AF487" s="396">
        <f t="shared" si="161"/>
        <v>3428.1362141132981</v>
      </c>
      <c r="AG487" s="368">
        <v>0</v>
      </c>
      <c r="AH487" s="396">
        <v>0</v>
      </c>
      <c r="AI487" s="368">
        <v>0</v>
      </c>
      <c r="AJ487" s="396">
        <v>0</v>
      </c>
      <c r="AK487" s="368">
        <v>0</v>
      </c>
      <c r="AL487" s="368">
        <v>0</v>
      </c>
      <c r="AM487" s="368">
        <v>0</v>
      </c>
      <c r="AN487" s="368"/>
      <c r="AO487" s="368">
        <v>0</v>
      </c>
    </row>
    <row r="488" spans="1:41" s="152" customFormat="1" ht="36" customHeight="1" x14ac:dyDescent="0.9">
      <c r="A488" s="152">
        <v>1</v>
      </c>
      <c r="B488" s="90">
        <f>SUBTOTAL(103,$A$16:A488)</f>
        <v>424</v>
      </c>
      <c r="C488" s="89" t="s">
        <v>1276</v>
      </c>
      <c r="D488" s="163">
        <v>1970</v>
      </c>
      <c r="E488" s="163"/>
      <c r="F488" s="168" t="s">
        <v>270</v>
      </c>
      <c r="G488" s="163">
        <v>5</v>
      </c>
      <c r="H488" s="163">
        <v>6</v>
      </c>
      <c r="I488" s="167">
        <v>7597.16</v>
      </c>
      <c r="J488" s="167">
        <v>4459.3599999999997</v>
      </c>
      <c r="K488" s="167">
        <v>4120.66</v>
      </c>
      <c r="L488" s="165">
        <v>224</v>
      </c>
      <c r="M488" s="163" t="s">
        <v>268</v>
      </c>
      <c r="N488" s="163" t="s">
        <v>272</v>
      </c>
      <c r="O488" s="166" t="s">
        <v>1354</v>
      </c>
      <c r="P488" s="167">
        <v>7031127.6799999997</v>
      </c>
      <c r="Q488" s="167">
        <v>0</v>
      </c>
      <c r="R488" s="167">
        <v>0</v>
      </c>
      <c r="S488" s="167">
        <f t="shared" si="159"/>
        <v>7031127.6799999997</v>
      </c>
      <c r="T488" s="167">
        <f>P488/I488</f>
        <v>925.49422152488557</v>
      </c>
      <c r="U488" s="167">
        <v>1150.8522229359392</v>
      </c>
      <c r="V488" s="149">
        <f t="shared" si="154"/>
        <v>225.35800141105358</v>
      </c>
      <c r="W488" s="149">
        <f t="shared" si="160"/>
        <v>1150.8522229359392</v>
      </c>
      <c r="X488" s="149">
        <v>0</v>
      </c>
      <c r="Y488" s="368">
        <v>0</v>
      </c>
      <c r="Z488" s="368">
        <v>0</v>
      </c>
      <c r="AA488" s="368">
        <v>0</v>
      </c>
      <c r="AB488" s="368">
        <v>0</v>
      </c>
      <c r="AC488" s="368">
        <v>0</v>
      </c>
      <c r="AD488" s="368">
        <v>0</v>
      </c>
      <c r="AE488" s="368">
        <v>1401.4</v>
      </c>
      <c r="AF488" s="396">
        <f t="shared" si="161"/>
        <v>1150.8522229359392</v>
      </c>
      <c r="AG488" s="368">
        <v>0</v>
      </c>
      <c r="AH488" s="396">
        <v>0</v>
      </c>
      <c r="AI488" s="368">
        <v>0</v>
      </c>
      <c r="AJ488" s="396">
        <v>0</v>
      </c>
      <c r="AK488" s="368">
        <v>0</v>
      </c>
      <c r="AL488" s="368">
        <v>0</v>
      </c>
      <c r="AM488" s="368">
        <v>0</v>
      </c>
      <c r="AN488" s="368"/>
      <c r="AO488" s="368">
        <v>0</v>
      </c>
    </row>
    <row r="489" spans="1:41" s="152" customFormat="1" ht="36" customHeight="1" x14ac:dyDescent="0.9">
      <c r="A489" s="152">
        <v>1</v>
      </c>
      <c r="B489" s="90">
        <f>SUBTOTAL(103,$A$16:A489)</f>
        <v>425</v>
      </c>
      <c r="C489" s="89" t="s">
        <v>168</v>
      </c>
      <c r="D489" s="163">
        <v>1966</v>
      </c>
      <c r="E489" s="163"/>
      <c r="F489" s="168" t="s">
        <v>270</v>
      </c>
      <c r="G489" s="163">
        <v>4</v>
      </c>
      <c r="H489" s="163">
        <v>2</v>
      </c>
      <c r="I489" s="167">
        <v>1285.3</v>
      </c>
      <c r="J489" s="167">
        <v>836.8</v>
      </c>
      <c r="K489" s="167">
        <v>836.8</v>
      </c>
      <c r="L489" s="165">
        <v>76</v>
      </c>
      <c r="M489" s="163" t="s">
        <v>268</v>
      </c>
      <c r="N489" s="163" t="s">
        <v>294</v>
      </c>
      <c r="O489" s="166" t="s">
        <v>304</v>
      </c>
      <c r="P489" s="167">
        <v>590946.49</v>
      </c>
      <c r="Q489" s="167">
        <v>0</v>
      </c>
      <c r="R489" s="167">
        <v>0</v>
      </c>
      <c r="S489" s="167">
        <f t="shared" si="159"/>
        <v>590946.49</v>
      </c>
      <c r="T489" s="167">
        <f t="shared" ref="T489:T540" si="162">P489/I489</f>
        <v>459.77319691900726</v>
      </c>
      <c r="U489" s="167">
        <v>1325.0673928265776</v>
      </c>
      <c r="V489" s="149">
        <f t="shared" si="154"/>
        <v>865.29419590757038</v>
      </c>
      <c r="W489" s="149">
        <f t="shared" si="160"/>
        <v>1325.0673928265776</v>
      </c>
      <c r="X489" s="149">
        <v>0</v>
      </c>
      <c r="Y489" s="368">
        <v>0</v>
      </c>
      <c r="Z489" s="368">
        <v>0</v>
      </c>
      <c r="AA489" s="368">
        <v>0</v>
      </c>
      <c r="AB489" s="368">
        <v>0</v>
      </c>
      <c r="AC489" s="368">
        <v>0</v>
      </c>
      <c r="AD489" s="368">
        <v>0</v>
      </c>
      <c r="AE489" s="368">
        <v>0</v>
      </c>
      <c r="AF489" s="396">
        <v>0</v>
      </c>
      <c r="AG489" s="368">
        <v>192</v>
      </c>
      <c r="AH489" s="396">
        <f>8870.36*AG489/I489</f>
        <v>1325.0673928265776</v>
      </c>
      <c r="AI489" s="368">
        <v>0</v>
      </c>
      <c r="AJ489" s="396">
        <v>0</v>
      </c>
      <c r="AK489" s="368">
        <v>0</v>
      </c>
      <c r="AL489" s="368">
        <v>0</v>
      </c>
      <c r="AM489" s="368">
        <v>0</v>
      </c>
      <c r="AN489" s="368"/>
      <c r="AO489" s="368">
        <v>0</v>
      </c>
    </row>
    <row r="490" spans="1:41" s="152" customFormat="1" ht="36" customHeight="1" x14ac:dyDescent="0.9">
      <c r="A490" s="152">
        <v>1</v>
      </c>
      <c r="B490" s="90">
        <f>SUBTOTAL(103,$A$16:A490)</f>
        <v>426</v>
      </c>
      <c r="C490" s="89" t="s">
        <v>1298</v>
      </c>
      <c r="D490" s="163">
        <v>1983</v>
      </c>
      <c r="E490" s="163"/>
      <c r="F490" s="168" t="s">
        <v>270</v>
      </c>
      <c r="G490" s="163">
        <v>5</v>
      </c>
      <c r="H490" s="163">
        <v>6</v>
      </c>
      <c r="I490" s="167">
        <v>7249.68</v>
      </c>
      <c r="J490" s="167">
        <v>4545.2</v>
      </c>
      <c r="K490" s="167">
        <v>4035.5</v>
      </c>
      <c r="L490" s="165">
        <v>200</v>
      </c>
      <c r="M490" s="163" t="s">
        <v>268</v>
      </c>
      <c r="N490" s="163" t="s">
        <v>345</v>
      </c>
      <c r="O490" s="166" t="s">
        <v>1373</v>
      </c>
      <c r="P490" s="167">
        <v>5026980.8199999994</v>
      </c>
      <c r="Q490" s="167">
        <v>0</v>
      </c>
      <c r="R490" s="167">
        <v>0</v>
      </c>
      <c r="S490" s="167">
        <f t="shared" si="159"/>
        <v>5026980.8199999994</v>
      </c>
      <c r="T490" s="167">
        <f t="shared" si="162"/>
        <v>693.4072703898654</v>
      </c>
      <c r="U490" s="167">
        <v>3259.66</v>
      </c>
      <c r="V490" s="149">
        <f t="shared" si="154"/>
        <v>2566.2527296101343</v>
      </c>
      <c r="W490" s="149">
        <f t="shared" si="160"/>
        <v>3259.66</v>
      </c>
      <c r="X490" s="149">
        <v>0</v>
      </c>
      <c r="Y490" s="368">
        <v>0</v>
      </c>
      <c r="Z490" s="368">
        <v>3259.66</v>
      </c>
      <c r="AA490" s="368">
        <v>0</v>
      </c>
      <c r="AB490" s="368">
        <v>0</v>
      </c>
      <c r="AC490" s="368">
        <v>0</v>
      </c>
      <c r="AD490" s="368">
        <v>0</v>
      </c>
      <c r="AE490" s="368">
        <v>0</v>
      </c>
      <c r="AF490" s="396">
        <v>0</v>
      </c>
      <c r="AG490" s="368">
        <v>0</v>
      </c>
      <c r="AH490" s="396">
        <v>0</v>
      </c>
      <c r="AI490" s="368">
        <v>0</v>
      </c>
      <c r="AJ490" s="396">
        <v>0</v>
      </c>
      <c r="AK490" s="368">
        <v>0</v>
      </c>
      <c r="AL490" s="368">
        <v>0</v>
      </c>
      <c r="AM490" s="368">
        <v>0</v>
      </c>
      <c r="AN490" s="368"/>
      <c r="AO490" s="368">
        <v>0</v>
      </c>
    </row>
    <row r="491" spans="1:41" s="152" customFormat="1" ht="36" customHeight="1" x14ac:dyDescent="0.9">
      <c r="B491" s="382" t="s">
        <v>1272</v>
      </c>
      <c r="C491" s="382"/>
      <c r="D491" s="384" t="s">
        <v>903</v>
      </c>
      <c r="E491" s="163" t="s">
        <v>903</v>
      </c>
      <c r="F491" s="384" t="s">
        <v>903</v>
      </c>
      <c r="G491" s="384" t="s">
        <v>903</v>
      </c>
      <c r="H491" s="163" t="s">
        <v>903</v>
      </c>
      <c r="I491" s="386">
        <f>SUM(I492:I492)</f>
        <v>720.74</v>
      </c>
      <c r="J491" s="164">
        <f>SUM(J492:J492)</f>
        <v>680.3</v>
      </c>
      <c r="K491" s="164">
        <f>SUM(K492:K492)</f>
        <v>515.4</v>
      </c>
      <c r="L491" s="165">
        <f>SUM(L492:L492)</f>
        <v>19</v>
      </c>
      <c r="M491" s="163" t="s">
        <v>903</v>
      </c>
      <c r="N491" s="163" t="s">
        <v>903</v>
      </c>
      <c r="O491" s="166" t="s">
        <v>903</v>
      </c>
      <c r="P491" s="387">
        <v>1499263.62</v>
      </c>
      <c r="Q491" s="167">
        <f>Q492</f>
        <v>0</v>
      </c>
      <c r="R491" s="167">
        <f>R492</f>
        <v>0</v>
      </c>
      <c r="S491" s="167">
        <f>S492</f>
        <v>1499263.62</v>
      </c>
      <c r="T491" s="387">
        <f t="shared" si="162"/>
        <v>2080.1726281321976</v>
      </c>
      <c r="U491" s="387">
        <f>U492</f>
        <v>4193.8695034270331</v>
      </c>
      <c r="V491" s="149">
        <f t="shared" si="154"/>
        <v>2113.6968752948355</v>
      </c>
      <c r="W491" s="149"/>
      <c r="X491" s="149"/>
      <c r="Y491" s="368"/>
      <c r="Z491" s="368"/>
      <c r="AA491" s="368"/>
      <c r="AB491" s="368"/>
      <c r="AC491" s="368"/>
      <c r="AD491" s="368"/>
      <c r="AE491" s="368"/>
      <c r="AF491" s="368"/>
      <c r="AG491" s="368"/>
      <c r="AH491" s="368"/>
      <c r="AI491" s="368"/>
      <c r="AJ491" s="368"/>
      <c r="AK491" s="368"/>
      <c r="AL491" s="368"/>
      <c r="AM491" s="368"/>
      <c r="AN491" s="368"/>
      <c r="AO491" s="368"/>
    </row>
    <row r="492" spans="1:41" s="152" customFormat="1" ht="36" customHeight="1" x14ac:dyDescent="0.9">
      <c r="A492" s="152">
        <v>1</v>
      </c>
      <c r="B492" s="90">
        <f>SUBTOTAL(103,$A$16:A492)</f>
        <v>427</v>
      </c>
      <c r="C492" s="89" t="s">
        <v>1273</v>
      </c>
      <c r="D492" s="163">
        <v>1976</v>
      </c>
      <c r="E492" s="163"/>
      <c r="F492" s="168" t="s">
        <v>270</v>
      </c>
      <c r="G492" s="163">
        <v>2</v>
      </c>
      <c r="H492" s="163">
        <v>1</v>
      </c>
      <c r="I492" s="167">
        <v>720.74</v>
      </c>
      <c r="J492" s="167">
        <v>680.3</v>
      </c>
      <c r="K492" s="167">
        <v>515.4</v>
      </c>
      <c r="L492" s="165">
        <v>19</v>
      </c>
      <c r="M492" s="163" t="s">
        <v>268</v>
      </c>
      <c r="N492" s="163" t="s">
        <v>272</v>
      </c>
      <c r="O492" s="166" t="s">
        <v>291</v>
      </c>
      <c r="P492" s="167">
        <v>1499263.62</v>
      </c>
      <c r="Q492" s="167">
        <v>0</v>
      </c>
      <c r="R492" s="167">
        <v>0</v>
      </c>
      <c r="S492" s="167">
        <f>P492-Q492-R492</f>
        <v>1499263.62</v>
      </c>
      <c r="T492" s="167">
        <f t="shared" si="162"/>
        <v>2080.1726281321976</v>
      </c>
      <c r="U492" s="167">
        <v>4193.8695034270331</v>
      </c>
      <c r="V492" s="149">
        <f>U492-T492</f>
        <v>2113.6968752948355</v>
      </c>
      <c r="W492" s="149">
        <f>X492+Y492+Z492+AA492+AB492+AD492+AF492+AH492+AJ492+AL492+AN492+AO492</f>
        <v>4193.8695034270331</v>
      </c>
      <c r="X492" s="149">
        <v>0</v>
      </c>
      <c r="Y492" s="368">
        <v>0</v>
      </c>
      <c r="Z492" s="368">
        <v>0</v>
      </c>
      <c r="AA492" s="368">
        <v>0</v>
      </c>
      <c r="AB492" s="368">
        <v>0</v>
      </c>
      <c r="AC492" s="368">
        <v>0</v>
      </c>
      <c r="AD492" s="368">
        <v>0</v>
      </c>
      <c r="AE492" s="368">
        <v>484.49</v>
      </c>
      <c r="AF492" s="396">
        <f>6238.91*AE492/I492</f>
        <v>4193.8695034270331</v>
      </c>
      <c r="AG492" s="368">
        <v>0</v>
      </c>
      <c r="AH492" s="396">
        <v>0</v>
      </c>
      <c r="AI492" s="368">
        <v>0</v>
      </c>
      <c r="AJ492" s="396">
        <v>0</v>
      </c>
      <c r="AK492" s="368">
        <v>0</v>
      </c>
      <c r="AL492" s="368">
        <v>0</v>
      </c>
      <c r="AM492" s="368">
        <v>0</v>
      </c>
      <c r="AN492" s="368"/>
      <c r="AO492" s="368">
        <v>0</v>
      </c>
    </row>
    <row r="493" spans="1:41" s="152" customFormat="1" ht="36" customHeight="1" x14ac:dyDescent="0.9">
      <c r="B493" s="382" t="s">
        <v>1063</v>
      </c>
      <c r="C493" s="382"/>
      <c r="D493" s="384" t="s">
        <v>903</v>
      </c>
      <c r="E493" s="163" t="s">
        <v>903</v>
      </c>
      <c r="F493" s="384" t="s">
        <v>903</v>
      </c>
      <c r="G493" s="384" t="s">
        <v>903</v>
      </c>
      <c r="H493" s="163" t="s">
        <v>903</v>
      </c>
      <c r="I493" s="386">
        <f>I494</f>
        <v>970.5</v>
      </c>
      <c r="J493" s="164">
        <f>J494</f>
        <v>874</v>
      </c>
      <c r="K493" s="164">
        <f>K494</f>
        <v>786.4</v>
      </c>
      <c r="L493" s="165">
        <f>L494</f>
        <v>38</v>
      </c>
      <c r="M493" s="163" t="s">
        <v>903</v>
      </c>
      <c r="N493" s="163" t="s">
        <v>903</v>
      </c>
      <c r="O493" s="166" t="s">
        <v>903</v>
      </c>
      <c r="P493" s="387">
        <v>474650.14999999997</v>
      </c>
      <c r="Q493" s="167">
        <f>Q494</f>
        <v>0</v>
      </c>
      <c r="R493" s="167">
        <f>R494</f>
        <v>0</v>
      </c>
      <c r="S493" s="167">
        <f>S494</f>
        <v>474650.14999999997</v>
      </c>
      <c r="T493" s="387">
        <f t="shared" si="162"/>
        <v>489.07794951056155</v>
      </c>
      <c r="U493" s="387">
        <f>U494</f>
        <v>914.46123647604327</v>
      </c>
      <c r="V493" s="149">
        <f t="shared" si="154"/>
        <v>425.38328696548172</v>
      </c>
      <c r="W493" s="149"/>
      <c r="X493" s="149"/>
      <c r="Y493" s="368"/>
      <c r="Z493" s="368"/>
      <c r="AA493" s="368"/>
      <c r="AB493" s="368"/>
      <c r="AC493" s="368"/>
      <c r="AD493" s="368"/>
      <c r="AE493" s="368"/>
      <c r="AF493" s="368"/>
      <c r="AG493" s="368"/>
      <c r="AH493" s="368"/>
      <c r="AI493" s="368"/>
      <c r="AJ493" s="368"/>
      <c r="AK493" s="368"/>
      <c r="AL493" s="368"/>
      <c r="AM493" s="368"/>
      <c r="AN493" s="368"/>
      <c r="AO493" s="368"/>
    </row>
    <row r="494" spans="1:41" s="152" customFormat="1" ht="36" customHeight="1" x14ac:dyDescent="0.9">
      <c r="A494" s="152">
        <v>1</v>
      </c>
      <c r="B494" s="90">
        <f>SUBTOTAL(103,$A$16:A494)</f>
        <v>428</v>
      </c>
      <c r="C494" s="89" t="s">
        <v>1051</v>
      </c>
      <c r="D494" s="163">
        <v>1974</v>
      </c>
      <c r="E494" s="163"/>
      <c r="F494" s="168" t="s">
        <v>270</v>
      </c>
      <c r="G494" s="163">
        <v>2</v>
      </c>
      <c r="H494" s="163">
        <v>3</v>
      </c>
      <c r="I494" s="167">
        <v>970.5</v>
      </c>
      <c r="J494" s="167">
        <v>874</v>
      </c>
      <c r="K494" s="167">
        <f>J494-87.6</f>
        <v>786.4</v>
      </c>
      <c r="L494" s="165">
        <v>38</v>
      </c>
      <c r="M494" s="163" t="s">
        <v>268</v>
      </c>
      <c r="N494" s="163" t="s">
        <v>272</v>
      </c>
      <c r="O494" s="166" t="s">
        <v>297</v>
      </c>
      <c r="P494" s="167">
        <v>474650.14999999997</v>
      </c>
      <c r="Q494" s="167">
        <v>0</v>
      </c>
      <c r="R494" s="167">
        <v>0</v>
      </c>
      <c r="S494" s="167">
        <f>P494-Q494-R494</f>
        <v>474650.14999999997</v>
      </c>
      <c r="T494" s="167">
        <f t="shared" si="162"/>
        <v>489.07794951056155</v>
      </c>
      <c r="U494" s="167">
        <v>914.46123647604327</v>
      </c>
      <c r="V494" s="149">
        <f>U494-T494</f>
        <v>425.38328696548172</v>
      </c>
      <c r="W494" s="149">
        <f>X494+Y494+Z494+AA494+AB494+AD494+AF494+AH494+AJ494+AL494+AN494+AO494</f>
        <v>914.46123647604327</v>
      </c>
      <c r="X494" s="149">
        <v>0</v>
      </c>
      <c r="Y494" s="368">
        <v>0</v>
      </c>
      <c r="Z494" s="368">
        <v>0</v>
      </c>
      <c r="AA494" s="368">
        <v>0</v>
      </c>
      <c r="AB494" s="368">
        <v>0</v>
      </c>
      <c r="AC494" s="368">
        <v>0</v>
      </c>
      <c r="AD494" s="368">
        <v>0</v>
      </c>
      <c r="AE494" s="368">
        <v>0</v>
      </c>
      <c r="AF494" s="396">
        <v>0</v>
      </c>
      <c r="AG494" s="368">
        <v>0</v>
      </c>
      <c r="AH494" s="396">
        <v>0</v>
      </c>
      <c r="AI494" s="368">
        <v>119.3</v>
      </c>
      <c r="AJ494" s="397">
        <f>7439.1*AI494/I494</f>
        <v>914.46123647604327</v>
      </c>
      <c r="AK494" s="368">
        <v>0</v>
      </c>
      <c r="AL494" s="368">
        <v>0</v>
      </c>
      <c r="AM494" s="368">
        <v>0</v>
      </c>
      <c r="AN494" s="368"/>
      <c r="AO494" s="368">
        <v>0</v>
      </c>
    </row>
    <row r="495" spans="1:41" s="152" customFormat="1" ht="36" customHeight="1" x14ac:dyDescent="0.9">
      <c r="B495" s="382" t="s">
        <v>895</v>
      </c>
      <c r="C495" s="388"/>
      <c r="D495" s="384" t="s">
        <v>903</v>
      </c>
      <c r="E495" s="163" t="s">
        <v>903</v>
      </c>
      <c r="F495" s="384" t="s">
        <v>903</v>
      </c>
      <c r="G495" s="384" t="s">
        <v>903</v>
      </c>
      <c r="H495" s="163" t="s">
        <v>903</v>
      </c>
      <c r="I495" s="386">
        <f>SUM(I496:I499)</f>
        <v>8901.1</v>
      </c>
      <c r="J495" s="164">
        <f>SUM(J496:J499)</f>
        <v>4971.62</v>
      </c>
      <c r="K495" s="164">
        <f>SUM(K496:K499)</f>
        <v>4955.2999999999993</v>
      </c>
      <c r="L495" s="165">
        <f>SUM(L496:L499)</f>
        <v>365</v>
      </c>
      <c r="M495" s="163" t="s">
        <v>903</v>
      </c>
      <c r="N495" s="163" t="s">
        <v>903</v>
      </c>
      <c r="O495" s="166" t="s">
        <v>903</v>
      </c>
      <c r="P495" s="387">
        <v>4102310.33</v>
      </c>
      <c r="Q495" s="167">
        <f>SUM(Q496:Q499)</f>
        <v>0</v>
      </c>
      <c r="R495" s="167">
        <f>SUM(R496:R499)</f>
        <v>0</v>
      </c>
      <c r="S495" s="167">
        <f>SUM(S496:S499)</f>
        <v>4102310.33</v>
      </c>
      <c r="T495" s="387">
        <f t="shared" si="162"/>
        <v>460.87678264484163</v>
      </c>
      <c r="U495" s="387">
        <f>MAX(U496:U499)</f>
        <v>939.67314626135578</v>
      </c>
      <c r="V495" s="149">
        <f t="shared" si="154"/>
        <v>478.79636361651416</v>
      </c>
      <c r="W495" s="149"/>
      <c r="X495" s="149"/>
      <c r="Y495" s="368"/>
      <c r="Z495" s="368"/>
      <c r="AA495" s="368"/>
      <c r="AB495" s="368"/>
      <c r="AC495" s="368"/>
      <c r="AD495" s="368"/>
      <c r="AE495" s="368"/>
      <c r="AF495" s="368"/>
      <c r="AG495" s="368"/>
      <c r="AH495" s="368"/>
      <c r="AI495" s="368"/>
      <c r="AJ495" s="368"/>
      <c r="AK495" s="368"/>
      <c r="AL495" s="368"/>
      <c r="AM495" s="368"/>
      <c r="AN495" s="368"/>
      <c r="AO495" s="368"/>
    </row>
    <row r="496" spans="1:41" s="152" customFormat="1" ht="36" customHeight="1" x14ac:dyDescent="0.9">
      <c r="A496" s="152">
        <v>1</v>
      </c>
      <c r="B496" s="90">
        <f>SUBTOTAL(103,$A$16:A496)</f>
        <v>429</v>
      </c>
      <c r="C496" s="89" t="s">
        <v>1704</v>
      </c>
      <c r="D496" s="163">
        <v>1978</v>
      </c>
      <c r="E496" s="163"/>
      <c r="F496" s="168" t="s">
        <v>322</v>
      </c>
      <c r="G496" s="163">
        <v>3</v>
      </c>
      <c r="H496" s="163">
        <v>7</v>
      </c>
      <c r="I496" s="164">
        <v>3189.7</v>
      </c>
      <c r="J496" s="164">
        <v>1869.92</v>
      </c>
      <c r="K496" s="164">
        <v>1853.6</v>
      </c>
      <c r="L496" s="165">
        <v>124</v>
      </c>
      <c r="M496" s="163" t="s">
        <v>268</v>
      </c>
      <c r="N496" s="163" t="s">
        <v>269</v>
      </c>
      <c r="O496" s="166" t="s">
        <v>271</v>
      </c>
      <c r="P496" s="167">
        <v>1000160.1</v>
      </c>
      <c r="Q496" s="167">
        <v>0</v>
      </c>
      <c r="R496" s="167">
        <v>0</v>
      </c>
      <c r="S496" s="167">
        <f>P496-Q496-R496</f>
        <v>1000160.1</v>
      </c>
      <c r="T496" s="167">
        <f t="shared" si="162"/>
        <v>313.55930024767218</v>
      </c>
      <c r="U496" s="167">
        <v>379.06409944508897</v>
      </c>
      <c r="V496" s="149">
        <f t="shared" si="154"/>
        <v>65.504799197416787</v>
      </c>
      <c r="W496" s="149">
        <f t="shared" ref="W496:W499" si="163">X496+Y496+Z496+AA496+AB496+AD496+AF496+AH496+AJ496+AL496+AN496+AO496</f>
        <v>379.06409944508897</v>
      </c>
      <c r="X496" s="149">
        <v>0</v>
      </c>
      <c r="Y496" s="368">
        <v>0</v>
      </c>
      <c r="Z496" s="368">
        <v>0</v>
      </c>
      <c r="AA496" s="368">
        <v>0</v>
      </c>
      <c r="AB496" s="368">
        <v>0</v>
      </c>
      <c r="AC496" s="368">
        <v>0</v>
      </c>
      <c r="AD496" s="368">
        <v>0</v>
      </c>
      <c r="AE496" s="368">
        <v>193.8</v>
      </c>
      <c r="AF496" s="396">
        <f t="shared" ref="AF496:AF499" si="164">6238.91*AE496/I496</f>
        <v>379.06409944508897</v>
      </c>
      <c r="AG496" s="368">
        <v>0</v>
      </c>
      <c r="AH496" s="396">
        <v>0</v>
      </c>
      <c r="AI496" s="368">
        <v>0</v>
      </c>
      <c r="AJ496" s="396">
        <v>0</v>
      </c>
      <c r="AK496" s="368">
        <v>0</v>
      </c>
      <c r="AL496" s="368">
        <v>0</v>
      </c>
      <c r="AM496" s="368">
        <v>0</v>
      </c>
      <c r="AN496" s="368"/>
      <c r="AO496" s="368">
        <v>0</v>
      </c>
    </row>
    <row r="497" spans="1:41" s="152" customFormat="1" ht="36" customHeight="1" x14ac:dyDescent="0.9">
      <c r="A497" s="152">
        <v>1</v>
      </c>
      <c r="B497" s="90">
        <f>SUBTOTAL(103,$A$16:A497)</f>
        <v>430</v>
      </c>
      <c r="C497" s="89" t="s">
        <v>1705</v>
      </c>
      <c r="D497" s="163">
        <v>1980</v>
      </c>
      <c r="E497" s="163"/>
      <c r="F497" s="168" t="s">
        <v>322</v>
      </c>
      <c r="G497" s="163">
        <v>5</v>
      </c>
      <c r="H497" s="163">
        <v>2</v>
      </c>
      <c r="I497" s="164">
        <v>2144.4</v>
      </c>
      <c r="J497" s="164">
        <v>1166.5999999999999</v>
      </c>
      <c r="K497" s="164">
        <v>1166.5999999999999</v>
      </c>
      <c r="L497" s="165">
        <v>95</v>
      </c>
      <c r="M497" s="163" t="s">
        <v>268</v>
      </c>
      <c r="N497" s="163" t="s">
        <v>269</v>
      </c>
      <c r="O497" s="166" t="s">
        <v>271</v>
      </c>
      <c r="P497" s="167">
        <v>1037362.63</v>
      </c>
      <c r="Q497" s="167">
        <v>0</v>
      </c>
      <c r="R497" s="167">
        <v>0</v>
      </c>
      <c r="S497" s="167">
        <f>P497-Q497-R497</f>
        <v>1037362.63</v>
      </c>
      <c r="T497" s="167">
        <f t="shared" si="162"/>
        <v>483.75425760119379</v>
      </c>
      <c r="U497" s="167">
        <v>631.42633711061364</v>
      </c>
      <c r="V497" s="149">
        <f t="shared" si="154"/>
        <v>147.67207950941986</v>
      </c>
      <c r="W497" s="149">
        <f t="shared" si="163"/>
        <v>631.42633711061364</v>
      </c>
      <c r="X497" s="149">
        <v>0</v>
      </c>
      <c r="Y497" s="368">
        <v>0</v>
      </c>
      <c r="Z497" s="368">
        <v>0</v>
      </c>
      <c r="AA497" s="368">
        <v>0</v>
      </c>
      <c r="AB497" s="368">
        <v>0</v>
      </c>
      <c r="AC497" s="368">
        <v>0</v>
      </c>
      <c r="AD497" s="368">
        <v>0</v>
      </c>
      <c r="AE497" s="368">
        <v>217.03</v>
      </c>
      <c r="AF497" s="396">
        <f t="shared" si="164"/>
        <v>631.42633711061364</v>
      </c>
      <c r="AG497" s="368">
        <v>0</v>
      </c>
      <c r="AH497" s="396">
        <v>0</v>
      </c>
      <c r="AI497" s="368">
        <v>0</v>
      </c>
      <c r="AJ497" s="396">
        <v>0</v>
      </c>
      <c r="AK497" s="368">
        <v>0</v>
      </c>
      <c r="AL497" s="368">
        <v>0</v>
      </c>
      <c r="AM497" s="368">
        <v>0</v>
      </c>
      <c r="AN497" s="368"/>
      <c r="AO497" s="368">
        <v>0</v>
      </c>
    </row>
    <row r="498" spans="1:41" s="152" customFormat="1" ht="36" customHeight="1" x14ac:dyDescent="0.9">
      <c r="A498" s="152">
        <v>1</v>
      </c>
      <c r="B498" s="90">
        <f>SUBTOTAL(103,$A$16:A498)</f>
        <v>431</v>
      </c>
      <c r="C498" s="89" t="s">
        <v>1706</v>
      </c>
      <c r="D498" s="163">
        <v>1982</v>
      </c>
      <c r="E498" s="163"/>
      <c r="F498" s="168" t="s">
        <v>322</v>
      </c>
      <c r="G498" s="163">
        <v>5</v>
      </c>
      <c r="H498" s="163">
        <v>3</v>
      </c>
      <c r="I498" s="164">
        <v>2136</v>
      </c>
      <c r="J498" s="164">
        <v>1158.2</v>
      </c>
      <c r="K498" s="164">
        <v>1158.2</v>
      </c>
      <c r="L498" s="165">
        <v>93</v>
      </c>
      <c r="M498" s="163" t="s">
        <v>268</v>
      </c>
      <c r="N498" s="163" t="s">
        <v>269</v>
      </c>
      <c r="O498" s="166" t="s">
        <v>271</v>
      </c>
      <c r="P498" s="167">
        <v>1033417.5800000001</v>
      </c>
      <c r="Q498" s="167">
        <v>0</v>
      </c>
      <c r="R498" s="167">
        <v>0</v>
      </c>
      <c r="S498" s="167">
        <f>P498-Q498-R498</f>
        <v>1033417.5800000001</v>
      </c>
      <c r="T498" s="167">
        <f t="shared" si="162"/>
        <v>483.80972846441949</v>
      </c>
      <c r="U498" s="167">
        <v>631.33913693820227</v>
      </c>
      <c r="V498" s="149">
        <f t="shared" si="154"/>
        <v>147.52940847378278</v>
      </c>
      <c r="W498" s="149">
        <f t="shared" si="163"/>
        <v>631.33913693820227</v>
      </c>
      <c r="X498" s="149">
        <v>0</v>
      </c>
      <c r="Y498" s="368">
        <v>0</v>
      </c>
      <c r="Z498" s="368">
        <v>0</v>
      </c>
      <c r="AA498" s="368">
        <v>0</v>
      </c>
      <c r="AB498" s="368">
        <v>0</v>
      </c>
      <c r="AC498" s="368">
        <v>0</v>
      </c>
      <c r="AD498" s="368">
        <v>0</v>
      </c>
      <c r="AE498" s="368">
        <v>216.15</v>
      </c>
      <c r="AF498" s="396">
        <f t="shared" si="164"/>
        <v>631.33913693820227</v>
      </c>
      <c r="AG498" s="368">
        <v>0</v>
      </c>
      <c r="AH498" s="396">
        <v>0</v>
      </c>
      <c r="AI498" s="368">
        <v>0</v>
      </c>
      <c r="AJ498" s="396">
        <v>0</v>
      </c>
      <c r="AK498" s="368">
        <v>0</v>
      </c>
      <c r="AL498" s="368">
        <v>0</v>
      </c>
      <c r="AM498" s="368">
        <v>0</v>
      </c>
      <c r="AN498" s="368"/>
      <c r="AO498" s="368">
        <v>0</v>
      </c>
    </row>
    <row r="499" spans="1:41" s="152" customFormat="1" ht="36" customHeight="1" x14ac:dyDescent="0.9">
      <c r="A499" s="152">
        <v>1</v>
      </c>
      <c r="B499" s="90">
        <f>SUBTOTAL(103,$A$16:A499)</f>
        <v>432</v>
      </c>
      <c r="C499" s="89" t="s">
        <v>1703</v>
      </c>
      <c r="D499" s="163">
        <v>1983</v>
      </c>
      <c r="E499" s="163"/>
      <c r="F499" s="168" t="s">
        <v>322</v>
      </c>
      <c r="G499" s="163">
        <v>5</v>
      </c>
      <c r="H499" s="163">
        <v>2</v>
      </c>
      <c r="I499" s="164">
        <v>1431</v>
      </c>
      <c r="J499" s="164">
        <v>776.9</v>
      </c>
      <c r="K499" s="164">
        <v>776.9</v>
      </c>
      <c r="L499" s="165">
        <v>53</v>
      </c>
      <c r="M499" s="163" t="s">
        <v>268</v>
      </c>
      <c r="N499" s="163" t="s">
        <v>269</v>
      </c>
      <c r="O499" s="166" t="s">
        <v>271</v>
      </c>
      <c r="P499" s="167">
        <v>1031370.02</v>
      </c>
      <c r="Q499" s="167">
        <v>0</v>
      </c>
      <c r="R499" s="167">
        <v>0</v>
      </c>
      <c r="S499" s="167">
        <f>P499-Q499-R499</f>
        <v>1031370.02</v>
      </c>
      <c r="T499" s="167">
        <f t="shared" si="162"/>
        <v>720.73376659678547</v>
      </c>
      <c r="U499" s="167">
        <v>939.67314626135578</v>
      </c>
      <c r="V499" s="149">
        <f t="shared" si="154"/>
        <v>218.93937966457031</v>
      </c>
      <c r="W499" s="149">
        <f t="shared" si="163"/>
        <v>939.67314626135578</v>
      </c>
      <c r="X499" s="149">
        <v>0</v>
      </c>
      <c r="Y499" s="368">
        <v>0</v>
      </c>
      <c r="Z499" s="368">
        <v>0</v>
      </c>
      <c r="AA499" s="368">
        <v>0</v>
      </c>
      <c r="AB499" s="368">
        <v>0</v>
      </c>
      <c r="AC499" s="368">
        <v>0</v>
      </c>
      <c r="AD499" s="368">
        <v>0</v>
      </c>
      <c r="AE499" s="368">
        <v>215.53</v>
      </c>
      <c r="AF499" s="396">
        <f t="shared" si="164"/>
        <v>939.67314626135578</v>
      </c>
      <c r="AG499" s="368">
        <v>0</v>
      </c>
      <c r="AH499" s="396">
        <v>0</v>
      </c>
      <c r="AI499" s="368">
        <v>0</v>
      </c>
      <c r="AJ499" s="396">
        <v>0</v>
      </c>
      <c r="AK499" s="368">
        <v>0</v>
      </c>
      <c r="AL499" s="368">
        <v>0</v>
      </c>
      <c r="AM499" s="368">
        <v>0</v>
      </c>
      <c r="AN499" s="368"/>
      <c r="AO499" s="368">
        <v>0</v>
      </c>
    </row>
    <row r="500" spans="1:41" s="152" customFormat="1" ht="36" customHeight="1" x14ac:dyDescent="0.9">
      <c r="B500" s="382" t="s">
        <v>867</v>
      </c>
      <c r="C500" s="388"/>
      <c r="D500" s="384" t="s">
        <v>903</v>
      </c>
      <c r="E500" s="163" t="s">
        <v>903</v>
      </c>
      <c r="F500" s="384" t="s">
        <v>903</v>
      </c>
      <c r="G500" s="384" t="s">
        <v>903</v>
      </c>
      <c r="H500" s="163" t="s">
        <v>903</v>
      </c>
      <c r="I500" s="386">
        <f>SUM(I501:I505)</f>
        <v>3040.6</v>
      </c>
      <c r="J500" s="164">
        <f>SUM(J501:J505)</f>
        <v>2684.3</v>
      </c>
      <c r="K500" s="164">
        <f>SUM(K501:K505)</f>
        <v>2684.3</v>
      </c>
      <c r="L500" s="165">
        <f>SUM(L501:L505)</f>
        <v>115</v>
      </c>
      <c r="M500" s="163" t="s">
        <v>903</v>
      </c>
      <c r="N500" s="163" t="s">
        <v>903</v>
      </c>
      <c r="O500" s="166" t="s">
        <v>903</v>
      </c>
      <c r="P500" s="387">
        <v>11405468.119999999</v>
      </c>
      <c r="Q500" s="167">
        <f>SUM(Q501:Q505)</f>
        <v>0</v>
      </c>
      <c r="R500" s="167">
        <f>SUM(R501:R505)</f>
        <v>0</v>
      </c>
      <c r="S500" s="167">
        <f>SUM(S501:S505)</f>
        <v>11405468.119999999</v>
      </c>
      <c r="T500" s="387">
        <f t="shared" si="162"/>
        <v>3751.0583832138391</v>
      </c>
      <c r="U500" s="387">
        <f>MAX(U501:U505)</f>
        <v>20654.409025133282</v>
      </c>
      <c r="V500" s="149">
        <f t="shared" si="154"/>
        <v>16903.350641919442</v>
      </c>
      <c r="W500" s="149"/>
      <c r="X500" s="149"/>
      <c r="Y500" s="368"/>
      <c r="Z500" s="368"/>
      <c r="AA500" s="368"/>
      <c r="AB500" s="368"/>
      <c r="AC500" s="368"/>
      <c r="AD500" s="368"/>
      <c r="AE500" s="368"/>
      <c r="AF500" s="368"/>
      <c r="AG500" s="368"/>
      <c r="AH500" s="368"/>
      <c r="AI500" s="368"/>
      <c r="AJ500" s="368"/>
      <c r="AK500" s="368"/>
      <c r="AL500" s="368"/>
      <c r="AM500" s="368"/>
      <c r="AN500" s="368"/>
      <c r="AO500" s="368"/>
    </row>
    <row r="501" spans="1:41" s="152" customFormat="1" ht="36" customHeight="1" x14ac:dyDescent="0.9">
      <c r="A501" s="152">
        <v>1</v>
      </c>
      <c r="B501" s="90">
        <f>SUBTOTAL(103,$A$16:A501)</f>
        <v>433</v>
      </c>
      <c r="C501" s="89" t="s">
        <v>89</v>
      </c>
      <c r="D501" s="163">
        <v>1969</v>
      </c>
      <c r="E501" s="163"/>
      <c r="F501" s="168" t="s">
        <v>270</v>
      </c>
      <c r="G501" s="163">
        <v>2</v>
      </c>
      <c r="H501" s="163">
        <v>2</v>
      </c>
      <c r="I501" s="167">
        <v>773.4</v>
      </c>
      <c r="J501" s="167">
        <v>714.5</v>
      </c>
      <c r="K501" s="167">
        <v>714.5</v>
      </c>
      <c r="L501" s="165">
        <v>37</v>
      </c>
      <c r="M501" s="163" t="s">
        <v>268</v>
      </c>
      <c r="N501" s="163" t="s">
        <v>272</v>
      </c>
      <c r="O501" s="166" t="s">
        <v>283</v>
      </c>
      <c r="P501" s="167">
        <v>2421334.88</v>
      </c>
      <c r="Q501" s="167">
        <v>0</v>
      </c>
      <c r="R501" s="167">
        <v>0</v>
      </c>
      <c r="S501" s="167">
        <f>P501-Q501-R501</f>
        <v>2421334.88</v>
      </c>
      <c r="T501" s="167">
        <f t="shared" si="162"/>
        <v>3130.7665890871476</v>
      </c>
      <c r="U501" s="167">
        <v>5074.0553271269719</v>
      </c>
      <c r="V501" s="149">
        <f t="shared" si="154"/>
        <v>1943.2887380398242</v>
      </c>
      <c r="W501" s="149">
        <f t="shared" ref="W501:W505" si="165">X501+Y501+Z501+AA501+AB501+AD501+AF501+AH501+AJ501+AL501+AN501+AO501</f>
        <v>5074.0553271269719</v>
      </c>
      <c r="X501" s="149">
        <v>0</v>
      </c>
      <c r="Y501" s="368">
        <v>0</v>
      </c>
      <c r="Z501" s="368">
        <v>0</v>
      </c>
      <c r="AA501" s="368">
        <v>0</v>
      </c>
      <c r="AB501" s="368">
        <v>0</v>
      </c>
      <c r="AC501" s="368">
        <v>0</v>
      </c>
      <c r="AD501" s="368">
        <v>0</v>
      </c>
      <c r="AE501" s="368">
        <v>629</v>
      </c>
      <c r="AF501" s="396">
        <f>6238.91*AE501/I501</f>
        <v>5074.0553271269719</v>
      </c>
      <c r="AG501" s="368">
        <v>0</v>
      </c>
      <c r="AH501" s="396">
        <v>0</v>
      </c>
      <c r="AI501" s="368">
        <v>0</v>
      </c>
      <c r="AJ501" s="396">
        <v>0</v>
      </c>
      <c r="AK501" s="368">
        <v>0</v>
      </c>
      <c r="AL501" s="368">
        <v>0</v>
      </c>
      <c r="AM501" s="368">
        <v>0</v>
      </c>
      <c r="AN501" s="368"/>
      <c r="AO501" s="368">
        <v>0</v>
      </c>
    </row>
    <row r="502" spans="1:41" s="152" customFormat="1" ht="36" customHeight="1" x14ac:dyDescent="0.9">
      <c r="A502" s="152">
        <v>1</v>
      </c>
      <c r="B502" s="90">
        <f>SUBTOTAL(103,$A$16:A502)</f>
        <v>434</v>
      </c>
      <c r="C502" s="89" t="s">
        <v>90</v>
      </c>
      <c r="D502" s="163">
        <v>1960</v>
      </c>
      <c r="E502" s="163"/>
      <c r="F502" s="168" t="s">
        <v>270</v>
      </c>
      <c r="G502" s="163">
        <v>2</v>
      </c>
      <c r="H502" s="163">
        <v>1</v>
      </c>
      <c r="I502" s="167">
        <v>382.2</v>
      </c>
      <c r="J502" s="167">
        <v>358.4</v>
      </c>
      <c r="K502" s="167">
        <v>358.4</v>
      </c>
      <c r="L502" s="165">
        <v>19</v>
      </c>
      <c r="M502" s="163" t="s">
        <v>268</v>
      </c>
      <c r="N502" s="163" t="s">
        <v>272</v>
      </c>
      <c r="O502" s="166" t="s">
        <v>283</v>
      </c>
      <c r="P502" s="167">
        <v>1672092.73</v>
      </c>
      <c r="Q502" s="167">
        <v>0</v>
      </c>
      <c r="R502" s="167">
        <v>0</v>
      </c>
      <c r="S502" s="167">
        <f>P502-Q502-R502</f>
        <v>1672092.73</v>
      </c>
      <c r="T502" s="167">
        <f t="shared" si="162"/>
        <v>4374.9155677655681</v>
      </c>
      <c r="U502" s="167">
        <v>9465.485926216641</v>
      </c>
      <c r="V502" s="149">
        <f t="shared" si="154"/>
        <v>5090.5703584510729</v>
      </c>
      <c r="W502" s="149">
        <f t="shared" si="165"/>
        <v>9465.485926216641</v>
      </c>
      <c r="X502" s="149">
        <v>0</v>
      </c>
      <c r="Y502" s="368">
        <v>0</v>
      </c>
      <c r="Z502" s="368">
        <v>0</v>
      </c>
      <c r="AA502" s="368">
        <v>0</v>
      </c>
      <c r="AB502" s="368">
        <v>0</v>
      </c>
      <c r="AC502" s="368">
        <v>0</v>
      </c>
      <c r="AD502" s="368">
        <v>0</v>
      </c>
      <c r="AE502" s="368">
        <v>0</v>
      </c>
      <c r="AF502" s="396">
        <v>0</v>
      </c>
      <c r="AG502" s="368">
        <v>0</v>
      </c>
      <c r="AH502" s="396">
        <v>0</v>
      </c>
      <c r="AI502" s="368">
        <v>486.31</v>
      </c>
      <c r="AJ502" s="397">
        <f>7439.1*AI502/I502</f>
        <v>9465.485926216641</v>
      </c>
      <c r="AK502" s="368">
        <v>0</v>
      </c>
      <c r="AL502" s="368">
        <v>0</v>
      </c>
      <c r="AM502" s="368">
        <v>0</v>
      </c>
      <c r="AN502" s="368"/>
      <c r="AO502" s="368">
        <v>0</v>
      </c>
    </row>
    <row r="503" spans="1:41" s="152" customFormat="1" ht="36" customHeight="1" x14ac:dyDescent="0.9">
      <c r="A503" s="152">
        <v>1</v>
      </c>
      <c r="B503" s="90">
        <f>SUBTOTAL(103,$A$16:A503)</f>
        <v>435</v>
      </c>
      <c r="C503" s="89" t="s">
        <v>1279</v>
      </c>
      <c r="D503" s="163">
        <v>1965</v>
      </c>
      <c r="E503" s="163"/>
      <c r="F503" s="168" t="s">
        <v>334</v>
      </c>
      <c r="G503" s="163">
        <v>2</v>
      </c>
      <c r="H503" s="163">
        <v>1</v>
      </c>
      <c r="I503" s="167">
        <v>377</v>
      </c>
      <c r="J503" s="167">
        <v>334</v>
      </c>
      <c r="K503" s="167">
        <v>334</v>
      </c>
      <c r="L503" s="165">
        <v>23</v>
      </c>
      <c r="M503" s="163" t="s">
        <v>268</v>
      </c>
      <c r="N503" s="163" t="s">
        <v>272</v>
      </c>
      <c r="O503" s="166" t="s">
        <v>283</v>
      </c>
      <c r="P503" s="167">
        <v>1550573.7599999998</v>
      </c>
      <c r="Q503" s="167">
        <v>0</v>
      </c>
      <c r="R503" s="167">
        <v>0</v>
      </c>
      <c r="S503" s="167">
        <f>P503-Q503-R503</f>
        <v>1550573.7599999998</v>
      </c>
      <c r="T503" s="167">
        <f t="shared" si="162"/>
        <v>4112.9277453580899</v>
      </c>
      <c r="U503" s="167">
        <v>4631.2681034482757</v>
      </c>
      <c r="V503" s="149">
        <f t="shared" si="154"/>
        <v>518.34035809018587</v>
      </c>
      <c r="W503" s="149">
        <f t="shared" si="165"/>
        <v>4631.2681034482757</v>
      </c>
      <c r="X503" s="149">
        <v>0</v>
      </c>
      <c r="Y503" s="368">
        <v>0</v>
      </c>
      <c r="Z503" s="368">
        <v>0</v>
      </c>
      <c r="AA503" s="368">
        <v>0</v>
      </c>
      <c r="AB503" s="368">
        <v>0</v>
      </c>
      <c r="AC503" s="368">
        <v>0</v>
      </c>
      <c r="AD503" s="368">
        <v>0</v>
      </c>
      <c r="AE503" s="368">
        <v>0</v>
      </c>
      <c r="AF503" s="396">
        <v>0</v>
      </c>
      <c r="AG503" s="368">
        <v>0</v>
      </c>
      <c r="AH503" s="396">
        <v>0</v>
      </c>
      <c r="AI503" s="368">
        <v>438.75</v>
      </c>
      <c r="AJ503" s="396">
        <f>3979.46*AI503/I503</f>
        <v>4631.2681034482757</v>
      </c>
      <c r="AK503" s="368">
        <v>0</v>
      </c>
      <c r="AL503" s="368">
        <v>0</v>
      </c>
      <c r="AM503" s="368">
        <v>0</v>
      </c>
      <c r="AN503" s="368"/>
      <c r="AO503" s="368">
        <v>0</v>
      </c>
    </row>
    <row r="504" spans="1:41" s="152" customFormat="1" ht="36" customHeight="1" x14ac:dyDescent="0.9">
      <c r="A504" s="152">
        <v>1</v>
      </c>
      <c r="B504" s="90">
        <f>SUBTOTAL(103,$A$16:A504)</f>
        <v>436</v>
      </c>
      <c r="C504" s="89" t="s">
        <v>1280</v>
      </c>
      <c r="D504" s="163">
        <v>1917</v>
      </c>
      <c r="E504" s="163"/>
      <c r="F504" s="168" t="s">
        <v>270</v>
      </c>
      <c r="G504" s="163">
        <v>2</v>
      </c>
      <c r="H504" s="163">
        <v>1</v>
      </c>
      <c r="I504" s="167">
        <v>262.60000000000002</v>
      </c>
      <c r="J504" s="167">
        <v>152.19999999999999</v>
      </c>
      <c r="K504" s="167">
        <v>152.19999999999999</v>
      </c>
      <c r="L504" s="165">
        <v>10</v>
      </c>
      <c r="M504" s="163" t="s">
        <v>268</v>
      </c>
      <c r="N504" s="163" t="s">
        <v>269</v>
      </c>
      <c r="O504" s="166" t="s">
        <v>271</v>
      </c>
      <c r="P504" s="167">
        <v>2660827.34</v>
      </c>
      <c r="Q504" s="167">
        <v>0</v>
      </c>
      <c r="R504" s="167">
        <v>0</v>
      </c>
      <c r="S504" s="167">
        <f>P504-Q504-R504</f>
        <v>2660827.34</v>
      </c>
      <c r="T504" s="167">
        <f t="shared" si="162"/>
        <v>10132.625057121095</v>
      </c>
      <c r="U504" s="167">
        <v>20654.409025133282</v>
      </c>
      <c r="V504" s="149">
        <f t="shared" si="154"/>
        <v>10521.783968012187</v>
      </c>
      <c r="W504" s="149">
        <f t="shared" si="165"/>
        <v>20654.409025133282</v>
      </c>
      <c r="X504" s="149">
        <v>0</v>
      </c>
      <c r="Y504" s="368">
        <v>0</v>
      </c>
      <c r="Z504" s="368">
        <v>0</v>
      </c>
      <c r="AA504" s="368">
        <v>0</v>
      </c>
      <c r="AB504" s="368">
        <v>0</v>
      </c>
      <c r="AC504" s="368">
        <v>0</v>
      </c>
      <c r="AD504" s="368">
        <v>0</v>
      </c>
      <c r="AE504" s="368">
        <v>0</v>
      </c>
      <c r="AF504" s="396">
        <v>0</v>
      </c>
      <c r="AG504" s="368">
        <v>0</v>
      </c>
      <c r="AH504" s="396">
        <v>0</v>
      </c>
      <c r="AI504" s="368">
        <v>729.1</v>
      </c>
      <c r="AJ504" s="397">
        <f>7439.1*AI504/I504</f>
        <v>20654.409025133282</v>
      </c>
      <c r="AK504" s="368">
        <v>0</v>
      </c>
      <c r="AL504" s="368">
        <v>0</v>
      </c>
      <c r="AM504" s="368">
        <v>0</v>
      </c>
      <c r="AN504" s="368"/>
      <c r="AO504" s="368">
        <v>0</v>
      </c>
    </row>
    <row r="505" spans="1:41" s="152" customFormat="1" ht="36" customHeight="1" x14ac:dyDescent="0.9">
      <c r="A505" s="152">
        <v>1</v>
      </c>
      <c r="B505" s="90">
        <f>SUBTOTAL(103,$A$16:A505)</f>
        <v>437</v>
      </c>
      <c r="C505" s="89" t="s">
        <v>1281</v>
      </c>
      <c r="D505" s="163">
        <v>1978</v>
      </c>
      <c r="E505" s="163"/>
      <c r="F505" s="168" t="s">
        <v>1359</v>
      </c>
      <c r="G505" s="163">
        <v>2</v>
      </c>
      <c r="H505" s="163">
        <v>4</v>
      </c>
      <c r="I505" s="167">
        <v>1245.4000000000001</v>
      </c>
      <c r="J505" s="167">
        <v>1125.2</v>
      </c>
      <c r="K505" s="167">
        <v>1125.2</v>
      </c>
      <c r="L505" s="165">
        <v>26</v>
      </c>
      <c r="M505" s="163" t="s">
        <v>268</v>
      </c>
      <c r="N505" s="163" t="s">
        <v>272</v>
      </c>
      <c r="O505" s="166" t="s">
        <v>1360</v>
      </c>
      <c r="P505" s="167">
        <v>3100639.4099999997</v>
      </c>
      <c r="Q505" s="167">
        <v>0</v>
      </c>
      <c r="R505" s="167">
        <v>0</v>
      </c>
      <c r="S505" s="167">
        <f>P505-Q505-R505</f>
        <v>3100639.4099999997</v>
      </c>
      <c r="T505" s="167">
        <f t="shared" si="162"/>
        <v>2489.6735265778061</v>
      </c>
      <c r="U505" s="167">
        <v>4629.8383025533967</v>
      </c>
      <c r="V505" s="149">
        <f t="shared" si="154"/>
        <v>2140.1647759755906</v>
      </c>
      <c r="W505" s="149">
        <f t="shared" si="165"/>
        <v>4629.8383025533967</v>
      </c>
      <c r="X505" s="149">
        <v>0</v>
      </c>
      <c r="Y505" s="368">
        <v>0</v>
      </c>
      <c r="Z505" s="368">
        <v>0</v>
      </c>
      <c r="AA505" s="368">
        <v>0</v>
      </c>
      <c r="AB505" s="368">
        <v>0</v>
      </c>
      <c r="AC505" s="368">
        <v>0</v>
      </c>
      <c r="AD505" s="368">
        <v>0</v>
      </c>
      <c r="AE505" s="368">
        <v>924.2</v>
      </c>
      <c r="AF505" s="396">
        <f>6238.91*AE505/I505</f>
        <v>4629.8383025533967</v>
      </c>
      <c r="AG505" s="368">
        <v>0</v>
      </c>
      <c r="AH505" s="396">
        <v>0</v>
      </c>
      <c r="AI505" s="368">
        <v>0</v>
      </c>
      <c r="AJ505" s="396">
        <v>0</v>
      </c>
      <c r="AK505" s="368">
        <v>0</v>
      </c>
      <c r="AL505" s="368">
        <v>0</v>
      </c>
      <c r="AM505" s="368">
        <v>0</v>
      </c>
      <c r="AN505" s="368"/>
      <c r="AO505" s="368">
        <v>0</v>
      </c>
    </row>
    <row r="506" spans="1:41" s="152" customFormat="1" ht="36" customHeight="1" x14ac:dyDescent="0.9">
      <c r="B506" s="382" t="s">
        <v>894</v>
      </c>
      <c r="C506" s="382"/>
      <c r="D506" s="384" t="s">
        <v>903</v>
      </c>
      <c r="E506" s="163" t="s">
        <v>903</v>
      </c>
      <c r="F506" s="384" t="s">
        <v>903</v>
      </c>
      <c r="G506" s="384" t="s">
        <v>903</v>
      </c>
      <c r="H506" s="163" t="s">
        <v>903</v>
      </c>
      <c r="I506" s="386">
        <f>I507</f>
        <v>1191.0999999999999</v>
      </c>
      <c r="J506" s="164">
        <f>J507</f>
        <v>714.7</v>
      </c>
      <c r="K506" s="164">
        <f>K507</f>
        <v>714.7</v>
      </c>
      <c r="L506" s="165">
        <f>L507</f>
        <v>31</v>
      </c>
      <c r="M506" s="163" t="s">
        <v>903</v>
      </c>
      <c r="N506" s="163" t="s">
        <v>903</v>
      </c>
      <c r="O506" s="166" t="s">
        <v>903</v>
      </c>
      <c r="P506" s="387">
        <v>2846268.34</v>
      </c>
      <c r="Q506" s="167">
        <f>Q507</f>
        <v>0</v>
      </c>
      <c r="R506" s="167">
        <f>R507</f>
        <v>0</v>
      </c>
      <c r="S506" s="167">
        <f>S507</f>
        <v>2846268.34</v>
      </c>
      <c r="T506" s="387">
        <f t="shared" si="162"/>
        <v>2389.6132482579128</v>
      </c>
      <c r="U506" s="387">
        <f>U507</f>
        <v>3211.90463605071</v>
      </c>
      <c r="V506" s="149">
        <f t="shared" si="154"/>
        <v>822.2913877927972</v>
      </c>
      <c r="W506" s="149"/>
      <c r="X506" s="149"/>
      <c r="Y506" s="368"/>
      <c r="Z506" s="368"/>
      <c r="AA506" s="368"/>
      <c r="AB506" s="368"/>
      <c r="AC506" s="368"/>
      <c r="AD506" s="368"/>
      <c r="AE506" s="368"/>
      <c r="AF506" s="368"/>
      <c r="AG506" s="368"/>
      <c r="AH506" s="368"/>
      <c r="AI506" s="368"/>
      <c r="AJ506" s="368"/>
      <c r="AK506" s="368"/>
      <c r="AL506" s="368"/>
      <c r="AM506" s="368"/>
      <c r="AN506" s="368"/>
      <c r="AO506" s="368"/>
    </row>
    <row r="507" spans="1:41" s="152" customFormat="1" ht="36" customHeight="1" x14ac:dyDescent="0.9">
      <c r="A507" s="152">
        <v>1</v>
      </c>
      <c r="B507" s="90">
        <f>SUBTOTAL(103,$A$16:A507)</f>
        <v>438</v>
      </c>
      <c r="C507" s="89" t="s">
        <v>91</v>
      </c>
      <c r="D507" s="163">
        <v>1967</v>
      </c>
      <c r="E507" s="163"/>
      <c r="F507" s="168" t="s">
        <v>270</v>
      </c>
      <c r="G507" s="163">
        <v>2</v>
      </c>
      <c r="H507" s="163">
        <v>2</v>
      </c>
      <c r="I507" s="167">
        <v>1191.0999999999999</v>
      </c>
      <c r="J507" s="167">
        <v>714.7</v>
      </c>
      <c r="K507" s="167">
        <v>714.7</v>
      </c>
      <c r="L507" s="165">
        <v>31</v>
      </c>
      <c r="M507" s="163" t="s">
        <v>268</v>
      </c>
      <c r="N507" s="163" t="s">
        <v>272</v>
      </c>
      <c r="O507" s="166" t="s">
        <v>284</v>
      </c>
      <c r="P507" s="167">
        <v>2846268.34</v>
      </c>
      <c r="Q507" s="167">
        <v>0</v>
      </c>
      <c r="R507" s="167">
        <v>0</v>
      </c>
      <c r="S507" s="167">
        <f>P507-Q507-R507</f>
        <v>2846268.34</v>
      </c>
      <c r="T507" s="167">
        <f t="shared" si="162"/>
        <v>2389.6132482579128</v>
      </c>
      <c r="U507" s="167">
        <v>3211.90463605071</v>
      </c>
      <c r="V507" s="149">
        <f>U507-T507</f>
        <v>822.2913877927972</v>
      </c>
      <c r="W507" s="149">
        <f>X507+Y507+Z507+AA507+AB507+AD507+AF507+AH507+AJ507+AL507+AN507+AO507</f>
        <v>3211.90463605071</v>
      </c>
      <c r="X507" s="149">
        <v>0</v>
      </c>
      <c r="Y507" s="368">
        <v>0</v>
      </c>
      <c r="Z507" s="368">
        <v>0</v>
      </c>
      <c r="AA507" s="368">
        <v>0</v>
      </c>
      <c r="AB507" s="368">
        <v>0</v>
      </c>
      <c r="AC507" s="368">
        <v>0</v>
      </c>
      <c r="AD507" s="368">
        <v>0</v>
      </c>
      <c r="AE507" s="368">
        <v>613.20000000000005</v>
      </c>
      <c r="AF507" s="396">
        <f>6238.91*AE507/I507</f>
        <v>3211.90463605071</v>
      </c>
      <c r="AG507" s="368">
        <v>0</v>
      </c>
      <c r="AH507" s="396">
        <v>0</v>
      </c>
      <c r="AI507" s="368">
        <v>0</v>
      </c>
      <c r="AJ507" s="396">
        <v>0</v>
      </c>
      <c r="AK507" s="368">
        <v>0</v>
      </c>
      <c r="AL507" s="368">
        <v>0</v>
      </c>
      <c r="AM507" s="368">
        <v>0</v>
      </c>
      <c r="AN507" s="368"/>
      <c r="AO507" s="368">
        <v>0</v>
      </c>
    </row>
    <row r="508" spans="1:41" s="152" customFormat="1" ht="36" customHeight="1" x14ac:dyDescent="0.9">
      <c r="B508" s="382" t="s">
        <v>868</v>
      </c>
      <c r="C508" s="382"/>
      <c r="D508" s="384" t="s">
        <v>903</v>
      </c>
      <c r="E508" s="163" t="s">
        <v>903</v>
      </c>
      <c r="F508" s="384" t="s">
        <v>903</v>
      </c>
      <c r="G508" s="384" t="s">
        <v>903</v>
      </c>
      <c r="H508" s="163" t="s">
        <v>903</v>
      </c>
      <c r="I508" s="386">
        <f>I509</f>
        <v>706</v>
      </c>
      <c r="J508" s="164">
        <f>J509</f>
        <v>627.1</v>
      </c>
      <c r="K508" s="164">
        <f>K509</f>
        <v>627.1</v>
      </c>
      <c r="L508" s="165">
        <f>L509</f>
        <v>41</v>
      </c>
      <c r="M508" s="163" t="s">
        <v>903</v>
      </c>
      <c r="N508" s="163" t="s">
        <v>903</v>
      </c>
      <c r="O508" s="166" t="s">
        <v>903</v>
      </c>
      <c r="P508" s="387">
        <v>2720657.6</v>
      </c>
      <c r="Q508" s="167">
        <f>Q509</f>
        <v>0</v>
      </c>
      <c r="R508" s="167">
        <f>R509</f>
        <v>0</v>
      </c>
      <c r="S508" s="167">
        <f>S509</f>
        <v>2720657.6</v>
      </c>
      <c r="T508" s="387">
        <f t="shared" si="162"/>
        <v>3853.6226628895183</v>
      </c>
      <c r="U508" s="387">
        <f>U509</f>
        <v>5384.1970039660055</v>
      </c>
      <c r="V508" s="149">
        <f t="shared" si="154"/>
        <v>1530.5743410764871</v>
      </c>
      <c r="W508" s="149"/>
      <c r="X508" s="149"/>
      <c r="Y508" s="368"/>
      <c r="Z508" s="368"/>
      <c r="AA508" s="368"/>
      <c r="AB508" s="368"/>
      <c r="AC508" s="368"/>
      <c r="AD508" s="368"/>
      <c r="AE508" s="368"/>
      <c r="AF508" s="368"/>
      <c r="AG508" s="368"/>
      <c r="AH508" s="368"/>
      <c r="AI508" s="368"/>
      <c r="AJ508" s="368"/>
      <c r="AK508" s="368"/>
      <c r="AL508" s="368"/>
      <c r="AM508" s="368"/>
      <c r="AN508" s="368"/>
      <c r="AO508" s="368"/>
    </row>
    <row r="509" spans="1:41" s="152" customFormat="1" ht="36" customHeight="1" x14ac:dyDescent="0.9">
      <c r="A509" s="152">
        <v>1</v>
      </c>
      <c r="B509" s="90">
        <f>SUBTOTAL(103,$A$16:A509)</f>
        <v>439</v>
      </c>
      <c r="C509" s="89" t="s">
        <v>92</v>
      </c>
      <c r="D509" s="163">
        <v>1979</v>
      </c>
      <c r="E509" s="163"/>
      <c r="F509" s="168" t="s">
        <v>270</v>
      </c>
      <c r="G509" s="163">
        <v>2</v>
      </c>
      <c r="H509" s="163">
        <v>2</v>
      </c>
      <c r="I509" s="167">
        <v>706</v>
      </c>
      <c r="J509" s="167">
        <v>627.1</v>
      </c>
      <c r="K509" s="167">
        <v>627.1</v>
      </c>
      <c r="L509" s="165">
        <v>41</v>
      </c>
      <c r="M509" s="163" t="s">
        <v>268</v>
      </c>
      <c r="N509" s="163" t="s">
        <v>272</v>
      </c>
      <c r="O509" s="166" t="s">
        <v>1008</v>
      </c>
      <c r="P509" s="167">
        <v>2720657.6</v>
      </c>
      <c r="Q509" s="167">
        <v>0</v>
      </c>
      <c r="R509" s="167">
        <v>0</v>
      </c>
      <c r="S509" s="167">
        <f>P509-Q509-R509</f>
        <v>2720657.6</v>
      </c>
      <c r="T509" s="167">
        <f t="shared" si="162"/>
        <v>3853.6226628895183</v>
      </c>
      <c r="U509" s="167">
        <v>5384.1970039660055</v>
      </c>
      <c r="V509" s="149">
        <f>U509-T509</f>
        <v>1530.5743410764871</v>
      </c>
      <c r="W509" s="149">
        <f>X509+Y509+Z509+AA509+AB509+AD509+AF509+AH509+AJ509+AL509+AN509+AO509</f>
        <v>5384.1970039660055</v>
      </c>
      <c r="X509" s="149">
        <v>0</v>
      </c>
      <c r="Y509" s="368">
        <v>0</v>
      </c>
      <c r="Z509" s="368">
        <v>0</v>
      </c>
      <c r="AA509" s="368">
        <v>0</v>
      </c>
      <c r="AB509" s="368">
        <v>0</v>
      </c>
      <c r="AC509" s="368">
        <v>0</v>
      </c>
      <c r="AD509" s="368">
        <v>0</v>
      </c>
      <c r="AE509" s="368">
        <v>609.28</v>
      </c>
      <c r="AF509" s="396">
        <f>6238.91*AE509/I509</f>
        <v>5384.1970039660055</v>
      </c>
      <c r="AG509" s="368">
        <v>0</v>
      </c>
      <c r="AH509" s="396">
        <v>0</v>
      </c>
      <c r="AI509" s="368">
        <v>0</v>
      </c>
      <c r="AJ509" s="396">
        <v>0</v>
      </c>
      <c r="AK509" s="368">
        <v>0</v>
      </c>
      <c r="AL509" s="368">
        <v>0</v>
      </c>
      <c r="AM509" s="368">
        <v>0</v>
      </c>
      <c r="AN509" s="368"/>
      <c r="AO509" s="368">
        <v>0</v>
      </c>
    </row>
    <row r="510" spans="1:41" s="152" customFormat="1" ht="36" customHeight="1" x14ac:dyDescent="0.9">
      <c r="B510" s="382" t="s">
        <v>869</v>
      </c>
      <c r="C510" s="382"/>
      <c r="D510" s="384" t="s">
        <v>903</v>
      </c>
      <c r="E510" s="163" t="s">
        <v>903</v>
      </c>
      <c r="F510" s="384" t="s">
        <v>903</v>
      </c>
      <c r="G510" s="384" t="s">
        <v>903</v>
      </c>
      <c r="H510" s="163" t="s">
        <v>903</v>
      </c>
      <c r="I510" s="386">
        <f t="shared" ref="I510:K510" si="166">SUM(I511:I512)</f>
        <v>2609.1000000000004</v>
      </c>
      <c r="J510" s="164">
        <f t="shared" si="166"/>
        <v>2286.5</v>
      </c>
      <c r="K510" s="164">
        <f t="shared" si="166"/>
        <v>2286.5</v>
      </c>
      <c r="L510" s="165">
        <f>SUM(L511:L512)</f>
        <v>98</v>
      </c>
      <c r="M510" s="163" t="s">
        <v>903</v>
      </c>
      <c r="N510" s="163" t="s">
        <v>903</v>
      </c>
      <c r="O510" s="166" t="s">
        <v>903</v>
      </c>
      <c r="P510" s="386">
        <v>5746431.5800000001</v>
      </c>
      <c r="Q510" s="164">
        <f t="shared" ref="Q510:R510" si="167">SUM(Q511:Q512)</f>
        <v>0</v>
      </c>
      <c r="R510" s="164">
        <f t="shared" si="167"/>
        <v>0</v>
      </c>
      <c r="S510" s="164">
        <f>SUM(S511:S512)</f>
        <v>5746431.5800000001</v>
      </c>
      <c r="T510" s="387">
        <f t="shared" si="162"/>
        <v>2202.4573914376601</v>
      </c>
      <c r="U510" s="387">
        <f>MAX(U511:U512)</f>
        <v>3557.7101027738972</v>
      </c>
      <c r="V510" s="149">
        <f t="shared" si="154"/>
        <v>1355.2527113362371</v>
      </c>
      <c r="W510" s="149"/>
      <c r="X510" s="149"/>
      <c r="Y510" s="368"/>
      <c r="Z510" s="368"/>
      <c r="AA510" s="368"/>
      <c r="AB510" s="368"/>
      <c r="AC510" s="368"/>
      <c r="AD510" s="368"/>
      <c r="AE510" s="368"/>
      <c r="AF510" s="368"/>
      <c r="AG510" s="368"/>
      <c r="AH510" s="368"/>
      <c r="AI510" s="368"/>
      <c r="AJ510" s="368"/>
      <c r="AK510" s="368"/>
      <c r="AL510" s="368"/>
      <c r="AM510" s="368"/>
      <c r="AN510" s="368"/>
      <c r="AO510" s="368"/>
    </row>
    <row r="511" spans="1:41" s="152" customFormat="1" ht="36" customHeight="1" x14ac:dyDescent="0.9">
      <c r="A511" s="152">
        <v>1</v>
      </c>
      <c r="B511" s="90">
        <f>SUBTOTAL(103,$A$16:A511)</f>
        <v>440</v>
      </c>
      <c r="C511" s="89" t="s">
        <v>93</v>
      </c>
      <c r="D511" s="163">
        <v>1980</v>
      </c>
      <c r="E511" s="163"/>
      <c r="F511" s="168" t="s">
        <v>270</v>
      </c>
      <c r="G511" s="163">
        <v>2</v>
      </c>
      <c r="H511" s="163">
        <v>3</v>
      </c>
      <c r="I511" s="167">
        <v>2004.4</v>
      </c>
      <c r="J511" s="167">
        <v>1886.5</v>
      </c>
      <c r="K511" s="167">
        <v>1886.5</v>
      </c>
      <c r="L511" s="165">
        <v>67</v>
      </c>
      <c r="M511" s="163" t="s">
        <v>268</v>
      </c>
      <c r="N511" s="163" t="s">
        <v>272</v>
      </c>
      <c r="O511" s="166" t="s">
        <v>283</v>
      </c>
      <c r="P511" s="167">
        <v>4831403.93</v>
      </c>
      <c r="Q511" s="167">
        <v>0</v>
      </c>
      <c r="R511" s="167">
        <v>0</v>
      </c>
      <c r="S511" s="167">
        <f>P511-Q511-R511</f>
        <v>4831403.93</v>
      </c>
      <c r="T511" s="167">
        <f t="shared" si="162"/>
        <v>2410.3990870085809</v>
      </c>
      <c r="U511" s="167">
        <v>3557.7101027738972</v>
      </c>
      <c r="V511" s="149">
        <f t="shared" si="154"/>
        <v>1147.3110157653164</v>
      </c>
      <c r="W511" s="149">
        <f t="shared" ref="W511" si="168">X511+Y511+Z511+AA511+AB511+AD511+AF511+AH511+AJ511+AL511+AN511+AO511</f>
        <v>3557.7101027738972</v>
      </c>
      <c r="X511" s="149">
        <v>0</v>
      </c>
      <c r="Y511" s="368">
        <v>0</v>
      </c>
      <c r="Z511" s="368">
        <v>0</v>
      </c>
      <c r="AA511" s="368">
        <v>0</v>
      </c>
      <c r="AB511" s="368">
        <v>0</v>
      </c>
      <c r="AC511" s="368">
        <v>0</v>
      </c>
      <c r="AD511" s="368">
        <v>0</v>
      </c>
      <c r="AE511" s="368">
        <v>1143</v>
      </c>
      <c r="AF511" s="396">
        <f>6238.91*AE511/I511</f>
        <v>3557.7101027738972</v>
      </c>
      <c r="AG511" s="368">
        <v>0</v>
      </c>
      <c r="AH511" s="396">
        <v>0</v>
      </c>
      <c r="AI511" s="368">
        <v>0</v>
      </c>
      <c r="AJ511" s="396">
        <v>0</v>
      </c>
      <c r="AK511" s="368">
        <v>0</v>
      </c>
      <c r="AL511" s="368">
        <v>0</v>
      </c>
      <c r="AM511" s="368">
        <v>0</v>
      </c>
      <c r="AN511" s="368"/>
      <c r="AO511" s="368">
        <v>0</v>
      </c>
    </row>
    <row r="512" spans="1:41" s="152" customFormat="1" ht="36" customHeight="1" x14ac:dyDescent="0.9">
      <c r="A512" s="152">
        <v>1</v>
      </c>
      <c r="B512" s="90">
        <f>SUBTOTAL(103,$A$16:A512)</f>
        <v>441</v>
      </c>
      <c r="C512" s="89" t="s">
        <v>1632</v>
      </c>
      <c r="D512" s="163">
        <v>1974</v>
      </c>
      <c r="E512" s="163"/>
      <c r="F512" s="168" t="s">
        <v>1359</v>
      </c>
      <c r="G512" s="163">
        <v>2</v>
      </c>
      <c r="H512" s="163">
        <v>3</v>
      </c>
      <c r="I512" s="164">
        <v>604.70000000000005</v>
      </c>
      <c r="J512" s="164">
        <v>400</v>
      </c>
      <c r="K512" s="164">
        <f>J512</f>
        <v>400</v>
      </c>
      <c r="L512" s="165">
        <v>31</v>
      </c>
      <c r="M512" s="163" t="s">
        <v>268</v>
      </c>
      <c r="N512" s="163" t="s">
        <v>269</v>
      </c>
      <c r="O512" s="166" t="s">
        <v>271</v>
      </c>
      <c r="P512" s="167">
        <v>915027.65</v>
      </c>
      <c r="Q512" s="167">
        <v>0</v>
      </c>
      <c r="R512" s="167">
        <v>0</v>
      </c>
      <c r="S512" s="167">
        <f>P512-Q512-R512</f>
        <v>915027.65</v>
      </c>
      <c r="T512" s="167">
        <f t="shared" si="162"/>
        <v>1513.1927402017529</v>
      </c>
      <c r="U512" s="167">
        <v>1513.1927402017529</v>
      </c>
      <c r="V512" s="149">
        <f t="shared" si="154"/>
        <v>0</v>
      </c>
      <c r="W512" s="149">
        <f>T512</f>
        <v>1513.1927402017529</v>
      </c>
      <c r="X512" s="149">
        <v>0</v>
      </c>
      <c r="Y512" s="368">
        <v>0</v>
      </c>
      <c r="Z512" s="368">
        <v>0</v>
      </c>
      <c r="AA512" s="368">
        <v>184.98</v>
      </c>
      <c r="AB512" s="368">
        <v>0</v>
      </c>
      <c r="AC512" s="368">
        <v>0</v>
      </c>
      <c r="AD512" s="368">
        <v>0</v>
      </c>
      <c r="AE512" s="368">
        <v>0</v>
      </c>
      <c r="AF512" s="396">
        <v>0</v>
      </c>
      <c r="AG512" s="368">
        <v>0</v>
      </c>
      <c r="AH512" s="396">
        <v>0</v>
      </c>
      <c r="AI512" s="368">
        <v>0</v>
      </c>
      <c r="AJ512" s="396">
        <v>0</v>
      </c>
      <c r="AK512" s="368">
        <v>0</v>
      </c>
      <c r="AL512" s="368">
        <v>0</v>
      </c>
      <c r="AM512" s="368">
        <v>0</v>
      </c>
      <c r="AN512" s="368"/>
      <c r="AO512" s="368">
        <v>0</v>
      </c>
    </row>
    <row r="513" spans="1:41" s="152" customFormat="1" ht="36" customHeight="1" x14ac:dyDescent="0.9">
      <c r="B513" s="382" t="s">
        <v>870</v>
      </c>
      <c r="C513" s="382"/>
      <c r="D513" s="384" t="s">
        <v>903</v>
      </c>
      <c r="E513" s="163" t="s">
        <v>903</v>
      </c>
      <c r="F513" s="384" t="s">
        <v>903</v>
      </c>
      <c r="G513" s="384" t="s">
        <v>903</v>
      </c>
      <c r="H513" s="163" t="s">
        <v>903</v>
      </c>
      <c r="I513" s="386">
        <f>I514</f>
        <v>702.7</v>
      </c>
      <c r="J513" s="164">
        <f>J514</f>
        <v>643.20000000000005</v>
      </c>
      <c r="K513" s="164">
        <f>K514</f>
        <v>643.20000000000005</v>
      </c>
      <c r="L513" s="165">
        <f>L514</f>
        <v>34</v>
      </c>
      <c r="M513" s="163" t="s">
        <v>903</v>
      </c>
      <c r="N513" s="163" t="s">
        <v>903</v>
      </c>
      <c r="O513" s="166" t="s">
        <v>903</v>
      </c>
      <c r="P513" s="387">
        <v>2598169.9500000002</v>
      </c>
      <c r="Q513" s="167">
        <f>Q514</f>
        <v>0</v>
      </c>
      <c r="R513" s="167">
        <f>R514</f>
        <v>0</v>
      </c>
      <c r="S513" s="167">
        <f>S514</f>
        <v>2598169.9500000002</v>
      </c>
      <c r="T513" s="387">
        <f t="shared" si="162"/>
        <v>3697.4099188843034</v>
      </c>
      <c r="U513" s="387">
        <f>U514</f>
        <v>6167.8821360466764</v>
      </c>
      <c r="V513" s="149">
        <f t="shared" si="154"/>
        <v>2470.472217162373</v>
      </c>
      <c r="W513" s="149"/>
      <c r="X513" s="149"/>
      <c r="Y513" s="368"/>
      <c r="Z513" s="368"/>
      <c r="AA513" s="368"/>
      <c r="AB513" s="368"/>
      <c r="AC513" s="368"/>
      <c r="AD513" s="368"/>
      <c r="AE513" s="368"/>
      <c r="AF513" s="368"/>
      <c r="AG513" s="368"/>
      <c r="AH513" s="368"/>
      <c r="AI513" s="368"/>
      <c r="AJ513" s="368"/>
      <c r="AK513" s="368"/>
      <c r="AL513" s="368"/>
      <c r="AM513" s="368"/>
      <c r="AN513" s="368"/>
      <c r="AO513" s="368"/>
    </row>
    <row r="514" spans="1:41" s="152" customFormat="1" ht="36" customHeight="1" x14ac:dyDescent="0.9">
      <c r="A514" s="152">
        <v>1</v>
      </c>
      <c r="B514" s="90">
        <f>SUBTOTAL(103,$A$16:A514)</f>
        <v>442</v>
      </c>
      <c r="C514" s="89" t="s">
        <v>94</v>
      </c>
      <c r="D514" s="163">
        <v>1969</v>
      </c>
      <c r="E514" s="163"/>
      <c r="F514" s="168" t="s">
        <v>270</v>
      </c>
      <c r="G514" s="163">
        <v>2</v>
      </c>
      <c r="H514" s="163">
        <v>2</v>
      </c>
      <c r="I514" s="167">
        <v>702.7</v>
      </c>
      <c r="J514" s="167">
        <v>643.20000000000005</v>
      </c>
      <c r="K514" s="167">
        <v>643.20000000000005</v>
      </c>
      <c r="L514" s="165">
        <v>34</v>
      </c>
      <c r="M514" s="163" t="s">
        <v>268</v>
      </c>
      <c r="N514" s="163" t="s">
        <v>272</v>
      </c>
      <c r="O514" s="166" t="s">
        <v>285</v>
      </c>
      <c r="P514" s="167">
        <v>2598169.9500000002</v>
      </c>
      <c r="Q514" s="167">
        <v>0</v>
      </c>
      <c r="R514" s="167">
        <v>0</v>
      </c>
      <c r="S514" s="167">
        <f>P514-Q514-R514</f>
        <v>2598169.9500000002</v>
      </c>
      <c r="T514" s="167">
        <f t="shared" si="162"/>
        <v>3697.4099188843034</v>
      </c>
      <c r="U514" s="167">
        <v>6167.8821360466764</v>
      </c>
      <c r="V514" s="149">
        <f>U514-T514</f>
        <v>2470.472217162373</v>
      </c>
      <c r="W514" s="149">
        <f>X514+Y514+Z514+AA514+AB514+AD514+AF514+AH514+AJ514+AL514+AN514+AO514</f>
        <v>6167.8821360466764</v>
      </c>
      <c r="X514" s="149">
        <v>0</v>
      </c>
      <c r="Y514" s="368">
        <v>0</v>
      </c>
      <c r="Z514" s="368">
        <v>0</v>
      </c>
      <c r="AA514" s="368">
        <v>0</v>
      </c>
      <c r="AB514" s="368">
        <v>0</v>
      </c>
      <c r="AC514" s="368">
        <v>0</v>
      </c>
      <c r="AD514" s="368">
        <v>0</v>
      </c>
      <c r="AE514" s="368">
        <v>694.7</v>
      </c>
      <c r="AF514" s="396">
        <f>6238.91*AE514/I514</f>
        <v>6167.8821360466764</v>
      </c>
      <c r="AG514" s="368">
        <v>0</v>
      </c>
      <c r="AH514" s="396">
        <v>0</v>
      </c>
      <c r="AI514" s="368">
        <v>0</v>
      </c>
      <c r="AJ514" s="396">
        <v>0</v>
      </c>
      <c r="AK514" s="368">
        <v>0</v>
      </c>
      <c r="AL514" s="368">
        <v>0</v>
      </c>
      <c r="AM514" s="368">
        <v>0</v>
      </c>
      <c r="AN514" s="368"/>
      <c r="AO514" s="368">
        <v>0</v>
      </c>
    </row>
    <row r="515" spans="1:41" s="152" customFormat="1" ht="36" customHeight="1" x14ac:dyDescent="0.9">
      <c r="B515" s="382" t="s">
        <v>1282</v>
      </c>
      <c r="C515" s="382"/>
      <c r="D515" s="384" t="s">
        <v>903</v>
      </c>
      <c r="E515" s="163" t="s">
        <v>903</v>
      </c>
      <c r="F515" s="384" t="s">
        <v>903</v>
      </c>
      <c r="G515" s="384" t="s">
        <v>903</v>
      </c>
      <c r="H515" s="163" t="s">
        <v>903</v>
      </c>
      <c r="I515" s="386">
        <f>I516</f>
        <v>853.8</v>
      </c>
      <c r="J515" s="164">
        <f>J516</f>
        <v>679.5</v>
      </c>
      <c r="K515" s="164">
        <f>K516</f>
        <v>679.5</v>
      </c>
      <c r="L515" s="165">
        <f>L516</f>
        <v>38</v>
      </c>
      <c r="M515" s="163" t="s">
        <v>903</v>
      </c>
      <c r="N515" s="163" t="s">
        <v>903</v>
      </c>
      <c r="O515" s="166" t="s">
        <v>903</v>
      </c>
      <c r="P515" s="387">
        <v>2309984.3499999996</v>
      </c>
      <c r="Q515" s="167">
        <f>Q516</f>
        <v>0</v>
      </c>
      <c r="R515" s="167">
        <f>R516</f>
        <v>0</v>
      </c>
      <c r="S515" s="167">
        <f>S516</f>
        <v>2309984.3499999996</v>
      </c>
      <c r="T515" s="387">
        <f t="shared" si="162"/>
        <v>2705.5333216209883</v>
      </c>
      <c r="U515" s="387">
        <f>U516</f>
        <v>4239.95</v>
      </c>
      <c r="V515" s="149">
        <f t="shared" si="154"/>
        <v>1534.4166783790115</v>
      </c>
      <c r="W515" s="149"/>
      <c r="X515" s="149"/>
      <c r="Y515" s="368"/>
      <c r="Z515" s="368"/>
      <c r="AA515" s="368"/>
      <c r="AB515" s="368"/>
      <c r="AC515" s="368"/>
      <c r="AD515" s="368"/>
      <c r="AE515" s="368"/>
      <c r="AF515" s="368"/>
      <c r="AG515" s="368"/>
      <c r="AH515" s="368"/>
      <c r="AI515" s="368"/>
      <c r="AJ515" s="368"/>
      <c r="AK515" s="368"/>
      <c r="AL515" s="368"/>
      <c r="AM515" s="368"/>
      <c r="AN515" s="368"/>
      <c r="AO515" s="368"/>
    </row>
    <row r="516" spans="1:41" s="152" customFormat="1" ht="36" customHeight="1" x14ac:dyDescent="0.9">
      <c r="A516" s="152">
        <v>1</v>
      </c>
      <c r="B516" s="90">
        <f>SUBTOTAL(103,$A$16:A516)</f>
        <v>443</v>
      </c>
      <c r="C516" s="89" t="s">
        <v>1283</v>
      </c>
      <c r="D516" s="163">
        <v>1981</v>
      </c>
      <c r="E516" s="163"/>
      <c r="F516" s="168" t="s">
        <v>340</v>
      </c>
      <c r="G516" s="163">
        <v>2</v>
      </c>
      <c r="H516" s="163">
        <v>3</v>
      </c>
      <c r="I516" s="167">
        <v>853.8</v>
      </c>
      <c r="J516" s="167">
        <v>679.5</v>
      </c>
      <c r="K516" s="167">
        <v>679.5</v>
      </c>
      <c r="L516" s="165">
        <v>38</v>
      </c>
      <c r="M516" s="163" t="s">
        <v>268</v>
      </c>
      <c r="N516" s="163" t="s">
        <v>272</v>
      </c>
      <c r="O516" s="166" t="s">
        <v>1314</v>
      </c>
      <c r="P516" s="167">
        <v>2309984.3499999996</v>
      </c>
      <c r="Q516" s="167">
        <v>0</v>
      </c>
      <c r="R516" s="167">
        <v>0</v>
      </c>
      <c r="S516" s="167">
        <f>P516-Q516-R516</f>
        <v>2309984.3499999996</v>
      </c>
      <c r="T516" s="167">
        <f t="shared" si="162"/>
        <v>2705.5333216209883</v>
      </c>
      <c r="U516" s="167">
        <v>4239.95</v>
      </c>
      <c r="V516" s="149">
        <f>U516-T516</f>
        <v>1534.4166783790115</v>
      </c>
      <c r="W516" s="149">
        <f>X516+Y516+Z516+AA516+AB516+AD516+AF516+AH516+AJ516+AL516+AN516+AO516</f>
        <v>4239.95</v>
      </c>
      <c r="X516" s="149">
        <v>0</v>
      </c>
      <c r="Y516" s="368">
        <v>0</v>
      </c>
      <c r="Z516" s="368">
        <v>3259.66</v>
      </c>
      <c r="AA516" s="368">
        <v>184.98</v>
      </c>
      <c r="AB516" s="368">
        <v>795.31</v>
      </c>
      <c r="AC516" s="368">
        <v>0</v>
      </c>
      <c r="AD516" s="368">
        <v>0</v>
      </c>
      <c r="AE516" s="368">
        <v>0</v>
      </c>
      <c r="AF516" s="396">
        <v>0</v>
      </c>
      <c r="AG516" s="368">
        <v>0</v>
      </c>
      <c r="AH516" s="396">
        <v>0</v>
      </c>
      <c r="AI516" s="368">
        <v>0</v>
      </c>
      <c r="AJ516" s="396">
        <v>0</v>
      </c>
      <c r="AK516" s="368">
        <v>0</v>
      </c>
      <c r="AL516" s="368">
        <v>0</v>
      </c>
      <c r="AM516" s="368">
        <v>0</v>
      </c>
      <c r="AN516" s="368"/>
      <c r="AO516" s="368">
        <v>0</v>
      </c>
    </row>
    <row r="517" spans="1:41" s="152" customFormat="1" ht="36" customHeight="1" x14ac:dyDescent="0.9">
      <c r="B517" s="382" t="s">
        <v>871</v>
      </c>
      <c r="C517" s="388"/>
      <c r="D517" s="384" t="s">
        <v>903</v>
      </c>
      <c r="E517" s="163" t="s">
        <v>903</v>
      </c>
      <c r="F517" s="384" t="s">
        <v>903</v>
      </c>
      <c r="G517" s="384" t="s">
        <v>903</v>
      </c>
      <c r="H517" s="163" t="s">
        <v>903</v>
      </c>
      <c r="I517" s="386">
        <f>SUM(I518:I523)</f>
        <v>3456.2</v>
      </c>
      <c r="J517" s="164">
        <f>SUM(J518:J523)</f>
        <v>2841.4</v>
      </c>
      <c r="K517" s="164">
        <f>SUM(K518:K523)</f>
        <v>2822.6</v>
      </c>
      <c r="L517" s="165">
        <f>SUM(L518:L523)</f>
        <v>132</v>
      </c>
      <c r="M517" s="163" t="s">
        <v>903</v>
      </c>
      <c r="N517" s="163" t="s">
        <v>903</v>
      </c>
      <c r="O517" s="166" t="s">
        <v>903</v>
      </c>
      <c r="P517" s="387">
        <v>6366130.2999999998</v>
      </c>
      <c r="Q517" s="167">
        <f>SUM(Q518:Q523)</f>
        <v>0</v>
      </c>
      <c r="R517" s="167">
        <f>SUM(R518:R523)</f>
        <v>0</v>
      </c>
      <c r="S517" s="167">
        <f>SUM(S518:S523)</f>
        <v>6366130.2999999998</v>
      </c>
      <c r="T517" s="387">
        <f t="shared" si="162"/>
        <v>1841.944997395984</v>
      </c>
      <c r="U517" s="387">
        <f>MAX(U518:U523)</f>
        <v>6348.3645614035086</v>
      </c>
      <c r="V517" s="149">
        <f t="shared" si="154"/>
        <v>4506.419564007525</v>
      </c>
      <c r="W517" s="149"/>
      <c r="X517" s="149"/>
      <c r="Y517" s="368"/>
      <c r="Z517" s="368"/>
      <c r="AA517" s="368"/>
      <c r="AB517" s="368"/>
      <c r="AC517" s="368"/>
      <c r="AD517" s="368"/>
      <c r="AE517" s="368"/>
      <c r="AF517" s="368"/>
      <c r="AG517" s="368"/>
      <c r="AH517" s="368"/>
      <c r="AI517" s="368"/>
      <c r="AJ517" s="368"/>
      <c r="AK517" s="368"/>
      <c r="AL517" s="368"/>
      <c r="AM517" s="368"/>
      <c r="AN517" s="368"/>
      <c r="AO517" s="368"/>
    </row>
    <row r="518" spans="1:41" s="152" customFormat="1" ht="36" customHeight="1" x14ac:dyDescent="0.9">
      <c r="A518" s="152">
        <v>1</v>
      </c>
      <c r="B518" s="90">
        <f>SUBTOTAL(103,$A$16:A518)</f>
        <v>444</v>
      </c>
      <c r="C518" s="89" t="s">
        <v>186</v>
      </c>
      <c r="D518" s="163" t="s">
        <v>306</v>
      </c>
      <c r="E518" s="163"/>
      <c r="F518" s="168" t="s">
        <v>270</v>
      </c>
      <c r="G518" s="163" t="s">
        <v>307</v>
      </c>
      <c r="H518" s="163" t="s">
        <v>308</v>
      </c>
      <c r="I518" s="167">
        <v>250.8</v>
      </c>
      <c r="J518" s="167">
        <v>250.8</v>
      </c>
      <c r="K518" s="167">
        <v>250.8</v>
      </c>
      <c r="L518" s="165">
        <v>13</v>
      </c>
      <c r="M518" s="163" t="s">
        <v>268</v>
      </c>
      <c r="N518" s="163" t="s">
        <v>272</v>
      </c>
      <c r="O518" s="166" t="s">
        <v>1009</v>
      </c>
      <c r="P518" s="167">
        <v>1338107.19</v>
      </c>
      <c r="Q518" s="167">
        <v>0</v>
      </c>
      <c r="R518" s="167">
        <v>0</v>
      </c>
      <c r="S518" s="167">
        <f t="shared" ref="S518:S523" si="169">P518-Q518-R518</f>
        <v>1338107.19</v>
      </c>
      <c r="T518" s="167">
        <f t="shared" si="162"/>
        <v>5335.3556220095688</v>
      </c>
      <c r="U518" s="167">
        <v>6348.3645614035086</v>
      </c>
      <c r="V518" s="149">
        <f t="shared" si="154"/>
        <v>1013.0089393939397</v>
      </c>
      <c r="W518" s="149">
        <f t="shared" ref="W518:W523" si="170">X518+Y518+Z518+AA518+AB518+AD518+AF518+AH518+AJ518+AL518+AN518+AO518</f>
        <v>6348.3645614035086</v>
      </c>
      <c r="X518" s="149">
        <v>0</v>
      </c>
      <c r="Y518" s="368">
        <v>0</v>
      </c>
      <c r="Z518" s="368">
        <v>0</v>
      </c>
      <c r="AA518" s="368">
        <v>0</v>
      </c>
      <c r="AB518" s="368">
        <v>0</v>
      </c>
      <c r="AC518" s="368">
        <v>0</v>
      </c>
      <c r="AD518" s="368">
        <v>0</v>
      </c>
      <c r="AE518" s="368">
        <v>255.2</v>
      </c>
      <c r="AF518" s="396">
        <f>6238.91*AE518/I518</f>
        <v>6348.3645614035086</v>
      </c>
      <c r="AG518" s="368">
        <v>0</v>
      </c>
      <c r="AH518" s="396">
        <v>0</v>
      </c>
      <c r="AI518" s="368">
        <v>0</v>
      </c>
      <c r="AJ518" s="396">
        <v>0</v>
      </c>
      <c r="AK518" s="368">
        <v>0</v>
      </c>
      <c r="AL518" s="368">
        <v>0</v>
      </c>
      <c r="AM518" s="368">
        <v>0</v>
      </c>
      <c r="AN518" s="368"/>
      <c r="AO518" s="368">
        <v>0</v>
      </c>
    </row>
    <row r="519" spans="1:41" s="152" customFormat="1" ht="36" customHeight="1" x14ac:dyDescent="0.9">
      <c r="A519" s="152">
        <v>1</v>
      </c>
      <c r="B519" s="90">
        <f>SUBTOTAL(103,$A$16:A519)</f>
        <v>445</v>
      </c>
      <c r="C519" s="89" t="s">
        <v>185</v>
      </c>
      <c r="D519" s="163" t="s">
        <v>306</v>
      </c>
      <c r="E519" s="163"/>
      <c r="F519" s="168" t="s">
        <v>270</v>
      </c>
      <c r="G519" s="163" t="s">
        <v>307</v>
      </c>
      <c r="H519" s="163" t="s">
        <v>308</v>
      </c>
      <c r="I519" s="167">
        <v>365</v>
      </c>
      <c r="J519" s="167">
        <v>328</v>
      </c>
      <c r="K519" s="167">
        <v>309.2</v>
      </c>
      <c r="L519" s="165">
        <v>8</v>
      </c>
      <c r="M519" s="163" t="s">
        <v>268</v>
      </c>
      <c r="N519" s="163" t="s">
        <v>269</v>
      </c>
      <c r="O519" s="166" t="s">
        <v>271</v>
      </c>
      <c r="P519" s="167">
        <v>68497.22</v>
      </c>
      <c r="Q519" s="167">
        <v>0</v>
      </c>
      <c r="R519" s="167">
        <v>0</v>
      </c>
      <c r="S519" s="167">
        <f t="shared" si="169"/>
        <v>68497.22</v>
      </c>
      <c r="T519" s="167">
        <f t="shared" si="162"/>
        <v>187.66361643835617</v>
      </c>
      <c r="U519" s="167">
        <v>187.66361643835617</v>
      </c>
      <c r="V519" s="149">
        <f t="shared" si="154"/>
        <v>0</v>
      </c>
      <c r="W519" s="149">
        <f>T519</f>
        <v>187.66361643835617</v>
      </c>
      <c r="X519" s="149">
        <v>0</v>
      </c>
      <c r="Y519" s="368">
        <v>0</v>
      </c>
      <c r="Z519" s="368">
        <v>0</v>
      </c>
      <c r="AA519" s="368">
        <v>0</v>
      </c>
      <c r="AB519" s="368">
        <v>0</v>
      </c>
      <c r="AC519" s="368">
        <v>0</v>
      </c>
      <c r="AD519" s="368">
        <v>0</v>
      </c>
      <c r="AE519" s="368">
        <v>0</v>
      </c>
      <c r="AF519" s="396">
        <v>0</v>
      </c>
      <c r="AG519" s="368">
        <v>0</v>
      </c>
      <c r="AH519" s="396">
        <v>0</v>
      </c>
      <c r="AI519" s="368">
        <v>0</v>
      </c>
      <c r="AJ519" s="396">
        <v>0</v>
      </c>
      <c r="AK519" s="368">
        <v>0</v>
      </c>
      <c r="AL519" s="368">
        <v>0</v>
      </c>
      <c r="AM519" s="368">
        <v>0</v>
      </c>
      <c r="AN519" s="368"/>
      <c r="AO519" s="368">
        <v>0</v>
      </c>
    </row>
    <row r="520" spans="1:41" s="152" customFormat="1" ht="36" customHeight="1" x14ac:dyDescent="0.9">
      <c r="A520" s="152">
        <v>1</v>
      </c>
      <c r="B520" s="90">
        <f>SUBTOTAL(103,$A$16:A520)</f>
        <v>446</v>
      </c>
      <c r="C520" s="89" t="s">
        <v>1284</v>
      </c>
      <c r="D520" s="163">
        <v>1917</v>
      </c>
      <c r="E520" s="163"/>
      <c r="F520" s="168" t="s">
        <v>270</v>
      </c>
      <c r="G520" s="163">
        <v>2</v>
      </c>
      <c r="H520" s="163">
        <v>1</v>
      </c>
      <c r="I520" s="167">
        <v>513</v>
      </c>
      <c r="J520" s="167">
        <v>316.7</v>
      </c>
      <c r="K520" s="167">
        <v>316.7</v>
      </c>
      <c r="L520" s="165">
        <v>21</v>
      </c>
      <c r="M520" s="163" t="s">
        <v>268</v>
      </c>
      <c r="N520" s="163" t="s">
        <v>272</v>
      </c>
      <c r="O520" s="166" t="s">
        <v>1326</v>
      </c>
      <c r="P520" s="167">
        <v>2173966.8199999998</v>
      </c>
      <c r="Q520" s="167">
        <v>0</v>
      </c>
      <c r="R520" s="167">
        <v>0</v>
      </c>
      <c r="S520" s="167">
        <f t="shared" si="169"/>
        <v>2173966.8199999998</v>
      </c>
      <c r="T520" s="167">
        <f t="shared" si="162"/>
        <v>4237.7520857699801</v>
      </c>
      <c r="U520" s="167">
        <v>5319.4916842105258</v>
      </c>
      <c r="V520" s="149">
        <f t="shared" si="154"/>
        <v>1081.7395984405457</v>
      </c>
      <c r="W520" s="149">
        <f t="shared" si="170"/>
        <v>5319.4916842105258</v>
      </c>
      <c r="X520" s="149">
        <v>0</v>
      </c>
      <c r="Y520" s="368">
        <v>0</v>
      </c>
      <c r="Z520" s="368">
        <v>0</v>
      </c>
      <c r="AA520" s="368">
        <v>0</v>
      </c>
      <c r="AB520" s="368">
        <v>0</v>
      </c>
      <c r="AC520" s="368">
        <v>0</v>
      </c>
      <c r="AD520" s="368">
        <v>0</v>
      </c>
      <c r="AE520" s="368">
        <v>437.4</v>
      </c>
      <c r="AF520" s="396">
        <f t="shared" ref="AF520:AF521" si="171">6238.91*AE520/I520</f>
        <v>5319.4916842105258</v>
      </c>
      <c r="AG520" s="368">
        <v>0</v>
      </c>
      <c r="AH520" s="396">
        <v>0</v>
      </c>
      <c r="AI520" s="368">
        <v>0</v>
      </c>
      <c r="AJ520" s="396">
        <v>0</v>
      </c>
      <c r="AK520" s="368">
        <v>0</v>
      </c>
      <c r="AL520" s="368">
        <v>0</v>
      </c>
      <c r="AM520" s="368">
        <v>0</v>
      </c>
      <c r="AN520" s="368"/>
      <c r="AO520" s="368">
        <v>0</v>
      </c>
    </row>
    <row r="521" spans="1:41" s="152" customFormat="1" ht="36" customHeight="1" x14ac:dyDescent="0.9">
      <c r="A521" s="152">
        <v>1</v>
      </c>
      <c r="B521" s="90">
        <f>SUBTOTAL(103,$A$16:A521)</f>
        <v>447</v>
      </c>
      <c r="C521" s="89" t="s">
        <v>1285</v>
      </c>
      <c r="D521" s="163">
        <v>1917</v>
      </c>
      <c r="E521" s="163"/>
      <c r="F521" s="168" t="s">
        <v>270</v>
      </c>
      <c r="G521" s="163">
        <v>2</v>
      </c>
      <c r="H521" s="163">
        <v>1</v>
      </c>
      <c r="I521" s="167">
        <v>483.1</v>
      </c>
      <c r="J521" s="167">
        <v>426.2</v>
      </c>
      <c r="K521" s="167">
        <v>426.2</v>
      </c>
      <c r="L521" s="165">
        <v>28</v>
      </c>
      <c r="M521" s="163" t="s">
        <v>268</v>
      </c>
      <c r="N521" s="163" t="s">
        <v>272</v>
      </c>
      <c r="O521" s="166" t="s">
        <v>1364</v>
      </c>
      <c r="P521" s="167">
        <v>1333215.3800000001</v>
      </c>
      <c r="Q521" s="167">
        <v>0</v>
      </c>
      <c r="R521" s="167">
        <v>0</v>
      </c>
      <c r="S521" s="167">
        <f t="shared" si="169"/>
        <v>1333215.3800000001</v>
      </c>
      <c r="T521" s="167">
        <f t="shared" si="162"/>
        <v>2759.7089215483338</v>
      </c>
      <c r="U521" s="167">
        <v>5269.0442558476498</v>
      </c>
      <c r="V521" s="149">
        <f t="shared" si="154"/>
        <v>2509.3353342993159</v>
      </c>
      <c r="W521" s="149">
        <f t="shared" si="170"/>
        <v>5269.0442558476498</v>
      </c>
      <c r="X521" s="149">
        <v>0</v>
      </c>
      <c r="Y521" s="368">
        <v>0</v>
      </c>
      <c r="Z521" s="368">
        <v>0</v>
      </c>
      <c r="AA521" s="368">
        <v>0</v>
      </c>
      <c r="AB521" s="368">
        <v>0</v>
      </c>
      <c r="AC521" s="368">
        <v>0</v>
      </c>
      <c r="AD521" s="368">
        <v>0</v>
      </c>
      <c r="AE521" s="368">
        <v>408</v>
      </c>
      <c r="AF521" s="396">
        <f t="shared" si="171"/>
        <v>5269.0442558476498</v>
      </c>
      <c r="AG521" s="368">
        <v>0</v>
      </c>
      <c r="AH521" s="396">
        <v>0</v>
      </c>
      <c r="AI521" s="368">
        <v>0</v>
      </c>
      <c r="AJ521" s="396">
        <v>0</v>
      </c>
      <c r="AK521" s="368">
        <v>0</v>
      </c>
      <c r="AL521" s="368">
        <v>0</v>
      </c>
      <c r="AM521" s="368">
        <v>0</v>
      </c>
      <c r="AN521" s="368"/>
      <c r="AO521" s="368">
        <v>0</v>
      </c>
    </row>
    <row r="522" spans="1:41" s="152" customFormat="1" ht="36" customHeight="1" x14ac:dyDescent="0.9">
      <c r="A522" s="152">
        <v>1</v>
      </c>
      <c r="B522" s="90">
        <f>SUBTOTAL(103,$A$16:A522)</f>
        <v>448</v>
      </c>
      <c r="C522" s="89" t="s">
        <v>1286</v>
      </c>
      <c r="D522" s="163">
        <v>1967</v>
      </c>
      <c r="E522" s="163">
        <v>2014</v>
      </c>
      <c r="F522" s="168" t="s">
        <v>270</v>
      </c>
      <c r="G522" s="163">
        <v>2</v>
      </c>
      <c r="H522" s="163">
        <v>4</v>
      </c>
      <c r="I522" s="167">
        <v>919.3</v>
      </c>
      <c r="J522" s="167">
        <v>760.3</v>
      </c>
      <c r="K522" s="167">
        <v>760.3</v>
      </c>
      <c r="L522" s="165">
        <v>34</v>
      </c>
      <c r="M522" s="163" t="s">
        <v>268</v>
      </c>
      <c r="N522" s="163" t="s">
        <v>272</v>
      </c>
      <c r="O522" s="166" t="s">
        <v>1365</v>
      </c>
      <c r="P522" s="167">
        <v>725838.89999999991</v>
      </c>
      <c r="Q522" s="167">
        <v>0</v>
      </c>
      <c r="R522" s="167">
        <v>0</v>
      </c>
      <c r="S522" s="167">
        <f t="shared" si="169"/>
        <v>725838.89999999991</v>
      </c>
      <c r="T522" s="167">
        <f t="shared" si="162"/>
        <v>789.55607527466543</v>
      </c>
      <c r="U522" s="167">
        <v>795.31</v>
      </c>
      <c r="V522" s="149">
        <f t="shared" si="154"/>
        <v>5.7539247253345138</v>
      </c>
      <c r="W522" s="149">
        <f t="shared" si="170"/>
        <v>795.31</v>
      </c>
      <c r="X522" s="149">
        <v>0</v>
      </c>
      <c r="Y522" s="368">
        <v>0</v>
      </c>
      <c r="Z522" s="368">
        <v>0</v>
      </c>
      <c r="AA522" s="368">
        <v>0</v>
      </c>
      <c r="AB522" s="368">
        <v>795.31</v>
      </c>
      <c r="AC522" s="368">
        <v>0</v>
      </c>
      <c r="AD522" s="368">
        <v>0</v>
      </c>
      <c r="AE522" s="368">
        <v>0</v>
      </c>
      <c r="AF522" s="396">
        <v>0</v>
      </c>
      <c r="AG522" s="368">
        <v>0</v>
      </c>
      <c r="AH522" s="396">
        <v>0</v>
      </c>
      <c r="AI522" s="368">
        <v>0</v>
      </c>
      <c r="AJ522" s="396">
        <v>0</v>
      </c>
      <c r="AK522" s="368">
        <v>0</v>
      </c>
      <c r="AL522" s="368">
        <v>0</v>
      </c>
      <c r="AM522" s="368">
        <v>0</v>
      </c>
      <c r="AN522" s="368"/>
      <c r="AO522" s="368">
        <v>0</v>
      </c>
    </row>
    <row r="523" spans="1:41" s="152" customFormat="1" ht="36" customHeight="1" x14ac:dyDescent="0.9">
      <c r="A523" s="152">
        <v>1</v>
      </c>
      <c r="B523" s="90">
        <f>SUBTOTAL(103,$A$16:A523)</f>
        <v>449</v>
      </c>
      <c r="C523" s="89" t="s">
        <v>1287</v>
      </c>
      <c r="D523" s="163">
        <v>1967</v>
      </c>
      <c r="E523" s="163">
        <v>2014</v>
      </c>
      <c r="F523" s="168" t="s">
        <v>270</v>
      </c>
      <c r="G523" s="163">
        <v>2</v>
      </c>
      <c r="H523" s="163">
        <v>4</v>
      </c>
      <c r="I523" s="167">
        <v>925</v>
      </c>
      <c r="J523" s="167">
        <v>759.4</v>
      </c>
      <c r="K523" s="167">
        <v>759.4</v>
      </c>
      <c r="L523" s="165">
        <v>28</v>
      </c>
      <c r="M523" s="163" t="s">
        <v>268</v>
      </c>
      <c r="N523" s="163" t="s">
        <v>272</v>
      </c>
      <c r="O523" s="166" t="s">
        <v>1365</v>
      </c>
      <c r="P523" s="167">
        <v>726504.79</v>
      </c>
      <c r="Q523" s="167">
        <v>0</v>
      </c>
      <c r="R523" s="167">
        <v>0</v>
      </c>
      <c r="S523" s="167">
        <f t="shared" si="169"/>
        <v>726504.79</v>
      </c>
      <c r="T523" s="167">
        <f t="shared" si="162"/>
        <v>785.41058378378386</v>
      </c>
      <c r="U523" s="167">
        <v>795.31</v>
      </c>
      <c r="V523" s="149">
        <f t="shared" si="154"/>
        <v>9.8994162162160819</v>
      </c>
      <c r="W523" s="149">
        <f t="shared" si="170"/>
        <v>795.31</v>
      </c>
      <c r="X523" s="149">
        <v>0</v>
      </c>
      <c r="Y523" s="368">
        <v>0</v>
      </c>
      <c r="Z523" s="368">
        <v>0</v>
      </c>
      <c r="AA523" s="368">
        <v>0</v>
      </c>
      <c r="AB523" s="368">
        <v>795.31</v>
      </c>
      <c r="AC523" s="368">
        <v>0</v>
      </c>
      <c r="AD523" s="368">
        <v>0</v>
      </c>
      <c r="AE523" s="368">
        <v>0</v>
      </c>
      <c r="AF523" s="396">
        <v>0</v>
      </c>
      <c r="AG523" s="368">
        <v>0</v>
      </c>
      <c r="AH523" s="396">
        <v>0</v>
      </c>
      <c r="AI523" s="368">
        <v>0</v>
      </c>
      <c r="AJ523" s="396">
        <v>0</v>
      </c>
      <c r="AK523" s="368">
        <v>0</v>
      </c>
      <c r="AL523" s="368">
        <v>0</v>
      </c>
      <c r="AM523" s="368">
        <v>0</v>
      </c>
      <c r="AN523" s="368"/>
      <c r="AO523" s="368">
        <v>0</v>
      </c>
    </row>
    <row r="524" spans="1:41" s="152" customFormat="1" ht="36" customHeight="1" x14ac:dyDescent="0.9">
      <c r="B524" s="382" t="s">
        <v>872</v>
      </c>
      <c r="C524" s="382"/>
      <c r="D524" s="384" t="s">
        <v>903</v>
      </c>
      <c r="E524" s="163" t="s">
        <v>903</v>
      </c>
      <c r="F524" s="384" t="s">
        <v>903</v>
      </c>
      <c r="G524" s="384" t="s">
        <v>903</v>
      </c>
      <c r="H524" s="163" t="s">
        <v>903</v>
      </c>
      <c r="I524" s="386">
        <f>I525</f>
        <v>1755.2</v>
      </c>
      <c r="J524" s="164">
        <f>J525</f>
        <v>1537.2</v>
      </c>
      <c r="K524" s="164">
        <f>K525</f>
        <v>1537.2</v>
      </c>
      <c r="L524" s="165">
        <f>L525</f>
        <v>63</v>
      </c>
      <c r="M524" s="163" t="s">
        <v>903</v>
      </c>
      <c r="N524" s="163" t="s">
        <v>903</v>
      </c>
      <c r="O524" s="166" t="s">
        <v>903</v>
      </c>
      <c r="P524" s="387">
        <v>4880587.2799999993</v>
      </c>
      <c r="Q524" s="167">
        <f>Q525</f>
        <v>0</v>
      </c>
      <c r="R524" s="167">
        <f>R525</f>
        <v>0</v>
      </c>
      <c r="S524" s="167">
        <f>S525</f>
        <v>4880587.2799999993</v>
      </c>
      <c r="T524" s="387">
        <f t="shared" si="162"/>
        <v>2780.6445305378302</v>
      </c>
      <c r="U524" s="387">
        <f>U525</f>
        <v>3656.1889391522332</v>
      </c>
      <c r="V524" s="149">
        <f t="shared" si="154"/>
        <v>875.54440861440298</v>
      </c>
      <c r="W524" s="149"/>
      <c r="X524" s="149"/>
      <c r="Y524" s="368"/>
      <c r="Z524" s="368"/>
      <c r="AA524" s="368"/>
      <c r="AB524" s="368"/>
      <c r="AC524" s="368"/>
      <c r="AD524" s="368"/>
      <c r="AE524" s="368"/>
      <c r="AF524" s="368"/>
      <c r="AG524" s="368"/>
      <c r="AH524" s="368"/>
      <c r="AI524" s="368"/>
      <c r="AJ524" s="368"/>
      <c r="AK524" s="368"/>
      <c r="AL524" s="368"/>
      <c r="AM524" s="368"/>
      <c r="AN524" s="368"/>
      <c r="AO524" s="368"/>
    </row>
    <row r="525" spans="1:41" s="152" customFormat="1" ht="36" customHeight="1" x14ac:dyDescent="0.9">
      <c r="A525" s="152">
        <v>1</v>
      </c>
      <c r="B525" s="90">
        <f>SUBTOTAL(103,$A$16:A525)</f>
        <v>450</v>
      </c>
      <c r="C525" s="89" t="s">
        <v>189</v>
      </c>
      <c r="D525" s="163">
        <v>1959</v>
      </c>
      <c r="E525" s="163"/>
      <c r="F525" s="168" t="s">
        <v>270</v>
      </c>
      <c r="G525" s="163">
        <v>3</v>
      </c>
      <c r="H525" s="163">
        <v>4</v>
      </c>
      <c r="I525" s="167">
        <v>1755.2</v>
      </c>
      <c r="J525" s="167">
        <v>1537.2</v>
      </c>
      <c r="K525" s="167">
        <v>1537.2</v>
      </c>
      <c r="L525" s="165">
        <v>63</v>
      </c>
      <c r="M525" s="163" t="s">
        <v>268</v>
      </c>
      <c r="N525" s="163" t="s">
        <v>269</v>
      </c>
      <c r="O525" s="166" t="s">
        <v>271</v>
      </c>
      <c r="P525" s="167">
        <v>4880587.2799999993</v>
      </c>
      <c r="Q525" s="167">
        <v>0</v>
      </c>
      <c r="R525" s="167">
        <v>0</v>
      </c>
      <c r="S525" s="167">
        <f>P525-Q525-R525</f>
        <v>4880587.2799999993</v>
      </c>
      <c r="T525" s="167">
        <f t="shared" si="162"/>
        <v>2780.6445305378302</v>
      </c>
      <c r="U525" s="167">
        <v>3656.1889391522332</v>
      </c>
      <c r="V525" s="149">
        <f>U525-T525</f>
        <v>875.54440861440298</v>
      </c>
      <c r="W525" s="149">
        <f>X525+Y525+Z525+AA525+AB525+AD525+AF525+AH525+AJ525+AL525+AN525+AO525</f>
        <v>3656.1889391522332</v>
      </c>
      <c r="X525" s="149">
        <v>0</v>
      </c>
      <c r="Y525" s="368">
        <v>0</v>
      </c>
      <c r="Z525" s="368">
        <v>0</v>
      </c>
      <c r="AA525" s="368">
        <v>0</v>
      </c>
      <c r="AB525" s="368">
        <v>0</v>
      </c>
      <c r="AC525" s="368">
        <v>0</v>
      </c>
      <c r="AD525" s="368">
        <v>0</v>
      </c>
      <c r="AE525" s="368">
        <v>1028.5999999999999</v>
      </c>
      <c r="AF525" s="396">
        <f>6238.91*AE525/I525</f>
        <v>3656.1889391522332</v>
      </c>
      <c r="AG525" s="368">
        <v>0</v>
      </c>
      <c r="AH525" s="396">
        <v>0</v>
      </c>
      <c r="AI525" s="368">
        <v>0</v>
      </c>
      <c r="AJ525" s="396">
        <v>0</v>
      </c>
      <c r="AK525" s="368">
        <v>0</v>
      </c>
      <c r="AL525" s="368">
        <v>0</v>
      </c>
      <c r="AM525" s="368">
        <v>0</v>
      </c>
      <c r="AN525" s="368"/>
      <c r="AO525" s="368">
        <v>0</v>
      </c>
    </row>
    <row r="526" spans="1:41" s="152" customFormat="1" ht="36" customHeight="1" x14ac:dyDescent="0.9">
      <c r="B526" s="382" t="s">
        <v>873</v>
      </c>
      <c r="C526" s="382"/>
      <c r="D526" s="384" t="s">
        <v>903</v>
      </c>
      <c r="E526" s="163" t="s">
        <v>903</v>
      </c>
      <c r="F526" s="384" t="s">
        <v>903</v>
      </c>
      <c r="G526" s="384" t="s">
        <v>903</v>
      </c>
      <c r="H526" s="163" t="s">
        <v>903</v>
      </c>
      <c r="I526" s="386">
        <f>SUM(I527:I528)</f>
        <v>4920.8999999999996</v>
      </c>
      <c r="J526" s="164">
        <f t="shared" ref="J526:K526" si="172">SUM(J527:J528)</f>
        <v>2992.2999999999997</v>
      </c>
      <c r="K526" s="164">
        <f t="shared" si="172"/>
        <v>677.6</v>
      </c>
      <c r="L526" s="165">
        <f>SUM(L527:L528)</f>
        <v>133</v>
      </c>
      <c r="M526" s="163" t="s">
        <v>903</v>
      </c>
      <c r="N526" s="163" t="s">
        <v>903</v>
      </c>
      <c r="O526" s="166" t="s">
        <v>903</v>
      </c>
      <c r="P526" s="386">
        <v>8593030.2200000007</v>
      </c>
      <c r="Q526" s="164">
        <f t="shared" ref="Q526:S526" si="173">SUM(Q527:Q528)</f>
        <v>0</v>
      </c>
      <c r="R526" s="164">
        <f t="shared" si="173"/>
        <v>0</v>
      </c>
      <c r="S526" s="164">
        <f t="shared" si="173"/>
        <v>8593030.2200000007</v>
      </c>
      <c r="T526" s="387">
        <f t="shared" si="162"/>
        <v>1746.231425145807</v>
      </c>
      <c r="U526" s="387">
        <f>MAX(U527:U528)</f>
        <v>5092.5263421617756</v>
      </c>
      <c r="V526" s="149">
        <f t="shared" si="154"/>
        <v>3346.2949170159686</v>
      </c>
      <c r="W526" s="149"/>
      <c r="X526" s="149"/>
      <c r="Y526" s="368"/>
      <c r="Z526" s="368"/>
      <c r="AA526" s="368"/>
      <c r="AB526" s="368"/>
      <c r="AC526" s="368"/>
      <c r="AD526" s="368"/>
      <c r="AE526" s="368"/>
      <c r="AF526" s="368"/>
      <c r="AG526" s="368"/>
      <c r="AH526" s="368"/>
      <c r="AI526" s="368"/>
      <c r="AJ526" s="368"/>
      <c r="AK526" s="368"/>
      <c r="AL526" s="368"/>
      <c r="AM526" s="368"/>
      <c r="AN526" s="368"/>
      <c r="AO526" s="368"/>
    </row>
    <row r="527" spans="1:41" s="152" customFormat="1" ht="36" customHeight="1" x14ac:dyDescent="0.9">
      <c r="A527" s="152">
        <v>1</v>
      </c>
      <c r="B527" s="90">
        <f>SUBTOTAL(103,$A$16:A527)</f>
        <v>451</v>
      </c>
      <c r="C527" s="89" t="s">
        <v>188</v>
      </c>
      <c r="D527" s="163" t="s">
        <v>309</v>
      </c>
      <c r="E527" s="163"/>
      <c r="F527" s="168" t="s">
        <v>270</v>
      </c>
      <c r="G527" s="163" t="s">
        <v>307</v>
      </c>
      <c r="H527" s="163" t="s">
        <v>307</v>
      </c>
      <c r="I527" s="167">
        <v>729.9</v>
      </c>
      <c r="J527" s="167">
        <v>464.1</v>
      </c>
      <c r="K527" s="167">
        <v>464.1</v>
      </c>
      <c r="L527" s="165">
        <v>37</v>
      </c>
      <c r="M527" s="163" t="s">
        <v>268</v>
      </c>
      <c r="N527" s="163" t="s">
        <v>272</v>
      </c>
      <c r="O527" s="166" t="s">
        <v>1010</v>
      </c>
      <c r="P527" s="167">
        <v>2614299.75</v>
      </c>
      <c r="Q527" s="167">
        <v>0</v>
      </c>
      <c r="R527" s="167">
        <v>0</v>
      </c>
      <c r="S527" s="167">
        <f>P527-Q527-R527</f>
        <v>2614299.75</v>
      </c>
      <c r="T527" s="167">
        <f t="shared" si="162"/>
        <v>3581.7231812577065</v>
      </c>
      <c r="U527" s="167">
        <v>4943.945121249486</v>
      </c>
      <c r="V527" s="149">
        <f t="shared" si="154"/>
        <v>1362.2219399917794</v>
      </c>
      <c r="W527" s="149">
        <f t="shared" ref="W527:W528" si="174">X527+Y527+Z527+AA527+AB527+AD527+AF527+AH527+AJ527+AL527+AN527+AO527</f>
        <v>4943.945121249486</v>
      </c>
      <c r="X527" s="149">
        <v>0</v>
      </c>
      <c r="Y527" s="368">
        <v>0</v>
      </c>
      <c r="Z527" s="368">
        <v>0</v>
      </c>
      <c r="AA527" s="368">
        <v>0</v>
      </c>
      <c r="AB527" s="368">
        <v>0</v>
      </c>
      <c r="AC527" s="368">
        <v>0</v>
      </c>
      <c r="AD527" s="368">
        <v>0</v>
      </c>
      <c r="AE527" s="368">
        <v>578.4</v>
      </c>
      <c r="AF527" s="396">
        <f>6238.91*AE527/I527</f>
        <v>4943.945121249486</v>
      </c>
      <c r="AG527" s="368">
        <v>0</v>
      </c>
      <c r="AH527" s="396">
        <v>0</v>
      </c>
      <c r="AI527" s="368">
        <v>0</v>
      </c>
      <c r="AJ527" s="396">
        <v>0</v>
      </c>
      <c r="AK527" s="368">
        <v>0</v>
      </c>
      <c r="AL527" s="368">
        <v>0</v>
      </c>
      <c r="AM527" s="368">
        <v>0</v>
      </c>
      <c r="AN527" s="368"/>
      <c r="AO527" s="368">
        <v>0</v>
      </c>
    </row>
    <row r="528" spans="1:41" s="152" customFormat="1" ht="36" customHeight="1" x14ac:dyDescent="0.9">
      <c r="A528" s="152">
        <v>1</v>
      </c>
      <c r="B528" s="90">
        <f>SUBTOTAL(103,$A$16:A528)</f>
        <v>452</v>
      </c>
      <c r="C528" s="89" t="s">
        <v>1567</v>
      </c>
      <c r="D528" s="163">
        <v>1977</v>
      </c>
      <c r="E528" s="163"/>
      <c r="F528" s="168" t="s">
        <v>270</v>
      </c>
      <c r="G528" s="163">
        <v>5</v>
      </c>
      <c r="H528" s="163">
        <v>1</v>
      </c>
      <c r="I528" s="167">
        <v>4191</v>
      </c>
      <c r="J528" s="167">
        <v>2528.1999999999998</v>
      </c>
      <c r="K528" s="167">
        <v>213.5</v>
      </c>
      <c r="L528" s="165">
        <v>96</v>
      </c>
      <c r="M528" s="163" t="s">
        <v>268</v>
      </c>
      <c r="N528" s="163" t="s">
        <v>272</v>
      </c>
      <c r="O528" s="166" t="s">
        <v>1604</v>
      </c>
      <c r="P528" s="167">
        <v>5978730.4700000007</v>
      </c>
      <c r="Q528" s="167">
        <v>0</v>
      </c>
      <c r="R528" s="167">
        <v>0</v>
      </c>
      <c r="S528" s="167">
        <f>P528-R528-Q528</f>
        <v>5978730.4700000007</v>
      </c>
      <c r="T528" s="167">
        <f t="shared" si="162"/>
        <v>1426.5641780004773</v>
      </c>
      <c r="U528" s="167">
        <v>5092.5263421617756</v>
      </c>
      <c r="V528" s="149">
        <f t="shared" si="154"/>
        <v>3665.9621641612985</v>
      </c>
      <c r="W528" s="149">
        <f t="shared" si="174"/>
        <v>5092.5263421617756</v>
      </c>
      <c r="X528" s="149">
        <v>0</v>
      </c>
      <c r="Y528" s="368">
        <v>0</v>
      </c>
      <c r="Z528" s="368">
        <v>0</v>
      </c>
      <c r="AA528" s="368">
        <v>0</v>
      </c>
      <c r="AB528" s="368">
        <v>0</v>
      </c>
      <c r="AC528" s="368">
        <v>0</v>
      </c>
      <c r="AD528" s="368">
        <v>0</v>
      </c>
      <c r="AE528" s="368">
        <v>0</v>
      </c>
      <c r="AF528" s="396">
        <v>0</v>
      </c>
      <c r="AG528" s="368">
        <v>0</v>
      </c>
      <c r="AH528" s="396">
        <v>0</v>
      </c>
      <c r="AI528" s="368">
        <v>2869</v>
      </c>
      <c r="AJ528" s="397">
        <f>7439.1*AI528/I528</f>
        <v>5092.5263421617756</v>
      </c>
      <c r="AK528" s="368">
        <v>0</v>
      </c>
      <c r="AL528" s="368">
        <v>0</v>
      </c>
      <c r="AM528" s="368">
        <v>0</v>
      </c>
      <c r="AN528" s="368"/>
      <c r="AO528" s="368">
        <v>0</v>
      </c>
    </row>
    <row r="529" spans="1:41" s="152" customFormat="1" ht="36" customHeight="1" x14ac:dyDescent="0.9">
      <c r="B529" s="382" t="s">
        <v>874</v>
      </c>
      <c r="C529" s="382"/>
      <c r="D529" s="384" t="s">
        <v>903</v>
      </c>
      <c r="E529" s="163" t="s">
        <v>903</v>
      </c>
      <c r="F529" s="384" t="s">
        <v>903</v>
      </c>
      <c r="G529" s="384" t="s">
        <v>903</v>
      </c>
      <c r="H529" s="163" t="s">
        <v>903</v>
      </c>
      <c r="I529" s="386">
        <f>I530</f>
        <v>428.4</v>
      </c>
      <c r="J529" s="164">
        <f>J530</f>
        <v>385.4</v>
      </c>
      <c r="K529" s="164">
        <f>K530</f>
        <v>385.4</v>
      </c>
      <c r="L529" s="165">
        <f>L530</f>
        <v>20</v>
      </c>
      <c r="M529" s="163" t="s">
        <v>903</v>
      </c>
      <c r="N529" s="163" t="s">
        <v>903</v>
      </c>
      <c r="O529" s="166" t="s">
        <v>903</v>
      </c>
      <c r="P529" s="387">
        <v>1241065.97</v>
      </c>
      <c r="Q529" s="167">
        <f>Q530</f>
        <v>0</v>
      </c>
      <c r="R529" s="167">
        <f>R530</f>
        <v>0</v>
      </c>
      <c r="S529" s="167">
        <f>S530</f>
        <v>1241065.97</v>
      </c>
      <c r="T529" s="387">
        <f t="shared" si="162"/>
        <v>2896.9793884220358</v>
      </c>
      <c r="U529" s="387">
        <f>U530</f>
        <v>5271.9080765639592</v>
      </c>
      <c r="V529" s="149">
        <f t="shared" si="154"/>
        <v>2374.9286881419234</v>
      </c>
      <c r="W529" s="149"/>
      <c r="X529" s="149"/>
      <c r="Y529" s="368"/>
      <c r="Z529" s="368"/>
      <c r="AA529" s="368"/>
      <c r="AB529" s="368"/>
      <c r="AC529" s="368"/>
      <c r="AD529" s="368"/>
      <c r="AE529" s="368"/>
      <c r="AF529" s="368"/>
      <c r="AG529" s="368"/>
      <c r="AH529" s="368"/>
      <c r="AI529" s="368"/>
      <c r="AJ529" s="368"/>
      <c r="AK529" s="368"/>
      <c r="AL529" s="368"/>
      <c r="AM529" s="368"/>
      <c r="AN529" s="368"/>
      <c r="AO529" s="368"/>
    </row>
    <row r="530" spans="1:41" s="152" customFormat="1" ht="36" customHeight="1" x14ac:dyDescent="0.9">
      <c r="A530" s="152">
        <v>1</v>
      </c>
      <c r="B530" s="90">
        <f>SUBTOTAL(103,$A$16:A530)</f>
        <v>453</v>
      </c>
      <c r="C530" s="89" t="s">
        <v>187</v>
      </c>
      <c r="D530" s="163" t="s">
        <v>310</v>
      </c>
      <c r="E530" s="163"/>
      <c r="F530" s="168" t="s">
        <v>270</v>
      </c>
      <c r="G530" s="163" t="s">
        <v>307</v>
      </c>
      <c r="H530" s="163" t="s">
        <v>307</v>
      </c>
      <c r="I530" s="167">
        <v>428.4</v>
      </c>
      <c r="J530" s="167">
        <v>385.4</v>
      </c>
      <c r="K530" s="167">
        <v>385.4</v>
      </c>
      <c r="L530" s="165">
        <v>20</v>
      </c>
      <c r="M530" s="163" t="s">
        <v>268</v>
      </c>
      <c r="N530" s="163" t="s">
        <v>269</v>
      </c>
      <c r="O530" s="166" t="s">
        <v>271</v>
      </c>
      <c r="P530" s="167">
        <v>1241065.97</v>
      </c>
      <c r="Q530" s="167">
        <v>0</v>
      </c>
      <c r="R530" s="167">
        <v>0</v>
      </c>
      <c r="S530" s="167">
        <f>P530-Q530-R530</f>
        <v>1241065.97</v>
      </c>
      <c r="T530" s="167">
        <f t="shared" si="162"/>
        <v>2896.9793884220358</v>
      </c>
      <c r="U530" s="167">
        <v>5271.9080765639592</v>
      </c>
      <c r="V530" s="149">
        <f>U530-T530</f>
        <v>2374.9286881419234</v>
      </c>
      <c r="W530" s="149">
        <f>X530+Y530+Z530+AA530+AB530+AD530+AF530+AH530+AJ530+AL530+AN530+AO530</f>
        <v>5271.9080765639592</v>
      </c>
      <c r="X530" s="149">
        <v>0</v>
      </c>
      <c r="Y530" s="368">
        <v>0</v>
      </c>
      <c r="Z530" s="368">
        <v>0</v>
      </c>
      <c r="AA530" s="368">
        <v>0</v>
      </c>
      <c r="AB530" s="368">
        <v>0</v>
      </c>
      <c r="AC530" s="368">
        <v>0</v>
      </c>
      <c r="AD530" s="368">
        <v>0</v>
      </c>
      <c r="AE530" s="368">
        <v>362</v>
      </c>
      <c r="AF530" s="396">
        <f>6238.91*AE530/I530</f>
        <v>5271.9080765639592</v>
      </c>
      <c r="AG530" s="368">
        <v>0</v>
      </c>
      <c r="AH530" s="396">
        <v>0</v>
      </c>
      <c r="AI530" s="368">
        <v>0</v>
      </c>
      <c r="AJ530" s="396">
        <v>0</v>
      </c>
      <c r="AK530" s="368">
        <v>0</v>
      </c>
      <c r="AL530" s="368">
        <v>0</v>
      </c>
      <c r="AM530" s="368">
        <v>0</v>
      </c>
      <c r="AN530" s="368"/>
      <c r="AO530" s="368">
        <v>0</v>
      </c>
    </row>
    <row r="531" spans="1:41" s="152" customFormat="1" ht="36" customHeight="1" x14ac:dyDescent="0.9">
      <c r="B531" s="382" t="s">
        <v>875</v>
      </c>
      <c r="C531" s="388"/>
      <c r="D531" s="384" t="s">
        <v>903</v>
      </c>
      <c r="E531" s="163" t="s">
        <v>903</v>
      </c>
      <c r="F531" s="384" t="s">
        <v>903</v>
      </c>
      <c r="G531" s="384" t="s">
        <v>903</v>
      </c>
      <c r="H531" s="163" t="s">
        <v>903</v>
      </c>
      <c r="I531" s="386">
        <f>SUM(I532:I539)</f>
        <v>11982.299999999997</v>
      </c>
      <c r="J531" s="164">
        <f>SUM(J532:J539)</f>
        <v>9878.380000000001</v>
      </c>
      <c r="K531" s="164">
        <f>SUM(K532:K539)</f>
        <v>8520.4000000000015</v>
      </c>
      <c r="L531" s="165">
        <f>SUM(L532:L539)</f>
        <v>561</v>
      </c>
      <c r="M531" s="163" t="s">
        <v>903</v>
      </c>
      <c r="N531" s="163" t="s">
        <v>903</v>
      </c>
      <c r="O531" s="166" t="s">
        <v>903</v>
      </c>
      <c r="P531" s="386">
        <v>16754328.49</v>
      </c>
      <c r="Q531" s="164">
        <f>SUM(Q532:Q539)</f>
        <v>0</v>
      </c>
      <c r="R531" s="164">
        <f>SUM(R532:R539)</f>
        <v>0</v>
      </c>
      <c r="S531" s="164">
        <f>SUM(S532:S539)</f>
        <v>16754328.49</v>
      </c>
      <c r="T531" s="387">
        <f t="shared" si="162"/>
        <v>1398.2564691252935</v>
      </c>
      <c r="U531" s="387">
        <f>MAX(U532:U539)</f>
        <v>3675.0040081695179</v>
      </c>
      <c r="V531" s="149">
        <f t="shared" si="154"/>
        <v>2276.7475390442241</v>
      </c>
      <c r="W531" s="149"/>
      <c r="X531" s="149"/>
      <c r="Y531" s="368"/>
      <c r="Z531" s="368"/>
      <c r="AA531" s="368"/>
      <c r="AB531" s="368"/>
      <c r="AC531" s="368"/>
      <c r="AD531" s="368"/>
      <c r="AE531" s="368"/>
      <c r="AF531" s="368"/>
      <c r="AG531" s="368"/>
      <c r="AH531" s="368"/>
      <c r="AI531" s="368"/>
      <c r="AJ531" s="368"/>
      <c r="AK531" s="368"/>
      <c r="AL531" s="368"/>
      <c r="AM531" s="368"/>
      <c r="AN531" s="368"/>
      <c r="AO531" s="368"/>
    </row>
    <row r="532" spans="1:41" s="152" customFormat="1" ht="36" customHeight="1" x14ac:dyDescent="0.9">
      <c r="A532" s="152">
        <v>1</v>
      </c>
      <c r="B532" s="90">
        <f>SUBTOTAL(103,$A$16:A532)</f>
        <v>454</v>
      </c>
      <c r="C532" s="89" t="s">
        <v>218</v>
      </c>
      <c r="D532" s="163">
        <v>1974</v>
      </c>
      <c r="E532" s="163"/>
      <c r="F532" s="168" t="s">
        <v>270</v>
      </c>
      <c r="G532" s="163">
        <v>5</v>
      </c>
      <c r="H532" s="163">
        <v>4</v>
      </c>
      <c r="I532" s="167">
        <v>3601.7</v>
      </c>
      <c r="J532" s="167">
        <v>3307.8</v>
      </c>
      <c r="K532" s="167">
        <v>3214.4</v>
      </c>
      <c r="L532" s="165">
        <v>129</v>
      </c>
      <c r="M532" s="163" t="s">
        <v>268</v>
      </c>
      <c r="N532" s="163" t="s">
        <v>272</v>
      </c>
      <c r="O532" s="166" t="s">
        <v>336</v>
      </c>
      <c r="P532" s="167">
        <v>5882102.4900000002</v>
      </c>
      <c r="Q532" s="167">
        <v>0</v>
      </c>
      <c r="R532" s="167">
        <v>0</v>
      </c>
      <c r="S532" s="167">
        <f t="shared" ref="S532:S537" si="175">P532-Q532-R532</f>
        <v>5882102.4900000002</v>
      </c>
      <c r="T532" s="167">
        <f t="shared" si="162"/>
        <v>1633.1461504289643</v>
      </c>
      <c r="U532" s="167">
        <v>1831.0699374462058</v>
      </c>
      <c r="V532" s="149">
        <f t="shared" si="154"/>
        <v>197.92378701724147</v>
      </c>
      <c r="W532" s="149">
        <f t="shared" ref="W532:W536" si="176">X532+Y532+Z532+AA532+AB532+AD532+AF532+AH532+AJ532+AL532+AN532+AO532</f>
        <v>1831.0699374462058</v>
      </c>
      <c r="X532" s="149">
        <v>0</v>
      </c>
      <c r="Y532" s="368">
        <v>0</v>
      </c>
      <c r="Z532" s="368">
        <v>0</v>
      </c>
      <c r="AA532" s="368">
        <v>0</v>
      </c>
      <c r="AB532" s="368">
        <v>0</v>
      </c>
      <c r="AC532" s="368">
        <v>0</v>
      </c>
      <c r="AD532" s="368">
        <v>0</v>
      </c>
      <c r="AE532" s="368">
        <v>1057.07</v>
      </c>
      <c r="AF532" s="396">
        <f>6238.91*AE532/I532</f>
        <v>1831.0699374462058</v>
      </c>
      <c r="AG532" s="368">
        <v>0</v>
      </c>
      <c r="AH532" s="396">
        <v>0</v>
      </c>
      <c r="AI532" s="368">
        <v>0</v>
      </c>
      <c r="AJ532" s="396">
        <v>0</v>
      </c>
      <c r="AK532" s="368">
        <v>0</v>
      </c>
      <c r="AL532" s="368">
        <v>0</v>
      </c>
      <c r="AM532" s="368">
        <v>0</v>
      </c>
      <c r="AN532" s="368"/>
      <c r="AO532" s="368">
        <v>0</v>
      </c>
    </row>
    <row r="533" spans="1:41" s="152" customFormat="1" ht="36" customHeight="1" x14ac:dyDescent="0.9">
      <c r="A533" s="152">
        <v>1</v>
      </c>
      <c r="B533" s="90">
        <f>SUBTOTAL(103,$A$16:A533)</f>
        <v>455</v>
      </c>
      <c r="C533" s="89" t="s">
        <v>1288</v>
      </c>
      <c r="D533" s="163">
        <v>1967</v>
      </c>
      <c r="E533" s="163"/>
      <c r="F533" s="168" t="s">
        <v>270</v>
      </c>
      <c r="G533" s="163">
        <v>4</v>
      </c>
      <c r="H533" s="163">
        <v>2</v>
      </c>
      <c r="I533" s="167">
        <v>2162.6999999999998</v>
      </c>
      <c r="J533" s="167">
        <v>1343.3</v>
      </c>
      <c r="K533" s="167">
        <v>620.5</v>
      </c>
      <c r="L533" s="165">
        <v>138</v>
      </c>
      <c r="M533" s="163" t="s">
        <v>268</v>
      </c>
      <c r="N533" s="163" t="s">
        <v>272</v>
      </c>
      <c r="O533" s="166" t="s">
        <v>1316</v>
      </c>
      <c r="P533" s="167">
        <v>3950361.98</v>
      </c>
      <c r="Q533" s="167">
        <v>0</v>
      </c>
      <c r="R533" s="167">
        <v>0</v>
      </c>
      <c r="S533" s="167">
        <f t="shared" si="175"/>
        <v>3950361.98</v>
      </c>
      <c r="T533" s="167">
        <f t="shared" si="162"/>
        <v>1826.588051972072</v>
      </c>
      <c r="U533" s="167">
        <v>3259.66</v>
      </c>
      <c r="V533" s="149">
        <f t="shared" ref="V533:V539" si="177">U533-T533</f>
        <v>1433.0719480279279</v>
      </c>
      <c r="W533" s="149">
        <f t="shared" si="176"/>
        <v>3259.66</v>
      </c>
      <c r="X533" s="149">
        <v>0</v>
      </c>
      <c r="Y533" s="368">
        <v>0</v>
      </c>
      <c r="Z533" s="368">
        <v>3259.66</v>
      </c>
      <c r="AA533" s="368">
        <v>0</v>
      </c>
      <c r="AB533" s="368">
        <v>0</v>
      </c>
      <c r="AC533" s="368">
        <v>0</v>
      </c>
      <c r="AD533" s="368">
        <v>0</v>
      </c>
      <c r="AE533" s="368">
        <v>0</v>
      </c>
      <c r="AF533" s="396">
        <v>0</v>
      </c>
      <c r="AG533" s="368">
        <v>0</v>
      </c>
      <c r="AH533" s="396">
        <v>0</v>
      </c>
      <c r="AI533" s="368">
        <v>0</v>
      </c>
      <c r="AJ533" s="396">
        <v>0</v>
      </c>
      <c r="AK533" s="368">
        <v>0</v>
      </c>
      <c r="AL533" s="368">
        <v>0</v>
      </c>
      <c r="AM533" s="368">
        <v>0</v>
      </c>
      <c r="AN533" s="368"/>
      <c r="AO533" s="368">
        <v>0</v>
      </c>
    </row>
    <row r="534" spans="1:41" s="152" customFormat="1" ht="36" customHeight="1" x14ac:dyDescent="0.9">
      <c r="A534" s="152">
        <v>1</v>
      </c>
      <c r="B534" s="90">
        <f>SUBTOTAL(103,$A$16:A534)</f>
        <v>456</v>
      </c>
      <c r="C534" s="89" t="s">
        <v>1289</v>
      </c>
      <c r="D534" s="163">
        <v>1980</v>
      </c>
      <c r="E534" s="163"/>
      <c r="F534" s="168" t="s">
        <v>270</v>
      </c>
      <c r="G534" s="163">
        <v>2</v>
      </c>
      <c r="H534" s="163">
        <v>3</v>
      </c>
      <c r="I534" s="167">
        <v>952.3</v>
      </c>
      <c r="J534" s="167">
        <v>869.8</v>
      </c>
      <c r="K534" s="167">
        <v>754.7</v>
      </c>
      <c r="L534" s="165">
        <v>47</v>
      </c>
      <c r="M534" s="163" t="s">
        <v>268</v>
      </c>
      <c r="N534" s="163" t="s">
        <v>272</v>
      </c>
      <c r="O534" s="166" t="s">
        <v>1316</v>
      </c>
      <c r="P534" s="167">
        <v>229229.19</v>
      </c>
      <c r="Q534" s="167">
        <v>0</v>
      </c>
      <c r="R534" s="167">
        <v>0</v>
      </c>
      <c r="S534" s="167">
        <f t="shared" si="175"/>
        <v>229229.19</v>
      </c>
      <c r="T534" s="167">
        <f t="shared" si="162"/>
        <v>240.71110994434528</v>
      </c>
      <c r="U534" s="167">
        <v>3259.66</v>
      </c>
      <c r="V534" s="149">
        <f t="shared" si="177"/>
        <v>3018.9488900556544</v>
      </c>
      <c r="W534" s="149">
        <f t="shared" si="176"/>
        <v>3259.66</v>
      </c>
      <c r="X534" s="149">
        <v>0</v>
      </c>
      <c r="Y534" s="368">
        <v>0</v>
      </c>
      <c r="Z534" s="368">
        <v>3259.66</v>
      </c>
      <c r="AA534" s="368">
        <v>0</v>
      </c>
      <c r="AB534" s="368">
        <v>0</v>
      </c>
      <c r="AC534" s="368">
        <v>0</v>
      </c>
      <c r="AD534" s="368">
        <v>0</v>
      </c>
      <c r="AE534" s="368">
        <v>0</v>
      </c>
      <c r="AF534" s="396">
        <v>0</v>
      </c>
      <c r="AG534" s="368">
        <v>0</v>
      </c>
      <c r="AH534" s="396">
        <v>0</v>
      </c>
      <c r="AI534" s="368">
        <v>0</v>
      </c>
      <c r="AJ534" s="396">
        <v>0</v>
      </c>
      <c r="AK534" s="368">
        <v>0</v>
      </c>
      <c r="AL534" s="368">
        <v>0</v>
      </c>
      <c r="AM534" s="368">
        <v>0</v>
      </c>
      <c r="AN534" s="368"/>
      <c r="AO534" s="368">
        <v>0</v>
      </c>
    </row>
    <row r="535" spans="1:41" s="152" customFormat="1" ht="36" customHeight="1" x14ac:dyDescent="0.9">
      <c r="A535" s="152">
        <v>1</v>
      </c>
      <c r="B535" s="90">
        <f>SUBTOTAL(103,$A$16:A535)</f>
        <v>457</v>
      </c>
      <c r="C535" s="89" t="s">
        <v>1290</v>
      </c>
      <c r="D535" s="163">
        <v>1967</v>
      </c>
      <c r="E535" s="163"/>
      <c r="F535" s="168" t="s">
        <v>270</v>
      </c>
      <c r="G535" s="163">
        <v>2</v>
      </c>
      <c r="H535" s="163">
        <v>2</v>
      </c>
      <c r="I535" s="167">
        <v>783.4</v>
      </c>
      <c r="J535" s="167">
        <v>725.6</v>
      </c>
      <c r="K535" s="167">
        <v>680.1</v>
      </c>
      <c r="L535" s="165">
        <v>35</v>
      </c>
      <c r="M535" s="163" t="s">
        <v>268</v>
      </c>
      <c r="N535" s="163" t="s">
        <v>272</v>
      </c>
      <c r="O535" s="166" t="s">
        <v>1316</v>
      </c>
      <c r="P535" s="167">
        <v>2878998.14</v>
      </c>
      <c r="Q535" s="167">
        <v>0</v>
      </c>
      <c r="R535" s="167">
        <v>0</v>
      </c>
      <c r="S535" s="167">
        <f t="shared" si="175"/>
        <v>2878998.14</v>
      </c>
      <c r="T535" s="167">
        <f t="shared" si="162"/>
        <v>3675.0040081695179</v>
      </c>
      <c r="U535" s="167">
        <v>3675.0040081695179</v>
      </c>
      <c r="V535" s="149">
        <f t="shared" si="177"/>
        <v>0</v>
      </c>
      <c r="W535" s="149">
        <f>T535</f>
        <v>3675.0040081695179</v>
      </c>
      <c r="X535" s="149">
        <v>0</v>
      </c>
      <c r="Y535" s="368">
        <v>0</v>
      </c>
      <c r="Z535" s="368">
        <v>3626.97</v>
      </c>
      <c r="AA535" s="368">
        <v>0</v>
      </c>
      <c r="AB535" s="368">
        <v>0</v>
      </c>
      <c r="AC535" s="368">
        <v>0</v>
      </c>
      <c r="AD535" s="368">
        <v>0</v>
      </c>
      <c r="AE535" s="368">
        <v>0</v>
      </c>
      <c r="AF535" s="396">
        <v>0</v>
      </c>
      <c r="AG535" s="368">
        <v>0</v>
      </c>
      <c r="AH535" s="396">
        <v>0</v>
      </c>
      <c r="AI535" s="368">
        <v>0</v>
      </c>
      <c r="AJ535" s="396">
        <v>0</v>
      </c>
      <c r="AK535" s="368">
        <v>0</v>
      </c>
      <c r="AL535" s="368">
        <v>0</v>
      </c>
      <c r="AM535" s="368">
        <v>0</v>
      </c>
      <c r="AN535" s="368"/>
      <c r="AO535" s="368">
        <v>0</v>
      </c>
    </row>
    <row r="536" spans="1:41" s="152" customFormat="1" ht="36" customHeight="1" x14ac:dyDescent="0.9">
      <c r="A536" s="152">
        <v>1</v>
      </c>
      <c r="B536" s="90">
        <f>SUBTOTAL(103,$A$16:A536)</f>
        <v>458</v>
      </c>
      <c r="C536" s="89" t="s">
        <v>1291</v>
      </c>
      <c r="D536" s="163">
        <v>1964</v>
      </c>
      <c r="E536" s="163"/>
      <c r="F536" s="168" t="s">
        <v>270</v>
      </c>
      <c r="G536" s="163">
        <v>2</v>
      </c>
      <c r="H536" s="163">
        <v>4</v>
      </c>
      <c r="I536" s="167">
        <v>1833.6</v>
      </c>
      <c r="J536" s="167">
        <v>1215.3800000000001</v>
      </c>
      <c r="K536" s="167">
        <v>986.3</v>
      </c>
      <c r="L536" s="165">
        <v>109</v>
      </c>
      <c r="M536" s="163" t="s">
        <v>268</v>
      </c>
      <c r="N536" s="163" t="s">
        <v>272</v>
      </c>
      <c r="O536" s="166" t="s">
        <v>1316</v>
      </c>
      <c r="P536" s="167">
        <v>3594054.31</v>
      </c>
      <c r="Q536" s="167">
        <v>0</v>
      </c>
      <c r="R536" s="167">
        <v>0</v>
      </c>
      <c r="S536" s="167">
        <f t="shared" si="175"/>
        <v>3594054.31</v>
      </c>
      <c r="T536" s="167">
        <f t="shared" si="162"/>
        <v>1960.1081533595116</v>
      </c>
      <c r="U536" s="167">
        <v>3259.66</v>
      </c>
      <c r="V536" s="149">
        <f t="shared" si="177"/>
        <v>1299.5518466404883</v>
      </c>
      <c r="W536" s="149">
        <f t="shared" si="176"/>
        <v>3259.66</v>
      </c>
      <c r="X536" s="149">
        <v>0</v>
      </c>
      <c r="Y536" s="368">
        <v>0</v>
      </c>
      <c r="Z536" s="368">
        <v>3259.66</v>
      </c>
      <c r="AA536" s="368">
        <v>0</v>
      </c>
      <c r="AB536" s="368">
        <v>0</v>
      </c>
      <c r="AC536" s="368">
        <v>0</v>
      </c>
      <c r="AD536" s="368">
        <v>0</v>
      </c>
      <c r="AE536" s="368">
        <v>0</v>
      </c>
      <c r="AF536" s="396">
        <v>0</v>
      </c>
      <c r="AG536" s="368">
        <v>0</v>
      </c>
      <c r="AH536" s="396">
        <v>0</v>
      </c>
      <c r="AI536" s="368">
        <v>0</v>
      </c>
      <c r="AJ536" s="396">
        <v>0</v>
      </c>
      <c r="AK536" s="368">
        <v>0</v>
      </c>
      <c r="AL536" s="368">
        <v>0</v>
      </c>
      <c r="AM536" s="368">
        <v>0</v>
      </c>
      <c r="AN536" s="368"/>
      <c r="AO536" s="368">
        <v>0</v>
      </c>
    </row>
    <row r="537" spans="1:41" s="152" customFormat="1" ht="36" customHeight="1" x14ac:dyDescent="0.9">
      <c r="A537" s="152">
        <v>1</v>
      </c>
      <c r="B537" s="90">
        <f>SUBTOTAL(103,$A$16:A537)</f>
        <v>459</v>
      </c>
      <c r="C537" s="358" t="s">
        <v>219</v>
      </c>
      <c r="D537" s="355">
        <v>1992</v>
      </c>
      <c r="E537" s="355"/>
      <c r="F537" s="357" t="s">
        <v>315</v>
      </c>
      <c r="G537" s="355">
        <v>2</v>
      </c>
      <c r="H537" s="355">
        <v>2</v>
      </c>
      <c r="I537" s="353">
        <v>690.3</v>
      </c>
      <c r="J537" s="353">
        <v>630.29999999999995</v>
      </c>
      <c r="K537" s="353">
        <v>630.29999999999995</v>
      </c>
      <c r="L537" s="356">
        <v>25</v>
      </c>
      <c r="M537" s="355" t="s">
        <v>268</v>
      </c>
      <c r="N537" s="355" t="s">
        <v>272</v>
      </c>
      <c r="O537" s="354" t="s">
        <v>336</v>
      </c>
      <c r="P537" s="353">
        <v>68684.36</v>
      </c>
      <c r="Q537" s="353">
        <v>0</v>
      </c>
      <c r="R537" s="353">
        <v>0</v>
      </c>
      <c r="S537" s="353">
        <f t="shared" si="175"/>
        <v>68684.36</v>
      </c>
      <c r="T537" s="167">
        <f t="shared" si="162"/>
        <v>99.499290163696955</v>
      </c>
      <c r="U537" s="167">
        <v>99.499290163696955</v>
      </c>
      <c r="V537" s="149">
        <f t="shared" si="177"/>
        <v>0</v>
      </c>
      <c r="W537" s="149">
        <f t="shared" ref="W537:W539" si="178">T537</f>
        <v>99.499290163696955</v>
      </c>
      <c r="X537" s="149">
        <v>0</v>
      </c>
      <c r="Y537" s="368">
        <v>0</v>
      </c>
      <c r="Z537" s="368">
        <v>0</v>
      </c>
      <c r="AA537" s="368">
        <v>0</v>
      </c>
      <c r="AB537" s="368">
        <v>0</v>
      </c>
      <c r="AC537" s="368">
        <v>0</v>
      </c>
      <c r="AD537" s="368">
        <v>0</v>
      </c>
      <c r="AE537" s="368">
        <v>0</v>
      </c>
      <c r="AF537" s="396">
        <v>0</v>
      </c>
      <c r="AG537" s="368">
        <v>0</v>
      </c>
      <c r="AH537" s="396">
        <v>0</v>
      </c>
      <c r="AI537" s="368">
        <v>0</v>
      </c>
      <c r="AJ537" s="396">
        <v>0</v>
      </c>
      <c r="AK537" s="368">
        <v>0</v>
      </c>
      <c r="AL537" s="368">
        <v>0</v>
      </c>
      <c r="AM537" s="368">
        <v>0</v>
      </c>
      <c r="AN537" s="368"/>
      <c r="AO537" s="368">
        <v>0</v>
      </c>
    </row>
    <row r="538" spans="1:41" s="152" customFormat="1" ht="36" customHeight="1" x14ac:dyDescent="0.9">
      <c r="A538" s="152">
        <v>1</v>
      </c>
      <c r="B538" s="90">
        <f>SUBTOTAL(103,$A$16:A538)</f>
        <v>460</v>
      </c>
      <c r="C538" s="89" t="s">
        <v>1581</v>
      </c>
      <c r="D538" s="163">
        <v>1981</v>
      </c>
      <c r="E538" s="163"/>
      <c r="F538" s="168" t="s">
        <v>1596</v>
      </c>
      <c r="G538" s="163">
        <v>2</v>
      </c>
      <c r="H538" s="163">
        <v>3</v>
      </c>
      <c r="I538" s="167">
        <v>922.9</v>
      </c>
      <c r="J538" s="167">
        <v>838.7</v>
      </c>
      <c r="K538" s="167">
        <f>J538</f>
        <v>838.7</v>
      </c>
      <c r="L538" s="165">
        <v>43</v>
      </c>
      <c r="M538" s="163" t="s">
        <v>268</v>
      </c>
      <c r="N538" s="163" t="s">
        <v>269</v>
      </c>
      <c r="O538" s="166" t="s">
        <v>271</v>
      </c>
      <c r="P538" s="167">
        <v>73035.08</v>
      </c>
      <c r="Q538" s="167">
        <v>0</v>
      </c>
      <c r="R538" s="167">
        <v>0</v>
      </c>
      <c r="S538" s="167">
        <f>P538-R538-Q538</f>
        <v>73035.08</v>
      </c>
      <c r="T538" s="167">
        <f t="shared" si="162"/>
        <v>79.13650449669521</v>
      </c>
      <c r="U538" s="167">
        <v>79.13650449669521</v>
      </c>
      <c r="V538" s="149">
        <f t="shared" si="177"/>
        <v>0</v>
      </c>
      <c r="W538" s="149">
        <f t="shared" si="178"/>
        <v>79.13650449669521</v>
      </c>
      <c r="X538" s="149">
        <v>0</v>
      </c>
      <c r="Y538" s="368">
        <v>0</v>
      </c>
      <c r="Z538" s="368">
        <v>0</v>
      </c>
      <c r="AA538" s="368">
        <v>0</v>
      </c>
      <c r="AB538" s="368">
        <v>0</v>
      </c>
      <c r="AC538" s="368">
        <v>0</v>
      </c>
      <c r="AD538" s="368">
        <v>0</v>
      </c>
      <c r="AE538" s="368">
        <v>0</v>
      </c>
      <c r="AF538" s="396">
        <v>0</v>
      </c>
      <c r="AG538" s="368">
        <v>0</v>
      </c>
      <c r="AH538" s="396">
        <v>0</v>
      </c>
      <c r="AI538" s="368">
        <v>0</v>
      </c>
      <c r="AJ538" s="396">
        <v>0</v>
      </c>
      <c r="AK538" s="368">
        <v>0</v>
      </c>
      <c r="AL538" s="368">
        <v>0</v>
      </c>
      <c r="AM538" s="368">
        <v>0</v>
      </c>
      <c r="AN538" s="368"/>
      <c r="AO538" s="368">
        <v>0</v>
      </c>
    </row>
    <row r="539" spans="1:41" s="152" customFormat="1" ht="36" customHeight="1" x14ac:dyDescent="0.9">
      <c r="A539" s="152">
        <v>1</v>
      </c>
      <c r="B539" s="90">
        <f>SUBTOTAL(103,$A$16:A539)</f>
        <v>461</v>
      </c>
      <c r="C539" s="89" t="s">
        <v>1582</v>
      </c>
      <c r="D539" s="163">
        <v>1980</v>
      </c>
      <c r="E539" s="163"/>
      <c r="F539" s="168" t="s">
        <v>1596</v>
      </c>
      <c r="G539" s="163">
        <v>2</v>
      </c>
      <c r="H539" s="163">
        <v>3</v>
      </c>
      <c r="I539" s="167">
        <v>1035.4000000000001</v>
      </c>
      <c r="J539" s="167">
        <v>947.5</v>
      </c>
      <c r="K539" s="167">
        <f>J539-152.1</f>
        <v>795.4</v>
      </c>
      <c r="L539" s="165">
        <v>35</v>
      </c>
      <c r="M539" s="163" t="s">
        <v>268</v>
      </c>
      <c r="N539" s="163" t="s">
        <v>269</v>
      </c>
      <c r="O539" s="166" t="s">
        <v>271</v>
      </c>
      <c r="P539" s="167">
        <v>77862.94</v>
      </c>
      <c r="Q539" s="167">
        <v>0</v>
      </c>
      <c r="R539" s="167">
        <v>0</v>
      </c>
      <c r="S539" s="167">
        <f>P539-R539-Q539</f>
        <v>77862.94</v>
      </c>
      <c r="T539" s="167">
        <f t="shared" si="162"/>
        <v>75.200830596870773</v>
      </c>
      <c r="U539" s="167">
        <v>75.200830596870773</v>
      </c>
      <c r="V539" s="149">
        <f t="shared" si="177"/>
        <v>0</v>
      </c>
      <c r="W539" s="149">
        <f t="shared" si="178"/>
        <v>75.200830596870773</v>
      </c>
      <c r="X539" s="149">
        <v>0</v>
      </c>
      <c r="Y539" s="368">
        <v>0</v>
      </c>
      <c r="Z539" s="368">
        <v>0</v>
      </c>
      <c r="AA539" s="368">
        <v>0</v>
      </c>
      <c r="AB539" s="368">
        <v>0</v>
      </c>
      <c r="AC539" s="368">
        <v>0</v>
      </c>
      <c r="AD539" s="368">
        <v>0</v>
      </c>
      <c r="AE539" s="368">
        <v>0</v>
      </c>
      <c r="AF539" s="396">
        <v>0</v>
      </c>
      <c r="AG539" s="368">
        <v>0</v>
      </c>
      <c r="AH539" s="396">
        <v>0</v>
      </c>
      <c r="AI539" s="368">
        <v>0</v>
      </c>
      <c r="AJ539" s="396">
        <v>0</v>
      </c>
      <c r="AK539" s="368">
        <v>0</v>
      </c>
      <c r="AL539" s="368">
        <v>0</v>
      </c>
      <c r="AM539" s="368">
        <v>0</v>
      </c>
      <c r="AN539" s="368"/>
      <c r="AO539" s="368">
        <v>0</v>
      </c>
    </row>
    <row r="540" spans="1:41" s="152" customFormat="1" ht="36" customHeight="1" x14ac:dyDescent="0.9">
      <c r="B540" s="382" t="s">
        <v>876</v>
      </c>
      <c r="C540" s="382"/>
      <c r="D540" s="384" t="s">
        <v>903</v>
      </c>
      <c r="E540" s="163" t="s">
        <v>903</v>
      </c>
      <c r="F540" s="384" t="s">
        <v>903</v>
      </c>
      <c r="G540" s="384" t="s">
        <v>903</v>
      </c>
      <c r="H540" s="163" t="s">
        <v>903</v>
      </c>
      <c r="I540" s="386">
        <f>SUM(I541:I545)</f>
        <v>3295.2</v>
      </c>
      <c r="J540" s="164">
        <f>SUM(J541:J545)</f>
        <v>2918.8999999999996</v>
      </c>
      <c r="K540" s="164">
        <f>SUM(K541:K545)</f>
        <v>2901.2</v>
      </c>
      <c r="L540" s="165">
        <f>SUM(L541:L545)</f>
        <v>81</v>
      </c>
      <c r="M540" s="163" t="s">
        <v>903</v>
      </c>
      <c r="N540" s="163" t="s">
        <v>903</v>
      </c>
      <c r="O540" s="166" t="s">
        <v>903</v>
      </c>
      <c r="P540" s="387">
        <v>7943688.4699999997</v>
      </c>
      <c r="Q540" s="167">
        <f>SUM(Q541:Q545)</f>
        <v>0</v>
      </c>
      <c r="R540" s="167">
        <f>SUM(R541:R545)</f>
        <v>0</v>
      </c>
      <c r="S540" s="167">
        <f>SUM(S541:S545)</f>
        <v>7943688.4699999997</v>
      </c>
      <c r="T540" s="387">
        <f t="shared" si="162"/>
        <v>2410.6847748239866</v>
      </c>
      <c r="U540" s="387">
        <f>MAX(U541:U545)</f>
        <v>4967.6819032175026</v>
      </c>
      <c r="V540" s="149">
        <f t="shared" ref="V540:V596" si="179">U540-T540</f>
        <v>2556.997128393516</v>
      </c>
      <c r="W540" s="149"/>
      <c r="X540" s="149"/>
      <c r="Y540" s="368"/>
      <c r="Z540" s="368"/>
      <c r="AA540" s="368"/>
      <c r="AB540" s="368"/>
      <c r="AC540" s="368"/>
      <c r="AD540" s="368"/>
      <c r="AE540" s="368"/>
      <c r="AF540" s="368"/>
      <c r="AG540" s="368"/>
      <c r="AH540" s="368"/>
      <c r="AI540" s="368"/>
      <c r="AJ540" s="368"/>
      <c r="AK540" s="368"/>
      <c r="AL540" s="368"/>
      <c r="AM540" s="368"/>
      <c r="AN540" s="368"/>
      <c r="AO540" s="368"/>
    </row>
    <row r="541" spans="1:41" s="152" customFormat="1" ht="36" customHeight="1" x14ac:dyDescent="0.9">
      <c r="A541" s="152">
        <v>1</v>
      </c>
      <c r="B541" s="90">
        <f>SUBTOTAL(103,$A$16:A541)</f>
        <v>462</v>
      </c>
      <c r="C541" s="89" t="s">
        <v>221</v>
      </c>
      <c r="D541" s="163">
        <v>1973</v>
      </c>
      <c r="E541" s="163"/>
      <c r="F541" s="168" t="s">
        <v>270</v>
      </c>
      <c r="G541" s="163">
        <v>2</v>
      </c>
      <c r="H541" s="163">
        <v>2</v>
      </c>
      <c r="I541" s="167">
        <v>775.5</v>
      </c>
      <c r="J541" s="167">
        <v>715.8</v>
      </c>
      <c r="K541" s="167">
        <v>715.8</v>
      </c>
      <c r="L541" s="165">
        <v>16</v>
      </c>
      <c r="M541" s="163" t="s">
        <v>268</v>
      </c>
      <c r="N541" s="163" t="s">
        <v>272</v>
      </c>
      <c r="O541" s="166" t="s">
        <v>336</v>
      </c>
      <c r="P541" s="167">
        <v>400289.33999999997</v>
      </c>
      <c r="Q541" s="167">
        <v>0</v>
      </c>
      <c r="R541" s="167">
        <v>0</v>
      </c>
      <c r="S541" s="167">
        <f>P541-Q541-R541</f>
        <v>400289.33999999997</v>
      </c>
      <c r="T541" s="167">
        <f>P541/I541</f>
        <v>516.16936170212762</v>
      </c>
      <c r="U541" s="167">
        <v>516.16936170212762</v>
      </c>
      <c r="V541" s="149">
        <f t="shared" si="179"/>
        <v>0</v>
      </c>
      <c r="W541" s="149">
        <f>T541</f>
        <v>516.16936170212762</v>
      </c>
      <c r="X541" s="149">
        <v>0</v>
      </c>
      <c r="Y541" s="368">
        <v>0</v>
      </c>
      <c r="Z541" s="368">
        <v>0</v>
      </c>
      <c r="AA541" s="368">
        <v>184.98</v>
      </c>
      <c r="AB541" s="368">
        <v>0</v>
      </c>
      <c r="AC541" s="368">
        <v>0</v>
      </c>
      <c r="AD541" s="368">
        <v>0</v>
      </c>
      <c r="AE541" s="368">
        <v>0</v>
      </c>
      <c r="AF541" s="396">
        <v>0</v>
      </c>
      <c r="AG541" s="368">
        <v>0</v>
      </c>
      <c r="AH541" s="396">
        <v>0</v>
      </c>
      <c r="AI541" s="368">
        <v>0</v>
      </c>
      <c r="AJ541" s="396">
        <v>0</v>
      </c>
      <c r="AK541" s="368">
        <v>0</v>
      </c>
      <c r="AL541" s="368">
        <v>0</v>
      </c>
      <c r="AM541" s="368">
        <v>0</v>
      </c>
      <c r="AN541" s="368"/>
      <c r="AO541" s="368">
        <v>0</v>
      </c>
    </row>
    <row r="542" spans="1:41" s="152" customFormat="1" ht="36" customHeight="1" x14ac:dyDescent="0.9">
      <c r="A542" s="152">
        <v>1</v>
      </c>
      <c r="B542" s="90">
        <f>SUBTOTAL(103,$A$16:A542)</f>
        <v>463</v>
      </c>
      <c r="C542" s="89" t="s">
        <v>222</v>
      </c>
      <c r="D542" s="163">
        <v>1971</v>
      </c>
      <c r="E542" s="163"/>
      <c r="F542" s="168" t="s">
        <v>270</v>
      </c>
      <c r="G542" s="163">
        <v>2</v>
      </c>
      <c r="H542" s="163">
        <v>2</v>
      </c>
      <c r="I542" s="167">
        <v>777</v>
      </c>
      <c r="J542" s="167">
        <v>718.1</v>
      </c>
      <c r="K542" s="167">
        <v>718.1</v>
      </c>
      <c r="L542" s="165">
        <v>16</v>
      </c>
      <c r="M542" s="163" t="s">
        <v>268</v>
      </c>
      <c r="N542" s="163" t="s">
        <v>272</v>
      </c>
      <c r="O542" s="166" t="s">
        <v>336</v>
      </c>
      <c r="P542" s="167">
        <v>2428621.89</v>
      </c>
      <c r="Q542" s="167">
        <v>0</v>
      </c>
      <c r="R542" s="167">
        <v>0</v>
      </c>
      <c r="S542" s="167">
        <f>P542-Q542-R542</f>
        <v>2428621.89</v>
      </c>
      <c r="T542" s="167">
        <f t="shared" ref="T542:T573" si="180">P542/I542</f>
        <v>3125.6394980694981</v>
      </c>
      <c r="U542" s="167">
        <v>4967.6819032175026</v>
      </c>
      <c r="V542" s="149">
        <f t="shared" si="179"/>
        <v>1842.0424051480045</v>
      </c>
      <c r="W542" s="149">
        <f t="shared" ref="W542:W544" si="181">X542+Y542+Z542+AA542+AB542+AD542+AF542+AH542+AJ542+AL542+AN542+AO542</f>
        <v>4967.6819032175026</v>
      </c>
      <c r="X542" s="149">
        <v>0</v>
      </c>
      <c r="Y542" s="368">
        <v>0</v>
      </c>
      <c r="Z542" s="368">
        <v>0</v>
      </c>
      <c r="AA542" s="368">
        <v>0</v>
      </c>
      <c r="AB542" s="368">
        <v>0</v>
      </c>
      <c r="AC542" s="368">
        <v>0</v>
      </c>
      <c r="AD542" s="368">
        <v>0</v>
      </c>
      <c r="AE542" s="368">
        <v>618.67999999999995</v>
      </c>
      <c r="AF542" s="396">
        <f>6238.91*AE542/I542</f>
        <v>4967.6819032175026</v>
      </c>
      <c r="AG542" s="368">
        <v>0</v>
      </c>
      <c r="AH542" s="396">
        <v>0</v>
      </c>
      <c r="AI542" s="368">
        <v>0</v>
      </c>
      <c r="AJ542" s="396">
        <v>0</v>
      </c>
      <c r="AK542" s="368">
        <v>0</v>
      </c>
      <c r="AL542" s="368">
        <v>0</v>
      </c>
      <c r="AM542" s="368">
        <v>0</v>
      </c>
      <c r="AN542" s="368"/>
      <c r="AO542" s="368">
        <v>0</v>
      </c>
    </row>
    <row r="543" spans="1:41" s="152" customFormat="1" ht="36" customHeight="1" x14ac:dyDescent="0.9">
      <c r="A543" s="152">
        <v>1</v>
      </c>
      <c r="B543" s="90">
        <f>SUBTOTAL(103,$A$16:A543)</f>
        <v>464</v>
      </c>
      <c r="C543" s="89" t="s">
        <v>227</v>
      </c>
      <c r="D543" s="163">
        <v>1978</v>
      </c>
      <c r="E543" s="163"/>
      <c r="F543" s="168" t="s">
        <v>315</v>
      </c>
      <c r="G543" s="163">
        <v>3</v>
      </c>
      <c r="H543" s="163">
        <v>2</v>
      </c>
      <c r="I543" s="167">
        <v>1015.3</v>
      </c>
      <c r="J543" s="167">
        <v>929.3</v>
      </c>
      <c r="K543" s="167">
        <v>929.3</v>
      </c>
      <c r="L543" s="165">
        <v>18</v>
      </c>
      <c r="M543" s="163" t="s">
        <v>268</v>
      </c>
      <c r="N543" s="163" t="s">
        <v>272</v>
      </c>
      <c r="O543" s="166" t="s">
        <v>336</v>
      </c>
      <c r="P543" s="167">
        <v>3498950.9099999997</v>
      </c>
      <c r="Q543" s="167">
        <v>0</v>
      </c>
      <c r="R543" s="167">
        <v>0</v>
      </c>
      <c r="S543" s="167">
        <f>P543-Q543-R543</f>
        <v>3498950.9099999997</v>
      </c>
      <c r="T543" s="167">
        <f t="shared" si="180"/>
        <v>3446.2236875800254</v>
      </c>
      <c r="U543" s="167">
        <v>3446.2236875800254</v>
      </c>
      <c r="V543" s="149">
        <f t="shared" si="179"/>
        <v>0</v>
      </c>
      <c r="W543" s="149">
        <f>T543</f>
        <v>3446.2236875800254</v>
      </c>
      <c r="X543" s="149">
        <v>0</v>
      </c>
      <c r="Y543" s="368">
        <v>0</v>
      </c>
      <c r="Z543" s="368">
        <v>0</v>
      </c>
      <c r="AA543" s="368">
        <v>0</v>
      </c>
      <c r="AB543" s="368">
        <v>0</v>
      </c>
      <c r="AC543" s="368">
        <v>0</v>
      </c>
      <c r="AD543" s="368">
        <v>0</v>
      </c>
      <c r="AE543" s="368">
        <v>0</v>
      </c>
      <c r="AF543" s="396">
        <v>0</v>
      </c>
      <c r="AG543" s="368">
        <v>0</v>
      </c>
      <c r="AH543" s="396">
        <v>0</v>
      </c>
      <c r="AI543" s="368">
        <v>0</v>
      </c>
      <c r="AJ543" s="396">
        <v>0</v>
      </c>
      <c r="AK543" s="368">
        <v>0</v>
      </c>
      <c r="AL543" s="368">
        <v>0</v>
      </c>
      <c r="AM543" s="368">
        <v>384</v>
      </c>
      <c r="AN543" s="368">
        <f>6984.52*AM543/I543</f>
        <v>2641.6386092780463</v>
      </c>
      <c r="AO543" s="368">
        <v>0</v>
      </c>
    </row>
    <row r="544" spans="1:41" s="152" customFormat="1" ht="36" customHeight="1" x14ac:dyDescent="0.9">
      <c r="A544" s="152">
        <v>1</v>
      </c>
      <c r="B544" s="90">
        <f>SUBTOTAL(103,$A$16:A544)</f>
        <v>465</v>
      </c>
      <c r="C544" s="89" t="s">
        <v>1106</v>
      </c>
      <c r="D544" s="163">
        <v>1938</v>
      </c>
      <c r="E544" s="163"/>
      <c r="F544" s="168" t="s">
        <v>334</v>
      </c>
      <c r="G544" s="163">
        <v>2</v>
      </c>
      <c r="H544" s="163">
        <v>1</v>
      </c>
      <c r="I544" s="167">
        <v>369.2</v>
      </c>
      <c r="J544" s="167">
        <v>222.5</v>
      </c>
      <c r="K544" s="167">
        <v>204.8</v>
      </c>
      <c r="L544" s="165">
        <v>16</v>
      </c>
      <c r="M544" s="163" t="s">
        <v>268</v>
      </c>
      <c r="N544" s="163" t="s">
        <v>269</v>
      </c>
      <c r="O544" s="166" t="s">
        <v>271</v>
      </c>
      <c r="P544" s="167">
        <v>931504.03999999992</v>
      </c>
      <c r="Q544" s="167">
        <v>0</v>
      </c>
      <c r="R544" s="167">
        <v>0</v>
      </c>
      <c r="S544" s="167">
        <f>P544-Q544-R544</f>
        <v>931504.03999999992</v>
      </c>
      <c r="T544" s="167">
        <f t="shared" si="180"/>
        <v>2523.0336944745395</v>
      </c>
      <c r="U544" s="167">
        <v>3234.3645016251357</v>
      </c>
      <c r="V544" s="149">
        <f t="shared" si="179"/>
        <v>711.33080715059623</v>
      </c>
      <c r="W544" s="149">
        <f t="shared" si="181"/>
        <v>3234.3645016251357</v>
      </c>
      <c r="X544" s="149">
        <v>0</v>
      </c>
      <c r="Y544" s="368">
        <v>0</v>
      </c>
      <c r="Z544" s="368">
        <v>0</v>
      </c>
      <c r="AA544" s="368">
        <v>0</v>
      </c>
      <c r="AB544" s="368">
        <v>0</v>
      </c>
      <c r="AC544" s="368">
        <v>0</v>
      </c>
      <c r="AD544" s="368">
        <v>0</v>
      </c>
      <c r="AE544" s="368">
        <v>191.4</v>
      </c>
      <c r="AF544" s="396">
        <f>6238.91*AE544/I544</f>
        <v>3234.3645016251357</v>
      </c>
      <c r="AG544" s="368">
        <v>0</v>
      </c>
      <c r="AH544" s="396">
        <v>0</v>
      </c>
      <c r="AI544" s="368">
        <v>0</v>
      </c>
      <c r="AJ544" s="396">
        <v>0</v>
      </c>
      <c r="AK544" s="368">
        <v>0</v>
      </c>
      <c r="AL544" s="368">
        <v>0</v>
      </c>
      <c r="AM544" s="368">
        <v>0</v>
      </c>
      <c r="AN544" s="368"/>
      <c r="AO544" s="368">
        <v>0</v>
      </c>
    </row>
    <row r="545" spans="1:41" s="152" customFormat="1" ht="36" customHeight="1" x14ac:dyDescent="0.9">
      <c r="A545" s="152">
        <v>1</v>
      </c>
      <c r="B545" s="90">
        <f>SUBTOTAL(103,$A$16:A545)</f>
        <v>466</v>
      </c>
      <c r="C545" s="89" t="s">
        <v>1292</v>
      </c>
      <c r="D545" s="163">
        <v>1970</v>
      </c>
      <c r="E545" s="163"/>
      <c r="F545" s="168" t="s">
        <v>270</v>
      </c>
      <c r="G545" s="163">
        <v>2</v>
      </c>
      <c r="H545" s="163">
        <v>1</v>
      </c>
      <c r="I545" s="167">
        <v>358.2</v>
      </c>
      <c r="J545" s="167">
        <v>333.2</v>
      </c>
      <c r="K545" s="167">
        <v>333.2</v>
      </c>
      <c r="L545" s="165">
        <v>15</v>
      </c>
      <c r="M545" s="163" t="s">
        <v>268</v>
      </c>
      <c r="N545" s="163" t="s">
        <v>272</v>
      </c>
      <c r="O545" s="166" t="s">
        <v>1366</v>
      </c>
      <c r="P545" s="167">
        <v>684322.28999999992</v>
      </c>
      <c r="Q545" s="167">
        <v>0</v>
      </c>
      <c r="R545" s="167">
        <v>0</v>
      </c>
      <c r="S545" s="167">
        <f>P545-Q545-R545</f>
        <v>684322.28999999992</v>
      </c>
      <c r="T545" s="167">
        <f t="shared" si="180"/>
        <v>1910.4474874371858</v>
      </c>
      <c r="U545" s="167">
        <v>1910.4474874371858</v>
      </c>
      <c r="V545" s="149">
        <f t="shared" si="179"/>
        <v>0</v>
      </c>
      <c r="W545" s="149">
        <f>T545</f>
        <v>1910.4474874371858</v>
      </c>
      <c r="X545" s="149">
        <v>0</v>
      </c>
      <c r="Y545" s="368">
        <v>0</v>
      </c>
      <c r="Z545" s="368">
        <v>0</v>
      </c>
      <c r="AA545" s="368">
        <v>184.98</v>
      </c>
      <c r="AB545" s="368">
        <v>0</v>
      </c>
      <c r="AC545" s="368">
        <v>0</v>
      </c>
      <c r="AD545" s="368">
        <v>0</v>
      </c>
      <c r="AE545" s="368">
        <v>0</v>
      </c>
      <c r="AF545" s="396">
        <v>0</v>
      </c>
      <c r="AG545" s="368">
        <v>0</v>
      </c>
      <c r="AH545" s="396">
        <v>0</v>
      </c>
      <c r="AI545" s="368">
        <v>0</v>
      </c>
      <c r="AJ545" s="396">
        <v>0</v>
      </c>
      <c r="AK545" s="368">
        <v>0</v>
      </c>
      <c r="AL545" s="368">
        <v>0</v>
      </c>
      <c r="AM545" s="368">
        <v>0</v>
      </c>
      <c r="AN545" s="368"/>
      <c r="AO545" s="368">
        <v>0</v>
      </c>
    </row>
    <row r="546" spans="1:41" s="152" customFormat="1" ht="36" customHeight="1" x14ac:dyDescent="0.9">
      <c r="B546" s="382" t="s">
        <v>877</v>
      </c>
      <c r="C546" s="382"/>
      <c r="D546" s="384" t="s">
        <v>903</v>
      </c>
      <c r="E546" s="163" t="s">
        <v>903</v>
      </c>
      <c r="F546" s="384" t="s">
        <v>903</v>
      </c>
      <c r="G546" s="384" t="s">
        <v>903</v>
      </c>
      <c r="H546" s="163" t="s">
        <v>903</v>
      </c>
      <c r="I546" s="386">
        <f>SUM(I547:I549)</f>
        <v>1634.9</v>
      </c>
      <c r="J546" s="164">
        <f>SUM(J547:J549)</f>
        <v>1609.9</v>
      </c>
      <c r="K546" s="164">
        <f>SUM(K547:K549)</f>
        <v>1149.7</v>
      </c>
      <c r="L546" s="165">
        <f>SUM(L547:L549)</f>
        <v>75</v>
      </c>
      <c r="M546" s="163" t="s">
        <v>903</v>
      </c>
      <c r="N546" s="163" t="s">
        <v>903</v>
      </c>
      <c r="O546" s="166" t="s">
        <v>903</v>
      </c>
      <c r="P546" s="387">
        <v>917252.46</v>
      </c>
      <c r="Q546" s="167">
        <f t="shared" ref="Q546:S546" si="182">SUM(Q547:Q549)</f>
        <v>0</v>
      </c>
      <c r="R546" s="167">
        <f t="shared" si="182"/>
        <v>0</v>
      </c>
      <c r="S546" s="167">
        <f t="shared" si="182"/>
        <v>917252.46</v>
      </c>
      <c r="T546" s="387">
        <f t="shared" si="180"/>
        <v>561.0449935775888</v>
      </c>
      <c r="U546" s="387">
        <f>MAX(U547:U549)</f>
        <v>5427.1975948891395</v>
      </c>
      <c r="V546" s="149">
        <f>U546-T546</f>
        <v>4866.1526013115508</v>
      </c>
      <c r="W546" s="149"/>
      <c r="X546" s="149"/>
      <c r="Y546" s="368"/>
      <c r="Z546" s="368"/>
      <c r="AA546" s="368"/>
      <c r="AB546" s="368"/>
      <c r="AC546" s="368"/>
      <c r="AD546" s="368"/>
      <c r="AE546" s="368"/>
      <c r="AF546" s="368"/>
      <c r="AG546" s="368"/>
      <c r="AH546" s="368"/>
      <c r="AI546" s="368"/>
      <c r="AJ546" s="368"/>
      <c r="AK546" s="368"/>
      <c r="AL546" s="368"/>
      <c r="AM546" s="368"/>
      <c r="AN546" s="368"/>
      <c r="AO546" s="368"/>
    </row>
    <row r="547" spans="1:41" s="152" customFormat="1" ht="36" customHeight="1" x14ac:dyDescent="0.9">
      <c r="A547" s="152">
        <v>1</v>
      </c>
      <c r="B547" s="90">
        <f>SUBTOTAL(103,$A$16:A547)</f>
        <v>467</v>
      </c>
      <c r="C547" s="89" t="s">
        <v>225</v>
      </c>
      <c r="D547" s="163">
        <v>1962</v>
      </c>
      <c r="E547" s="163"/>
      <c r="F547" s="168" t="s">
        <v>270</v>
      </c>
      <c r="G547" s="163">
        <v>2</v>
      </c>
      <c r="H547" s="163">
        <v>1</v>
      </c>
      <c r="I547" s="167">
        <v>212.1</v>
      </c>
      <c r="J547" s="167">
        <v>187.1</v>
      </c>
      <c r="K547" s="167">
        <v>187.1</v>
      </c>
      <c r="L547" s="165">
        <v>11</v>
      </c>
      <c r="M547" s="163" t="s">
        <v>268</v>
      </c>
      <c r="N547" s="163" t="s">
        <v>269</v>
      </c>
      <c r="O547" s="166" t="s">
        <v>271</v>
      </c>
      <c r="P547" s="167">
        <v>181034.47</v>
      </c>
      <c r="Q547" s="167">
        <v>0</v>
      </c>
      <c r="R547" s="167">
        <v>0</v>
      </c>
      <c r="S547" s="167">
        <f>P547-Q547-R547</f>
        <v>181034.47</v>
      </c>
      <c r="T547" s="167">
        <f t="shared" si="180"/>
        <v>853.53356907119291</v>
      </c>
      <c r="U547" s="167">
        <v>853.53356907119291</v>
      </c>
      <c r="V547" s="149">
        <f t="shared" ref="V547:V549" si="183">U547-T547</f>
        <v>0</v>
      </c>
      <c r="W547" s="149">
        <f>T547</f>
        <v>853.53356907119291</v>
      </c>
      <c r="X547" s="149">
        <v>0</v>
      </c>
      <c r="Y547" s="368">
        <v>0</v>
      </c>
      <c r="Z547" s="368">
        <v>0</v>
      </c>
      <c r="AA547" s="368">
        <v>184.98</v>
      </c>
      <c r="AB547" s="368">
        <v>0</v>
      </c>
      <c r="AC547" s="368">
        <v>0</v>
      </c>
      <c r="AD547" s="368">
        <v>0</v>
      </c>
      <c r="AE547" s="368">
        <v>0</v>
      </c>
      <c r="AF547" s="396">
        <v>0</v>
      </c>
      <c r="AG547" s="368">
        <v>0</v>
      </c>
      <c r="AH547" s="396">
        <v>0</v>
      </c>
      <c r="AI547" s="368">
        <v>0</v>
      </c>
      <c r="AJ547" s="396">
        <v>0</v>
      </c>
      <c r="AK547" s="368">
        <v>0</v>
      </c>
      <c r="AL547" s="368">
        <v>0</v>
      </c>
      <c r="AM547" s="368">
        <v>0</v>
      </c>
      <c r="AN547" s="368"/>
      <c r="AO547" s="368">
        <v>0</v>
      </c>
    </row>
    <row r="548" spans="1:41" s="152" customFormat="1" ht="36" customHeight="1" x14ac:dyDescent="0.9">
      <c r="A548" s="152">
        <v>1</v>
      </c>
      <c r="B548" s="90">
        <f>SUBTOTAL(103,$A$16:A548)</f>
        <v>468</v>
      </c>
      <c r="C548" s="89" t="s">
        <v>1304</v>
      </c>
      <c r="D548" s="163">
        <v>1976</v>
      </c>
      <c r="E548" s="163"/>
      <c r="F548" s="168" t="s">
        <v>270</v>
      </c>
      <c r="G548" s="163">
        <v>2</v>
      </c>
      <c r="H548" s="163">
        <v>2</v>
      </c>
      <c r="I548" s="167">
        <v>798.3</v>
      </c>
      <c r="J548" s="167">
        <v>798.3</v>
      </c>
      <c r="K548" s="167">
        <v>587.79999999999995</v>
      </c>
      <c r="L548" s="165">
        <v>32</v>
      </c>
      <c r="M548" s="163" t="s">
        <v>268</v>
      </c>
      <c r="N548" s="163" t="s">
        <v>269</v>
      </c>
      <c r="O548" s="166" t="s">
        <v>271</v>
      </c>
      <c r="P548" s="167">
        <v>306353.95</v>
      </c>
      <c r="Q548" s="167">
        <v>0</v>
      </c>
      <c r="R548" s="167">
        <v>0</v>
      </c>
      <c r="S548" s="167">
        <f>P548-Q548-R548</f>
        <v>306353.95</v>
      </c>
      <c r="T548" s="167">
        <f t="shared" si="180"/>
        <v>383.75792308655895</v>
      </c>
      <c r="U548" s="167">
        <v>5427.1975948891395</v>
      </c>
      <c r="V548" s="149">
        <f t="shared" si="183"/>
        <v>5043.439671802581</v>
      </c>
      <c r="W548" s="149">
        <f t="shared" ref="W548:W549" si="184">X548+Y548+Z548+AA548+AB548+AD548+AF548+AH548+AJ548+AL548+AN548+AO548</f>
        <v>5427.1975948891395</v>
      </c>
      <c r="X548" s="149">
        <v>0</v>
      </c>
      <c r="Y548" s="368">
        <v>0</v>
      </c>
      <c r="Z548" s="368">
        <v>0</v>
      </c>
      <c r="AA548" s="368">
        <v>0</v>
      </c>
      <c r="AB548" s="368">
        <v>0</v>
      </c>
      <c r="AC548" s="368">
        <v>0</v>
      </c>
      <c r="AD548" s="368">
        <v>0</v>
      </c>
      <c r="AE548" s="368">
        <v>0</v>
      </c>
      <c r="AF548" s="396">
        <v>0</v>
      </c>
      <c r="AG548" s="368">
        <v>0</v>
      </c>
      <c r="AH548" s="396">
        <v>0</v>
      </c>
      <c r="AI548" s="368">
        <v>582.4</v>
      </c>
      <c r="AJ548" s="397">
        <f>7439.1*AI548/I548</f>
        <v>5427.1975948891395</v>
      </c>
      <c r="AK548" s="368">
        <v>0</v>
      </c>
      <c r="AL548" s="368">
        <v>0</v>
      </c>
      <c r="AM548" s="368">
        <v>0</v>
      </c>
      <c r="AN548" s="368"/>
      <c r="AO548" s="368">
        <v>0</v>
      </c>
    </row>
    <row r="549" spans="1:41" s="152" customFormat="1" ht="36" customHeight="1" x14ac:dyDescent="0.9">
      <c r="A549" s="152">
        <v>1</v>
      </c>
      <c r="B549" s="90">
        <f>SUBTOTAL(103,$A$16:A549)</f>
        <v>469</v>
      </c>
      <c r="C549" s="89" t="s">
        <v>1305</v>
      </c>
      <c r="D549" s="163">
        <v>1986</v>
      </c>
      <c r="E549" s="163"/>
      <c r="F549" s="168" t="s">
        <v>322</v>
      </c>
      <c r="G549" s="163">
        <v>2</v>
      </c>
      <c r="H549" s="163">
        <v>2</v>
      </c>
      <c r="I549" s="167">
        <v>624.5</v>
      </c>
      <c r="J549" s="167">
        <v>624.5</v>
      </c>
      <c r="K549" s="167">
        <v>374.8</v>
      </c>
      <c r="L549" s="165">
        <v>32</v>
      </c>
      <c r="M549" s="163" t="s">
        <v>268</v>
      </c>
      <c r="N549" s="163" t="s">
        <v>269</v>
      </c>
      <c r="O549" s="166" t="s">
        <v>271</v>
      </c>
      <c r="P549" s="167">
        <v>429864.04</v>
      </c>
      <c r="Q549" s="167">
        <v>0</v>
      </c>
      <c r="R549" s="167">
        <v>0</v>
      </c>
      <c r="S549" s="167">
        <f>P549-Q549-R549</f>
        <v>429864.04</v>
      </c>
      <c r="T549" s="167">
        <f t="shared" si="180"/>
        <v>688.33313050440347</v>
      </c>
      <c r="U549" s="167">
        <v>3738.4767846277018</v>
      </c>
      <c r="V549" s="149">
        <f t="shared" si="183"/>
        <v>3050.1436541232983</v>
      </c>
      <c r="W549" s="149">
        <f t="shared" si="184"/>
        <v>3738.4767846277018</v>
      </c>
      <c r="X549" s="149">
        <v>0</v>
      </c>
      <c r="Y549" s="368">
        <v>0</v>
      </c>
      <c r="Z549" s="368">
        <v>0</v>
      </c>
      <c r="AA549" s="368">
        <v>0</v>
      </c>
      <c r="AB549" s="368">
        <v>0</v>
      </c>
      <c r="AC549" s="368">
        <v>0</v>
      </c>
      <c r="AD549" s="368">
        <v>0</v>
      </c>
      <c r="AE549" s="368">
        <v>0</v>
      </c>
      <c r="AF549" s="396">
        <v>0</v>
      </c>
      <c r="AG549" s="368">
        <v>263.2</v>
      </c>
      <c r="AH549" s="396">
        <f>8870.36*AG549/I549</f>
        <v>3738.4767846277018</v>
      </c>
      <c r="AI549" s="368">
        <v>0</v>
      </c>
      <c r="AJ549" s="396">
        <v>0</v>
      </c>
      <c r="AK549" s="368">
        <v>0</v>
      </c>
      <c r="AL549" s="368">
        <v>0</v>
      </c>
      <c r="AM549" s="368">
        <v>0</v>
      </c>
      <c r="AN549" s="368"/>
      <c r="AO549" s="368">
        <v>0</v>
      </c>
    </row>
    <row r="550" spans="1:41" s="152" customFormat="1" ht="36" customHeight="1" x14ac:dyDescent="0.9">
      <c r="B550" s="382" t="s">
        <v>878</v>
      </c>
      <c r="C550" s="382"/>
      <c r="D550" s="384" t="s">
        <v>903</v>
      </c>
      <c r="E550" s="163" t="s">
        <v>903</v>
      </c>
      <c r="F550" s="384" t="s">
        <v>903</v>
      </c>
      <c r="G550" s="384" t="s">
        <v>903</v>
      </c>
      <c r="H550" s="163" t="s">
        <v>903</v>
      </c>
      <c r="I550" s="386">
        <f>I551</f>
        <v>317.39999999999998</v>
      </c>
      <c r="J550" s="164">
        <f>J551</f>
        <v>287.2</v>
      </c>
      <c r="K550" s="164">
        <f>K551</f>
        <v>212.6</v>
      </c>
      <c r="L550" s="165">
        <f>L551</f>
        <v>17</v>
      </c>
      <c r="M550" s="163" t="s">
        <v>903</v>
      </c>
      <c r="N550" s="163" t="s">
        <v>903</v>
      </c>
      <c r="O550" s="166" t="s">
        <v>903</v>
      </c>
      <c r="P550" s="387">
        <v>1234425.4500000002</v>
      </c>
      <c r="Q550" s="167">
        <f>Q551</f>
        <v>0</v>
      </c>
      <c r="R550" s="167">
        <f>R551</f>
        <v>0</v>
      </c>
      <c r="S550" s="167">
        <f>S551</f>
        <v>1234425.4500000002</v>
      </c>
      <c r="T550" s="387">
        <f t="shared" si="180"/>
        <v>3889.1791115311917</v>
      </c>
      <c r="U550" s="387">
        <f>U551</f>
        <v>5837.9214555765602</v>
      </c>
      <c r="V550" s="149">
        <f t="shared" si="179"/>
        <v>1948.7423440453686</v>
      </c>
      <c r="W550" s="149"/>
      <c r="X550" s="149"/>
      <c r="Y550" s="368"/>
      <c r="Z550" s="368"/>
      <c r="AA550" s="368"/>
      <c r="AB550" s="368"/>
      <c r="AC550" s="368"/>
      <c r="AD550" s="368"/>
      <c r="AE550" s="368"/>
      <c r="AF550" s="368"/>
      <c r="AG550" s="368"/>
      <c r="AH550" s="368"/>
      <c r="AI550" s="368"/>
      <c r="AJ550" s="368"/>
      <c r="AK550" s="368"/>
      <c r="AL550" s="368"/>
      <c r="AM550" s="368"/>
      <c r="AN550" s="368"/>
      <c r="AO550" s="368"/>
    </row>
    <row r="551" spans="1:41" s="152" customFormat="1" ht="36" customHeight="1" x14ac:dyDescent="0.9">
      <c r="A551" s="152">
        <v>1</v>
      </c>
      <c r="B551" s="90">
        <f>SUBTOTAL(103,$A$16:A551)</f>
        <v>470</v>
      </c>
      <c r="C551" s="89" t="s">
        <v>224</v>
      </c>
      <c r="D551" s="163">
        <v>1966</v>
      </c>
      <c r="E551" s="163"/>
      <c r="F551" s="168" t="s">
        <v>270</v>
      </c>
      <c r="G551" s="163">
        <v>2</v>
      </c>
      <c r="H551" s="163">
        <v>1</v>
      </c>
      <c r="I551" s="167">
        <v>317.39999999999998</v>
      </c>
      <c r="J551" s="167">
        <v>287.2</v>
      </c>
      <c r="K551" s="167">
        <v>212.6</v>
      </c>
      <c r="L551" s="165">
        <v>17</v>
      </c>
      <c r="M551" s="163" t="s">
        <v>268</v>
      </c>
      <c r="N551" s="163" t="s">
        <v>269</v>
      </c>
      <c r="O551" s="166" t="s">
        <v>271</v>
      </c>
      <c r="P551" s="167">
        <v>1234425.4500000002</v>
      </c>
      <c r="Q551" s="167">
        <v>0</v>
      </c>
      <c r="R551" s="167">
        <v>0</v>
      </c>
      <c r="S551" s="167">
        <f>P551-Q551-R551</f>
        <v>1234425.4500000002</v>
      </c>
      <c r="T551" s="167">
        <f t="shared" si="180"/>
        <v>3889.1791115311917</v>
      </c>
      <c r="U551" s="167">
        <v>5837.9214555765602</v>
      </c>
      <c r="V551" s="149">
        <f>U551-T551</f>
        <v>1948.7423440453686</v>
      </c>
      <c r="W551" s="149">
        <f>X551+Y551+Z551+AA551+AB551+AD551+AF551+AH551+AJ551+AL551+AN551+AO551</f>
        <v>5837.9214555765602</v>
      </c>
      <c r="X551" s="149">
        <v>0</v>
      </c>
      <c r="Y551" s="368">
        <v>0</v>
      </c>
      <c r="Z551" s="368">
        <v>0</v>
      </c>
      <c r="AA551" s="368">
        <v>0</v>
      </c>
      <c r="AB551" s="368">
        <v>0</v>
      </c>
      <c r="AC551" s="368">
        <v>0</v>
      </c>
      <c r="AD551" s="368">
        <v>0</v>
      </c>
      <c r="AE551" s="368">
        <v>297</v>
      </c>
      <c r="AF551" s="396">
        <f>6238.91*AE551/I551</f>
        <v>5837.9214555765602</v>
      </c>
      <c r="AG551" s="368">
        <v>0</v>
      </c>
      <c r="AH551" s="396">
        <v>0</v>
      </c>
      <c r="AI551" s="368">
        <v>0</v>
      </c>
      <c r="AJ551" s="396">
        <v>0</v>
      </c>
      <c r="AK551" s="368">
        <v>0</v>
      </c>
      <c r="AL551" s="368">
        <v>0</v>
      </c>
      <c r="AM551" s="368">
        <v>0</v>
      </c>
      <c r="AN551" s="368"/>
      <c r="AO551" s="368">
        <v>0</v>
      </c>
    </row>
    <row r="552" spans="1:41" s="152" customFormat="1" ht="36" customHeight="1" x14ac:dyDescent="0.9">
      <c r="B552" s="382" t="s">
        <v>767</v>
      </c>
      <c r="C552" s="382"/>
      <c r="D552" s="384" t="s">
        <v>903</v>
      </c>
      <c r="E552" s="163" t="s">
        <v>903</v>
      </c>
      <c r="F552" s="384" t="s">
        <v>903</v>
      </c>
      <c r="G552" s="384" t="s">
        <v>903</v>
      </c>
      <c r="H552" s="163" t="s">
        <v>903</v>
      </c>
      <c r="I552" s="386">
        <f>I553+I684+I708+I772+I794+I800+I820+I826+I831+I835+I837+I840+I842+I844+I854+I860+I863+I865+I867+I869+I871+I873+I876+I886+I888+I891+I893+I895+I901+I904+I906+I909+I911+I913+I915+I921+I923+I931+I927+I933+I939+I943+I945+I947+I949+I951+I953+I957+I961+I963+I965+I967+I972+I976+I982+I984+I918+I974</f>
        <v>903343.85000000009</v>
      </c>
      <c r="J552" s="164">
        <f>J553+J684+J708+J772+J794+J800+J820+J826+J831+J835+J837+J840+J842+J844+J854+J860+J863+J865+J867+J869+J871+J873+J876+J886+J888+J891+J893+J895+J901+J904+J906+J909+J911+J913+J915+J921+J923+J931+J927+J933+J939+J943+J945+J947+J949+J951+J953+J957+J961+J963+J965+J967+J972+J976+J982+J984+J918+J974</f>
        <v>732008.08</v>
      </c>
      <c r="K552" s="164">
        <f>K553+K684+K708+K772+K794+K800+K820+K826+K831+K835+K837+K840+K842+K844+K854+K860+K863+K865+K867+K869+K871+K873+K876+K886+K888+K891+K893+K895+K901+K904+K906+K909+K911+K913+K915+K921+K923+K931+K927+K933+K939+K943+K945+K947+K949+K951+K953+K957+K961+K963+K965+K967+K972+K976+K982+K984+K918+K974</f>
        <v>662824.49000000057</v>
      </c>
      <c r="L552" s="165">
        <f>L553+L684+L708+L772+L794+L800+L820+L826+L831+L835+L837+L840+L842+L844+L854+L860+L863+L865+L867+L869+L871+L873+L876+L886+L888+L891+L893+L895+L901+L904+L906+L909+L911+L913+L915+L921+L923+L931+L927+L933+L939+L943+L945+L947+L949+L951+L953+L957+L961+L963+L965+L967+L972+L976+L982+L984+L918+L974</f>
        <v>35187</v>
      </c>
      <c r="M552" s="163" t="s">
        <v>903</v>
      </c>
      <c r="N552" s="163" t="s">
        <v>903</v>
      </c>
      <c r="O552" s="166" t="s">
        <v>903</v>
      </c>
      <c r="P552" s="386">
        <v>1024488175.7100002</v>
      </c>
      <c r="Q552" s="164">
        <f>Q553+Q684+Q708+Q772+Q794+Q800+Q820+Q826+Q831+Q835+Q837+Q840+Q842+Q844+Q854+Q860+Q863+Q865+Q867+Q869+Q871+Q873+Q876+Q886+Q888+Q891+Q893+Q895+Q901+Q904+Q906+Q909+Q911+Q913+Q915+Q921+Q923+Q931+Q927+Q933+Q939+Q943+Q945+Q947+Q949+Q951+Q953+Q957+Q961+Q963+Q965+Q967+Q972+Q976+Q982+Q984+Q918+Q974</f>
        <v>0</v>
      </c>
      <c r="R552" s="164">
        <f>R553+R684+R708+R772+R794+R800+R820+R826+R831+R835+R837+R840+R842+R844+R854+R860+R863+R865+R867+R869+R871+R873+R876+R886+R888+R891+R893+R895+R901+R904+R906+R909+R911+R913+R915+R921+R923+R931+R927+R933+R939+R943+R945+R947+R949+R951+R953+R957+R961+R963+R965+R967+R972+R976+R982+R984+R918+R974</f>
        <v>3015567.51</v>
      </c>
      <c r="S552" s="164">
        <f>S553+S684+S708+S772+S794+S800+S820+S826+S831+S835+S837+S840+S842+S844+S854+S860+S863+S865+S867+S869+S871+S873+S876+S886+S888+S891+S893+S895+S901+S904+S906+S909+S911+S913+S915+S921+S923+S931+S927+S933+S939+S943+S945+S947+S949+S951+S953+S957+S961+S963+S965+S967+S972+S976+S982+S984+S918+S974</f>
        <v>1021472608.2000003</v>
      </c>
      <c r="T552" s="387">
        <f t="shared" si="180"/>
        <v>1134.106548364723</v>
      </c>
      <c r="U552" s="387">
        <f>MAX(U553:U984)</f>
        <v>27670.326525450524</v>
      </c>
      <c r="V552" s="149">
        <f t="shared" si="179"/>
        <v>26536.219977085802</v>
      </c>
      <c r="W552" s="149"/>
      <c r="X552" s="149"/>
      <c r="Y552" s="368"/>
      <c r="Z552" s="368"/>
      <c r="AA552" s="368"/>
      <c r="AB552" s="368"/>
      <c r="AC552" s="368"/>
      <c r="AD552" s="368"/>
      <c r="AE552" s="368"/>
      <c r="AF552" s="368"/>
      <c r="AG552" s="368"/>
      <c r="AH552" s="368"/>
      <c r="AI552" s="368"/>
      <c r="AJ552" s="368"/>
      <c r="AK552" s="368"/>
      <c r="AL552" s="368"/>
      <c r="AM552" s="368"/>
      <c r="AN552" s="368"/>
      <c r="AO552" s="368"/>
    </row>
    <row r="553" spans="1:41" s="152" customFormat="1" ht="36" customHeight="1" x14ac:dyDescent="0.9">
      <c r="B553" s="382" t="s">
        <v>1105</v>
      </c>
      <c r="C553" s="388"/>
      <c r="D553" s="384" t="s">
        <v>903</v>
      </c>
      <c r="E553" s="163" t="s">
        <v>903</v>
      </c>
      <c r="F553" s="384" t="s">
        <v>903</v>
      </c>
      <c r="G553" s="384" t="s">
        <v>903</v>
      </c>
      <c r="H553" s="163" t="s">
        <v>903</v>
      </c>
      <c r="I553" s="386">
        <f>SUM(I554:I683)</f>
        <v>410521.47</v>
      </c>
      <c r="J553" s="164">
        <f>SUM(J554:J683)</f>
        <v>344981.7799999998</v>
      </c>
      <c r="K553" s="164">
        <f>SUM(K554:K683)</f>
        <v>303741.76000000018</v>
      </c>
      <c r="L553" s="165">
        <f>SUM(L554:L683)</f>
        <v>17090</v>
      </c>
      <c r="M553" s="163" t="s">
        <v>903</v>
      </c>
      <c r="N553" s="163" t="s">
        <v>903</v>
      </c>
      <c r="O553" s="166" t="s">
        <v>903</v>
      </c>
      <c r="P553" s="386">
        <v>254600033.64999992</v>
      </c>
      <c r="Q553" s="164">
        <f>SUM(Q554:Q683)</f>
        <v>0</v>
      </c>
      <c r="R553" s="164">
        <f>SUM(R554:R683)</f>
        <v>0</v>
      </c>
      <c r="S553" s="164">
        <f>SUM(S554:S683)</f>
        <v>254600033.64999992</v>
      </c>
      <c r="T553" s="387">
        <f t="shared" si="180"/>
        <v>620.18688973806888</v>
      </c>
      <c r="U553" s="387">
        <f>MAX(U554:U683)</f>
        <v>7994.3988479078325</v>
      </c>
      <c r="V553" s="149">
        <f t="shared" si="179"/>
        <v>7374.2119581697634</v>
      </c>
      <c r="W553" s="149"/>
      <c r="X553" s="149"/>
      <c r="Y553" s="368"/>
      <c r="Z553" s="368"/>
      <c r="AA553" s="368"/>
      <c r="AB553" s="368"/>
      <c r="AC553" s="368"/>
      <c r="AD553" s="368"/>
      <c r="AE553" s="368"/>
      <c r="AF553" s="368"/>
      <c r="AG553" s="368"/>
      <c r="AH553" s="368"/>
      <c r="AI553" s="368"/>
      <c r="AJ553" s="368"/>
      <c r="AK553" s="368"/>
      <c r="AL553" s="368"/>
      <c r="AM553" s="368"/>
      <c r="AN553" s="368"/>
      <c r="AO553" s="368"/>
    </row>
    <row r="554" spans="1:41" s="152" customFormat="1" ht="36" customHeight="1" x14ac:dyDescent="0.9">
      <c r="A554" s="152">
        <v>1</v>
      </c>
      <c r="B554" s="90">
        <f>SUBTOTAL(103,$A$554:A554)</f>
        <v>1</v>
      </c>
      <c r="C554" s="89" t="s">
        <v>535</v>
      </c>
      <c r="D554" s="163" t="s">
        <v>357</v>
      </c>
      <c r="E554" s="163"/>
      <c r="F554" s="168" t="s">
        <v>315</v>
      </c>
      <c r="G554" s="163" t="s">
        <v>356</v>
      </c>
      <c r="H554" s="163">
        <v>4</v>
      </c>
      <c r="I554" s="164">
        <v>3788.4</v>
      </c>
      <c r="J554" s="164">
        <v>3519.1</v>
      </c>
      <c r="K554" s="164">
        <v>2414</v>
      </c>
      <c r="L554" s="165">
        <v>100</v>
      </c>
      <c r="M554" s="163" t="s">
        <v>268</v>
      </c>
      <c r="N554" s="163" t="s">
        <v>272</v>
      </c>
      <c r="O554" s="166" t="s">
        <v>1088</v>
      </c>
      <c r="P554" s="167">
        <v>4549323.9899999993</v>
      </c>
      <c r="Q554" s="167">
        <v>0</v>
      </c>
      <c r="R554" s="167">
        <v>0</v>
      </c>
      <c r="S554" s="167">
        <f t="shared" ref="S554:S617" si="185">P554-Q554-R554</f>
        <v>4549323.9899999993</v>
      </c>
      <c r="T554" s="167">
        <f t="shared" si="180"/>
        <v>1200.8562955337343</v>
      </c>
      <c r="U554" s="167">
        <v>1580.9718086791256</v>
      </c>
      <c r="V554" s="149">
        <f t="shared" si="179"/>
        <v>380.11551314539133</v>
      </c>
      <c r="W554" s="149">
        <f t="shared" ref="W554:W617" si="186">X554+Y554+Z554+AA554+AB554+AD554+AF554+AH554+AJ554+AL554+AN554+AO554</f>
        <v>1580.9718086791256</v>
      </c>
      <c r="X554" s="149">
        <v>0</v>
      </c>
      <c r="Y554" s="368">
        <v>0</v>
      </c>
      <c r="Z554" s="368">
        <v>0</v>
      </c>
      <c r="AA554" s="368">
        <v>0</v>
      </c>
      <c r="AB554" s="368">
        <v>0</v>
      </c>
      <c r="AC554" s="368">
        <v>0</v>
      </c>
      <c r="AD554" s="368">
        <v>0</v>
      </c>
      <c r="AE554" s="368">
        <v>960</v>
      </c>
      <c r="AF554" s="396">
        <f t="shared" ref="AF554:AF570" si="187">6238.91*AE554/I554</f>
        <v>1580.9718086791256</v>
      </c>
      <c r="AG554" s="368">
        <v>0</v>
      </c>
      <c r="AH554" s="396">
        <v>0</v>
      </c>
      <c r="AI554" s="368">
        <v>0</v>
      </c>
      <c r="AJ554" s="396">
        <v>0</v>
      </c>
      <c r="AK554" s="368">
        <v>0</v>
      </c>
      <c r="AL554" s="368">
        <v>0</v>
      </c>
      <c r="AM554" s="368">
        <v>0</v>
      </c>
      <c r="AN554" s="368"/>
      <c r="AO554" s="368">
        <v>0</v>
      </c>
    </row>
    <row r="555" spans="1:41" s="152" customFormat="1" ht="36" customHeight="1" x14ac:dyDescent="0.9">
      <c r="A555" s="152">
        <v>1</v>
      </c>
      <c r="B555" s="90">
        <f>SUBTOTAL(103,$A$554:A555)</f>
        <v>2</v>
      </c>
      <c r="C555" s="89" t="s">
        <v>536</v>
      </c>
      <c r="D555" s="163" t="s">
        <v>318</v>
      </c>
      <c r="E555" s="163"/>
      <c r="F555" s="168" t="s">
        <v>315</v>
      </c>
      <c r="G555" s="163" t="s">
        <v>356</v>
      </c>
      <c r="H555" s="163">
        <v>4</v>
      </c>
      <c r="I555" s="164">
        <v>3837.6</v>
      </c>
      <c r="J555" s="164">
        <v>3545.4</v>
      </c>
      <c r="K555" s="164">
        <v>2406.4</v>
      </c>
      <c r="L555" s="165">
        <v>162</v>
      </c>
      <c r="M555" s="163" t="s">
        <v>268</v>
      </c>
      <c r="N555" s="163" t="s">
        <v>272</v>
      </c>
      <c r="O555" s="166" t="s">
        <v>1088</v>
      </c>
      <c r="P555" s="167">
        <v>4549323.9899999993</v>
      </c>
      <c r="Q555" s="167">
        <v>0</v>
      </c>
      <c r="R555" s="167">
        <v>0</v>
      </c>
      <c r="S555" s="167">
        <f t="shared" si="185"/>
        <v>4549323.9899999993</v>
      </c>
      <c r="T555" s="167">
        <f t="shared" si="180"/>
        <v>1185.4607020012506</v>
      </c>
      <c r="U555" s="167">
        <v>1560.7029393370856</v>
      </c>
      <c r="V555" s="149">
        <f t="shared" si="179"/>
        <v>375.24223733583494</v>
      </c>
      <c r="W555" s="149">
        <f t="shared" si="186"/>
        <v>1560.7029393370856</v>
      </c>
      <c r="X555" s="149">
        <v>0</v>
      </c>
      <c r="Y555" s="368">
        <v>0</v>
      </c>
      <c r="Z555" s="368">
        <v>0</v>
      </c>
      <c r="AA555" s="368">
        <v>0</v>
      </c>
      <c r="AB555" s="368">
        <v>0</v>
      </c>
      <c r="AC555" s="368">
        <v>0</v>
      </c>
      <c r="AD555" s="368">
        <v>0</v>
      </c>
      <c r="AE555" s="368">
        <v>960</v>
      </c>
      <c r="AF555" s="396">
        <f t="shared" si="187"/>
        <v>1560.7029393370856</v>
      </c>
      <c r="AG555" s="368">
        <v>0</v>
      </c>
      <c r="AH555" s="396">
        <v>0</v>
      </c>
      <c r="AI555" s="368">
        <v>0</v>
      </c>
      <c r="AJ555" s="396">
        <v>0</v>
      </c>
      <c r="AK555" s="368">
        <v>0</v>
      </c>
      <c r="AL555" s="368">
        <v>0</v>
      </c>
      <c r="AM555" s="368">
        <v>0</v>
      </c>
      <c r="AN555" s="368"/>
      <c r="AO555" s="368">
        <v>0</v>
      </c>
    </row>
    <row r="556" spans="1:41" s="152" customFormat="1" ht="36" customHeight="1" x14ac:dyDescent="0.9">
      <c r="A556" s="152">
        <v>1</v>
      </c>
      <c r="B556" s="90">
        <f>SUBTOTAL(103,$A$554:A556)</f>
        <v>3</v>
      </c>
      <c r="C556" s="89" t="s">
        <v>537</v>
      </c>
      <c r="D556" s="163" t="s">
        <v>314</v>
      </c>
      <c r="E556" s="163"/>
      <c r="F556" s="168" t="s">
        <v>315</v>
      </c>
      <c r="G556" s="163" t="s">
        <v>356</v>
      </c>
      <c r="H556" s="163">
        <v>3</v>
      </c>
      <c r="I556" s="164">
        <v>2494.5</v>
      </c>
      <c r="J556" s="164">
        <v>2290.6</v>
      </c>
      <c r="K556" s="164">
        <v>2237.6</v>
      </c>
      <c r="L556" s="165">
        <v>118</v>
      </c>
      <c r="M556" s="163" t="s">
        <v>268</v>
      </c>
      <c r="N556" s="163" t="s">
        <v>272</v>
      </c>
      <c r="O556" s="166" t="s">
        <v>1089</v>
      </c>
      <c r="P556" s="167">
        <v>3263607.5799999996</v>
      </c>
      <c r="Q556" s="167">
        <v>0</v>
      </c>
      <c r="R556" s="167">
        <v>0</v>
      </c>
      <c r="S556" s="167">
        <f t="shared" si="185"/>
        <v>3263607.5799999996</v>
      </c>
      <c r="T556" s="167">
        <f t="shared" si="180"/>
        <v>1308.3213389456803</v>
      </c>
      <c r="U556" s="167">
        <v>1643.4506959310484</v>
      </c>
      <c r="V556" s="149">
        <f t="shared" si="179"/>
        <v>335.12935698536808</v>
      </c>
      <c r="W556" s="149">
        <f t="shared" si="186"/>
        <v>1643.4506959310484</v>
      </c>
      <c r="X556" s="149">
        <v>0</v>
      </c>
      <c r="Y556" s="368">
        <v>0</v>
      </c>
      <c r="Z556" s="368">
        <v>0</v>
      </c>
      <c r="AA556" s="368">
        <v>0</v>
      </c>
      <c r="AB556" s="368">
        <v>0</v>
      </c>
      <c r="AC556" s="368">
        <v>0</v>
      </c>
      <c r="AD556" s="368">
        <v>0</v>
      </c>
      <c r="AE556" s="368">
        <v>657.1</v>
      </c>
      <c r="AF556" s="396">
        <f t="shared" si="187"/>
        <v>1643.4506959310484</v>
      </c>
      <c r="AG556" s="368">
        <v>0</v>
      </c>
      <c r="AH556" s="396">
        <v>0</v>
      </c>
      <c r="AI556" s="368">
        <v>0</v>
      </c>
      <c r="AJ556" s="396">
        <v>0</v>
      </c>
      <c r="AK556" s="368">
        <v>0</v>
      </c>
      <c r="AL556" s="368">
        <v>0</v>
      </c>
      <c r="AM556" s="368">
        <v>0</v>
      </c>
      <c r="AN556" s="368"/>
      <c r="AO556" s="368">
        <v>0</v>
      </c>
    </row>
    <row r="557" spans="1:41" s="152" customFormat="1" ht="36" customHeight="1" x14ac:dyDescent="0.9">
      <c r="A557" s="152">
        <v>1</v>
      </c>
      <c r="B557" s="90">
        <f>SUBTOTAL(103,$A$554:A557)</f>
        <v>4</v>
      </c>
      <c r="C557" s="89" t="s">
        <v>541</v>
      </c>
      <c r="D557" s="163" t="s">
        <v>358</v>
      </c>
      <c r="E557" s="163"/>
      <c r="F557" s="168" t="s">
        <v>270</v>
      </c>
      <c r="G557" s="163" t="s">
        <v>356</v>
      </c>
      <c r="H557" s="163">
        <v>2</v>
      </c>
      <c r="I557" s="164">
        <v>2473.3000000000002</v>
      </c>
      <c r="J557" s="164">
        <v>1702</v>
      </c>
      <c r="K557" s="164">
        <v>1117.3</v>
      </c>
      <c r="L557" s="165">
        <v>84</v>
      </c>
      <c r="M557" s="163" t="s">
        <v>268</v>
      </c>
      <c r="N557" s="163" t="s">
        <v>272</v>
      </c>
      <c r="O557" s="166" t="s">
        <v>1104</v>
      </c>
      <c r="P557" s="167">
        <v>3518296.02</v>
      </c>
      <c r="Q557" s="167">
        <v>0</v>
      </c>
      <c r="R557" s="167">
        <v>0</v>
      </c>
      <c r="S557" s="167">
        <f t="shared" si="185"/>
        <v>3518296.02</v>
      </c>
      <c r="T557" s="167">
        <f t="shared" si="180"/>
        <v>1422.5108235960051</v>
      </c>
      <c r="U557" s="167">
        <v>1790.9780859580314</v>
      </c>
      <c r="V557" s="149">
        <f t="shared" si="179"/>
        <v>368.4672623620263</v>
      </c>
      <c r="W557" s="149">
        <f t="shared" si="186"/>
        <v>1790.9780859580314</v>
      </c>
      <c r="X557" s="149">
        <v>0</v>
      </c>
      <c r="Y557" s="368">
        <v>0</v>
      </c>
      <c r="Z557" s="368">
        <v>0</v>
      </c>
      <c r="AA557" s="368">
        <v>0</v>
      </c>
      <c r="AB557" s="368">
        <v>0</v>
      </c>
      <c r="AC557" s="368">
        <v>0</v>
      </c>
      <c r="AD557" s="368">
        <v>0</v>
      </c>
      <c r="AE557" s="368">
        <v>710</v>
      </c>
      <c r="AF557" s="396">
        <f t="shared" si="187"/>
        <v>1790.9780859580314</v>
      </c>
      <c r="AG557" s="368">
        <v>0</v>
      </c>
      <c r="AH557" s="396">
        <v>0</v>
      </c>
      <c r="AI557" s="368">
        <v>0</v>
      </c>
      <c r="AJ557" s="396">
        <v>0</v>
      </c>
      <c r="AK557" s="368">
        <v>0</v>
      </c>
      <c r="AL557" s="368">
        <v>0</v>
      </c>
      <c r="AM557" s="368">
        <v>0</v>
      </c>
      <c r="AN557" s="368"/>
      <c r="AO557" s="368">
        <v>0</v>
      </c>
    </row>
    <row r="558" spans="1:41" s="152" customFormat="1" ht="36" customHeight="1" x14ac:dyDescent="0.9">
      <c r="A558" s="152">
        <v>1</v>
      </c>
      <c r="B558" s="90">
        <f>SUBTOTAL(103,$A$554:A558)</f>
        <v>5</v>
      </c>
      <c r="C558" s="89" t="s">
        <v>542</v>
      </c>
      <c r="D558" s="163" t="s">
        <v>359</v>
      </c>
      <c r="E558" s="163"/>
      <c r="F558" s="168" t="s">
        <v>270</v>
      </c>
      <c r="G558" s="163" t="s">
        <v>316</v>
      </c>
      <c r="H558" s="163">
        <v>2</v>
      </c>
      <c r="I558" s="164">
        <v>944.2</v>
      </c>
      <c r="J558" s="164">
        <v>863.6</v>
      </c>
      <c r="K558" s="164">
        <v>732.5</v>
      </c>
      <c r="L558" s="165">
        <v>48</v>
      </c>
      <c r="M558" s="163" t="s">
        <v>268</v>
      </c>
      <c r="N558" s="163" t="s">
        <v>272</v>
      </c>
      <c r="O558" s="166" t="s">
        <v>1412</v>
      </c>
      <c r="P558" s="167">
        <v>2570383.31</v>
      </c>
      <c r="Q558" s="167">
        <v>0</v>
      </c>
      <c r="R558" s="167">
        <v>0</v>
      </c>
      <c r="S558" s="167">
        <f t="shared" si="185"/>
        <v>2570383.31</v>
      </c>
      <c r="T558" s="167">
        <f t="shared" si="180"/>
        <v>2722.2869201440371</v>
      </c>
      <c r="U558" s="167">
        <v>3435.9597542893448</v>
      </c>
      <c r="V558" s="149">
        <f t="shared" si="179"/>
        <v>713.67283414530766</v>
      </c>
      <c r="W558" s="149">
        <f t="shared" si="186"/>
        <v>3435.9597542893448</v>
      </c>
      <c r="X558" s="149">
        <v>0</v>
      </c>
      <c r="Y558" s="368">
        <v>0</v>
      </c>
      <c r="Z558" s="368">
        <v>0</v>
      </c>
      <c r="AA558" s="368">
        <v>0</v>
      </c>
      <c r="AB558" s="368">
        <v>0</v>
      </c>
      <c r="AC558" s="368">
        <v>0</v>
      </c>
      <c r="AD558" s="368">
        <v>0</v>
      </c>
      <c r="AE558" s="368">
        <v>520</v>
      </c>
      <c r="AF558" s="396">
        <f t="shared" si="187"/>
        <v>3435.9597542893448</v>
      </c>
      <c r="AG558" s="368">
        <v>0</v>
      </c>
      <c r="AH558" s="396">
        <v>0</v>
      </c>
      <c r="AI558" s="368">
        <v>0</v>
      </c>
      <c r="AJ558" s="396">
        <v>0</v>
      </c>
      <c r="AK558" s="368">
        <v>0</v>
      </c>
      <c r="AL558" s="368">
        <v>0</v>
      </c>
      <c r="AM558" s="368">
        <v>0</v>
      </c>
      <c r="AN558" s="368"/>
      <c r="AO558" s="368">
        <v>0</v>
      </c>
    </row>
    <row r="559" spans="1:41" s="152" customFormat="1" ht="36" customHeight="1" x14ac:dyDescent="0.9">
      <c r="A559" s="152">
        <v>1</v>
      </c>
      <c r="B559" s="90">
        <f>SUBTOTAL(103,$A$554:A559)</f>
        <v>6</v>
      </c>
      <c r="C559" s="89" t="s">
        <v>543</v>
      </c>
      <c r="D559" s="163" t="s">
        <v>360</v>
      </c>
      <c r="E559" s="163"/>
      <c r="F559" s="168" t="s">
        <v>270</v>
      </c>
      <c r="G559" s="163" t="s">
        <v>356</v>
      </c>
      <c r="H559" s="163">
        <v>1</v>
      </c>
      <c r="I559" s="164">
        <v>4677.8999999999996</v>
      </c>
      <c r="J559" s="164">
        <v>2936.3</v>
      </c>
      <c r="K559" s="164">
        <v>2632.1</v>
      </c>
      <c r="L559" s="165">
        <v>196</v>
      </c>
      <c r="M559" s="163" t="s">
        <v>268</v>
      </c>
      <c r="N559" s="163" t="s">
        <v>272</v>
      </c>
      <c r="O559" s="166" t="s">
        <v>1398</v>
      </c>
      <c r="P559" s="167">
        <v>4554037.87</v>
      </c>
      <c r="Q559" s="167">
        <v>0</v>
      </c>
      <c r="R559" s="167">
        <v>0</v>
      </c>
      <c r="S559" s="167">
        <f t="shared" si="185"/>
        <v>4554037.87</v>
      </c>
      <c r="T559" s="167">
        <f t="shared" si="180"/>
        <v>973.52185168558549</v>
      </c>
      <c r="U559" s="167">
        <v>1233.8448466833408</v>
      </c>
      <c r="V559" s="149">
        <f t="shared" si="179"/>
        <v>260.32299499775536</v>
      </c>
      <c r="W559" s="149">
        <f t="shared" si="186"/>
        <v>1233.8448466833408</v>
      </c>
      <c r="X559" s="149">
        <v>0</v>
      </c>
      <c r="Y559" s="368">
        <v>0</v>
      </c>
      <c r="Z559" s="368">
        <v>0</v>
      </c>
      <c r="AA559" s="368">
        <v>0</v>
      </c>
      <c r="AB559" s="368">
        <v>0</v>
      </c>
      <c r="AC559" s="368">
        <v>0</v>
      </c>
      <c r="AD559" s="368">
        <v>0</v>
      </c>
      <c r="AE559" s="368">
        <v>925.13</v>
      </c>
      <c r="AF559" s="396">
        <f t="shared" si="187"/>
        <v>1233.8448466833408</v>
      </c>
      <c r="AG559" s="368">
        <v>0</v>
      </c>
      <c r="AH559" s="396">
        <v>0</v>
      </c>
      <c r="AI559" s="368">
        <v>0</v>
      </c>
      <c r="AJ559" s="396">
        <v>0</v>
      </c>
      <c r="AK559" s="368">
        <v>0</v>
      </c>
      <c r="AL559" s="368">
        <v>0</v>
      </c>
      <c r="AM559" s="368">
        <v>0</v>
      </c>
      <c r="AN559" s="368"/>
      <c r="AO559" s="368">
        <v>0</v>
      </c>
    </row>
    <row r="560" spans="1:41" s="152" customFormat="1" ht="36" customHeight="1" x14ac:dyDescent="0.9">
      <c r="A560" s="152">
        <v>1</v>
      </c>
      <c r="B560" s="90">
        <f>SUBTOTAL(103,$A$554:A560)</f>
        <v>7</v>
      </c>
      <c r="C560" s="89" t="s">
        <v>544</v>
      </c>
      <c r="D560" s="163" t="s">
        <v>382</v>
      </c>
      <c r="E560" s="163"/>
      <c r="F560" s="168" t="s">
        <v>270</v>
      </c>
      <c r="G560" s="163" t="s">
        <v>356</v>
      </c>
      <c r="H560" s="163">
        <v>6</v>
      </c>
      <c r="I560" s="164">
        <v>5781</v>
      </c>
      <c r="J560" s="164">
        <v>4320.2</v>
      </c>
      <c r="K560" s="164">
        <v>2890.2</v>
      </c>
      <c r="L560" s="165">
        <v>208</v>
      </c>
      <c r="M560" s="163" t="s">
        <v>268</v>
      </c>
      <c r="N560" s="163" t="s">
        <v>272</v>
      </c>
      <c r="O560" s="166" t="s">
        <v>1088</v>
      </c>
      <c r="P560" s="167">
        <v>3759019.5700000003</v>
      </c>
      <c r="Q560" s="167">
        <v>0</v>
      </c>
      <c r="R560" s="167">
        <v>0</v>
      </c>
      <c r="S560" s="167">
        <f t="shared" si="185"/>
        <v>3759019.5700000003</v>
      </c>
      <c r="T560" s="167">
        <f t="shared" si="180"/>
        <v>650.23690883930124</v>
      </c>
      <c r="U560" s="167">
        <v>820.1992042899152</v>
      </c>
      <c r="V560" s="149">
        <f t="shared" si="179"/>
        <v>169.96229545061396</v>
      </c>
      <c r="W560" s="149">
        <f t="shared" si="186"/>
        <v>820.1992042899152</v>
      </c>
      <c r="X560" s="149">
        <v>0</v>
      </c>
      <c r="Y560" s="368">
        <v>0</v>
      </c>
      <c r="Z560" s="368">
        <v>0</v>
      </c>
      <c r="AA560" s="368">
        <v>0</v>
      </c>
      <c r="AB560" s="368">
        <v>0</v>
      </c>
      <c r="AC560" s="368">
        <v>0</v>
      </c>
      <c r="AD560" s="368">
        <v>0</v>
      </c>
      <c r="AE560" s="368">
        <v>760</v>
      </c>
      <c r="AF560" s="396">
        <f t="shared" si="187"/>
        <v>820.1992042899152</v>
      </c>
      <c r="AG560" s="368">
        <v>0</v>
      </c>
      <c r="AH560" s="396">
        <v>0</v>
      </c>
      <c r="AI560" s="368">
        <v>0</v>
      </c>
      <c r="AJ560" s="396">
        <v>0</v>
      </c>
      <c r="AK560" s="368">
        <v>0</v>
      </c>
      <c r="AL560" s="368">
        <v>0</v>
      </c>
      <c r="AM560" s="368">
        <v>0</v>
      </c>
      <c r="AN560" s="368"/>
      <c r="AO560" s="368">
        <v>0</v>
      </c>
    </row>
    <row r="561" spans="1:41" s="152" customFormat="1" ht="36" customHeight="1" x14ac:dyDescent="0.9">
      <c r="A561" s="152">
        <v>1</v>
      </c>
      <c r="B561" s="90">
        <f>SUBTOTAL(103,$A$554:A561)</f>
        <v>8</v>
      </c>
      <c r="C561" s="89" t="s">
        <v>545</v>
      </c>
      <c r="D561" s="163" t="s">
        <v>311</v>
      </c>
      <c r="E561" s="163"/>
      <c r="F561" s="168" t="s">
        <v>270</v>
      </c>
      <c r="G561" s="163" t="s">
        <v>316</v>
      </c>
      <c r="H561" s="163">
        <v>1</v>
      </c>
      <c r="I561" s="164">
        <v>1243.7</v>
      </c>
      <c r="J561" s="164">
        <v>761.1</v>
      </c>
      <c r="K561" s="164">
        <v>562.1</v>
      </c>
      <c r="L561" s="165">
        <v>53</v>
      </c>
      <c r="M561" s="163" t="s">
        <v>268</v>
      </c>
      <c r="N561" s="163" t="s">
        <v>272</v>
      </c>
      <c r="O561" s="166" t="s">
        <v>1398</v>
      </c>
      <c r="P561" s="167">
        <v>2589386.2599999998</v>
      </c>
      <c r="Q561" s="167">
        <v>0</v>
      </c>
      <c r="R561" s="167">
        <v>0</v>
      </c>
      <c r="S561" s="167">
        <f t="shared" si="185"/>
        <v>2589386.2599999998</v>
      </c>
      <c r="T561" s="167">
        <f t="shared" si="180"/>
        <v>2082.002299589933</v>
      </c>
      <c r="U561" s="167">
        <v>2628.5992120286242</v>
      </c>
      <c r="V561" s="149">
        <f t="shared" si="179"/>
        <v>546.59691243869111</v>
      </c>
      <c r="W561" s="149">
        <f t="shared" si="186"/>
        <v>2628.5992120286242</v>
      </c>
      <c r="X561" s="149">
        <v>0</v>
      </c>
      <c r="Y561" s="368">
        <v>0</v>
      </c>
      <c r="Z561" s="368">
        <v>0</v>
      </c>
      <c r="AA561" s="368">
        <v>0</v>
      </c>
      <c r="AB561" s="368">
        <v>0</v>
      </c>
      <c r="AC561" s="368">
        <v>0</v>
      </c>
      <c r="AD561" s="368">
        <v>0</v>
      </c>
      <c r="AE561" s="368">
        <v>524</v>
      </c>
      <c r="AF561" s="396">
        <f t="shared" si="187"/>
        <v>2628.5992120286242</v>
      </c>
      <c r="AG561" s="368">
        <v>0</v>
      </c>
      <c r="AH561" s="396">
        <v>0</v>
      </c>
      <c r="AI561" s="368">
        <v>0</v>
      </c>
      <c r="AJ561" s="396">
        <v>0</v>
      </c>
      <c r="AK561" s="368">
        <v>0</v>
      </c>
      <c r="AL561" s="368">
        <v>0</v>
      </c>
      <c r="AM561" s="368">
        <v>0</v>
      </c>
      <c r="AN561" s="368"/>
      <c r="AO561" s="368">
        <v>0</v>
      </c>
    </row>
    <row r="562" spans="1:41" s="152" customFormat="1" ht="36" customHeight="1" x14ac:dyDescent="0.9">
      <c r="A562" s="152">
        <v>1</v>
      </c>
      <c r="B562" s="90">
        <f>SUBTOTAL(103,$A$554:A562)</f>
        <v>9</v>
      </c>
      <c r="C562" s="89" t="s">
        <v>546</v>
      </c>
      <c r="D562" s="163" t="s">
        <v>361</v>
      </c>
      <c r="E562" s="163"/>
      <c r="F562" s="168" t="s">
        <v>270</v>
      </c>
      <c r="G562" s="163" t="s">
        <v>362</v>
      </c>
      <c r="H562" s="163">
        <v>1</v>
      </c>
      <c r="I562" s="164">
        <v>7598.06</v>
      </c>
      <c r="J562" s="164">
        <v>5648.6</v>
      </c>
      <c r="K562" s="164">
        <v>3448.8</v>
      </c>
      <c r="L562" s="165">
        <v>338</v>
      </c>
      <c r="M562" s="163" t="s">
        <v>268</v>
      </c>
      <c r="N562" s="163" t="s">
        <v>272</v>
      </c>
      <c r="O562" s="166" t="s">
        <v>1398</v>
      </c>
      <c r="P562" s="167">
        <v>5092635.92</v>
      </c>
      <c r="Q562" s="167">
        <v>0</v>
      </c>
      <c r="R562" s="167">
        <v>0</v>
      </c>
      <c r="S562" s="167">
        <f t="shared" si="185"/>
        <v>5092635.92</v>
      </c>
      <c r="T562" s="167">
        <f t="shared" si="180"/>
        <v>670.25476503212656</v>
      </c>
      <c r="U562" s="167">
        <v>851.50020794781824</v>
      </c>
      <c r="V562" s="149">
        <f t="shared" si="179"/>
        <v>181.24544291569168</v>
      </c>
      <c r="W562" s="149">
        <f t="shared" si="186"/>
        <v>851.50020794781824</v>
      </c>
      <c r="X562" s="149">
        <v>0</v>
      </c>
      <c r="Y562" s="368">
        <v>0</v>
      </c>
      <c r="Z562" s="368">
        <v>0</v>
      </c>
      <c r="AA562" s="368">
        <v>0</v>
      </c>
      <c r="AB562" s="368">
        <v>0</v>
      </c>
      <c r="AC562" s="368">
        <v>0</v>
      </c>
      <c r="AD562" s="368">
        <v>0</v>
      </c>
      <c r="AE562" s="368">
        <v>1037</v>
      </c>
      <c r="AF562" s="396">
        <f t="shared" si="187"/>
        <v>851.50020794781824</v>
      </c>
      <c r="AG562" s="368">
        <v>0</v>
      </c>
      <c r="AH562" s="396">
        <v>0</v>
      </c>
      <c r="AI562" s="368">
        <v>0</v>
      </c>
      <c r="AJ562" s="396">
        <v>0</v>
      </c>
      <c r="AK562" s="368">
        <v>0</v>
      </c>
      <c r="AL562" s="368">
        <v>0</v>
      </c>
      <c r="AM562" s="368">
        <v>0</v>
      </c>
      <c r="AN562" s="368"/>
      <c r="AO562" s="368">
        <v>0</v>
      </c>
    </row>
    <row r="563" spans="1:41" s="152" customFormat="1" ht="36" customHeight="1" x14ac:dyDescent="0.9">
      <c r="A563" s="152">
        <v>1</v>
      </c>
      <c r="B563" s="90">
        <f>SUBTOTAL(103,$A$554:A563)</f>
        <v>10</v>
      </c>
      <c r="C563" s="89" t="s">
        <v>549</v>
      </c>
      <c r="D563" s="163">
        <v>1968</v>
      </c>
      <c r="E563" s="163"/>
      <c r="F563" s="168" t="s">
        <v>270</v>
      </c>
      <c r="G563" s="163" t="s">
        <v>356</v>
      </c>
      <c r="H563" s="163">
        <v>4</v>
      </c>
      <c r="I563" s="164">
        <v>3511.62</v>
      </c>
      <c r="J563" s="164">
        <v>3757.7</v>
      </c>
      <c r="K563" s="164">
        <v>3241.9</v>
      </c>
      <c r="L563" s="165">
        <v>238</v>
      </c>
      <c r="M563" s="163" t="s">
        <v>268</v>
      </c>
      <c r="N563" s="163" t="s">
        <v>272</v>
      </c>
      <c r="O563" s="166" t="s">
        <v>1400</v>
      </c>
      <c r="P563" s="167">
        <v>5145091.9399999995</v>
      </c>
      <c r="Q563" s="167">
        <v>0</v>
      </c>
      <c r="R563" s="167">
        <v>0</v>
      </c>
      <c r="S563" s="167">
        <f t="shared" si="185"/>
        <v>5145091.9399999995</v>
      </c>
      <c r="T563" s="167">
        <f t="shared" si="180"/>
        <v>1465.1619309606392</v>
      </c>
      <c r="U563" s="167">
        <v>1886.7993746475986</v>
      </c>
      <c r="V563" s="149">
        <f t="shared" si="179"/>
        <v>421.63744368695939</v>
      </c>
      <c r="W563" s="149">
        <f t="shared" si="186"/>
        <v>1886.7993746475986</v>
      </c>
      <c r="X563" s="149">
        <v>0</v>
      </c>
      <c r="Y563" s="368">
        <v>0</v>
      </c>
      <c r="Z563" s="368">
        <v>0</v>
      </c>
      <c r="AA563" s="368">
        <v>0</v>
      </c>
      <c r="AB563" s="368">
        <v>0</v>
      </c>
      <c r="AC563" s="368">
        <v>0</v>
      </c>
      <c r="AD563" s="368">
        <v>0</v>
      </c>
      <c r="AE563" s="368">
        <v>1062</v>
      </c>
      <c r="AF563" s="396">
        <f t="shared" si="187"/>
        <v>1886.7993746475986</v>
      </c>
      <c r="AG563" s="368">
        <v>0</v>
      </c>
      <c r="AH563" s="396">
        <v>0</v>
      </c>
      <c r="AI563" s="368">
        <v>0</v>
      </c>
      <c r="AJ563" s="396">
        <v>0</v>
      </c>
      <c r="AK563" s="368">
        <v>0</v>
      </c>
      <c r="AL563" s="368">
        <v>0</v>
      </c>
      <c r="AM563" s="368">
        <v>0</v>
      </c>
      <c r="AN563" s="368"/>
      <c r="AO563" s="368">
        <v>0</v>
      </c>
    </row>
    <row r="564" spans="1:41" s="152" customFormat="1" ht="36" customHeight="1" x14ac:dyDescent="0.9">
      <c r="A564" s="152">
        <v>1</v>
      </c>
      <c r="B564" s="90">
        <f>SUBTOTAL(103,$A$554:A564)</f>
        <v>11</v>
      </c>
      <c r="C564" s="89" t="s">
        <v>548</v>
      </c>
      <c r="D564" s="163">
        <v>1970</v>
      </c>
      <c r="E564" s="163"/>
      <c r="F564" s="168" t="s">
        <v>270</v>
      </c>
      <c r="G564" s="163">
        <v>5</v>
      </c>
      <c r="H564" s="163">
        <v>4</v>
      </c>
      <c r="I564" s="164">
        <v>3361</v>
      </c>
      <c r="J564" s="164">
        <v>3361</v>
      </c>
      <c r="K564" s="164">
        <v>3735.6</v>
      </c>
      <c r="L564" s="165">
        <v>150</v>
      </c>
      <c r="M564" s="163" t="s">
        <v>268</v>
      </c>
      <c r="N564" s="163" t="s">
        <v>272</v>
      </c>
      <c r="O564" s="166" t="s">
        <v>1666</v>
      </c>
      <c r="P564" s="167">
        <v>5398710.1299999999</v>
      </c>
      <c r="Q564" s="167">
        <v>0</v>
      </c>
      <c r="R564" s="167">
        <v>0</v>
      </c>
      <c r="S564" s="167">
        <f t="shared" si="185"/>
        <v>5398710.1299999999</v>
      </c>
      <c r="T564" s="167">
        <f t="shared" si="180"/>
        <v>1606.2809074680154</v>
      </c>
      <c r="U564" s="167">
        <v>1982.4920797381731</v>
      </c>
      <c r="V564" s="149">
        <f t="shared" si="179"/>
        <v>376.2111722701577</v>
      </c>
      <c r="W564" s="149">
        <f t="shared" si="186"/>
        <v>1982.4920797381731</v>
      </c>
      <c r="X564" s="149">
        <v>0</v>
      </c>
      <c r="Y564" s="368">
        <v>0</v>
      </c>
      <c r="Z564" s="368">
        <v>0</v>
      </c>
      <c r="AA564" s="368">
        <v>0</v>
      </c>
      <c r="AB564" s="368">
        <v>0</v>
      </c>
      <c r="AC564" s="368">
        <v>0</v>
      </c>
      <c r="AD564" s="368">
        <v>0</v>
      </c>
      <c r="AE564" s="368">
        <v>1068</v>
      </c>
      <c r="AF564" s="396">
        <f t="shared" si="187"/>
        <v>1982.4920797381731</v>
      </c>
      <c r="AG564" s="368">
        <v>0</v>
      </c>
      <c r="AH564" s="396">
        <v>0</v>
      </c>
      <c r="AI564" s="368">
        <v>0</v>
      </c>
      <c r="AJ564" s="396">
        <v>0</v>
      </c>
      <c r="AK564" s="368">
        <v>0</v>
      </c>
      <c r="AL564" s="368">
        <v>0</v>
      </c>
      <c r="AM564" s="368">
        <v>0</v>
      </c>
      <c r="AN564" s="368"/>
      <c r="AO564" s="368">
        <v>0</v>
      </c>
    </row>
    <row r="565" spans="1:41" s="152" customFormat="1" ht="36" customHeight="1" x14ac:dyDescent="0.9">
      <c r="A565" s="152">
        <v>1</v>
      </c>
      <c r="B565" s="90">
        <f>SUBTOTAL(103,$A$554:A565)</f>
        <v>12</v>
      </c>
      <c r="C565" s="89" t="s">
        <v>810</v>
      </c>
      <c r="D565" s="163">
        <v>1961</v>
      </c>
      <c r="E565" s="163"/>
      <c r="F565" s="168" t="s">
        <v>270</v>
      </c>
      <c r="G565" s="163">
        <v>4</v>
      </c>
      <c r="H565" s="163">
        <v>4</v>
      </c>
      <c r="I565" s="164">
        <v>1126.9000000000001</v>
      </c>
      <c r="J565" s="164">
        <v>893.7</v>
      </c>
      <c r="K565" s="164">
        <v>707.8</v>
      </c>
      <c r="L565" s="165">
        <v>42</v>
      </c>
      <c r="M565" s="163" t="s">
        <v>268</v>
      </c>
      <c r="N565" s="163" t="s">
        <v>272</v>
      </c>
      <c r="O565" s="166" t="s">
        <v>1613</v>
      </c>
      <c r="P565" s="167">
        <v>2739901.57</v>
      </c>
      <c r="Q565" s="167">
        <v>0</v>
      </c>
      <c r="R565" s="167">
        <v>0</v>
      </c>
      <c r="S565" s="167">
        <f t="shared" si="185"/>
        <v>2739901.57</v>
      </c>
      <c r="T565" s="167">
        <f t="shared" si="180"/>
        <v>2431.361762356908</v>
      </c>
      <c r="U565" s="167">
        <v>3515.5806637678584</v>
      </c>
      <c r="V565" s="149">
        <f t="shared" si="179"/>
        <v>1084.2189014109504</v>
      </c>
      <c r="W565" s="149">
        <f t="shared" si="186"/>
        <v>3515.5806637678584</v>
      </c>
      <c r="X565" s="149">
        <v>0</v>
      </c>
      <c r="Y565" s="368">
        <v>0</v>
      </c>
      <c r="Z565" s="368">
        <v>0</v>
      </c>
      <c r="AA565" s="368">
        <v>0</v>
      </c>
      <c r="AB565" s="368">
        <v>0</v>
      </c>
      <c r="AC565" s="368">
        <v>0</v>
      </c>
      <c r="AD565" s="368">
        <v>0</v>
      </c>
      <c r="AE565" s="368">
        <v>635</v>
      </c>
      <c r="AF565" s="396">
        <f t="shared" si="187"/>
        <v>3515.5806637678584</v>
      </c>
      <c r="AG565" s="368">
        <v>0</v>
      </c>
      <c r="AH565" s="396">
        <v>0</v>
      </c>
      <c r="AI565" s="368">
        <v>0</v>
      </c>
      <c r="AJ565" s="396">
        <v>0</v>
      </c>
      <c r="AK565" s="368">
        <v>0</v>
      </c>
      <c r="AL565" s="368">
        <v>0</v>
      </c>
      <c r="AM565" s="368">
        <v>0</v>
      </c>
      <c r="AN565" s="368"/>
      <c r="AO565" s="368">
        <v>0</v>
      </c>
    </row>
    <row r="566" spans="1:41" s="152" customFormat="1" ht="36" customHeight="1" x14ac:dyDescent="0.9">
      <c r="A566" s="152">
        <v>1</v>
      </c>
      <c r="B566" s="90">
        <f>SUBTOTAL(103,$A$554:A566)</f>
        <v>13</v>
      </c>
      <c r="C566" s="89" t="s">
        <v>551</v>
      </c>
      <c r="D566" s="163" t="s">
        <v>311</v>
      </c>
      <c r="E566" s="163"/>
      <c r="F566" s="168" t="s">
        <v>315</v>
      </c>
      <c r="G566" s="163" t="s">
        <v>356</v>
      </c>
      <c r="H566" s="163">
        <v>4</v>
      </c>
      <c r="I566" s="164">
        <v>3904.9</v>
      </c>
      <c r="J566" s="164">
        <v>3572.3</v>
      </c>
      <c r="K566" s="164">
        <v>2529.9</v>
      </c>
      <c r="L566" s="165">
        <v>170</v>
      </c>
      <c r="M566" s="163" t="s">
        <v>268</v>
      </c>
      <c r="N566" s="163" t="s">
        <v>272</v>
      </c>
      <c r="O566" s="166" t="s">
        <v>1088</v>
      </c>
      <c r="P566" s="167">
        <v>5019175</v>
      </c>
      <c r="Q566" s="167">
        <v>0</v>
      </c>
      <c r="R566" s="167">
        <v>0</v>
      </c>
      <c r="S566" s="167">
        <f t="shared" si="185"/>
        <v>5019175</v>
      </c>
      <c r="T566" s="167">
        <f t="shared" si="180"/>
        <v>1285.3530180030218</v>
      </c>
      <c r="U566" s="167">
        <v>1533.8046044713051</v>
      </c>
      <c r="V566" s="149">
        <f t="shared" si="179"/>
        <v>248.45158646828327</v>
      </c>
      <c r="W566" s="149">
        <f t="shared" si="186"/>
        <v>1533.8046044713051</v>
      </c>
      <c r="X566" s="149">
        <v>0</v>
      </c>
      <c r="Y566" s="368">
        <v>0</v>
      </c>
      <c r="Z566" s="368">
        <v>0</v>
      </c>
      <c r="AA566" s="368">
        <v>0</v>
      </c>
      <c r="AB566" s="368">
        <v>0</v>
      </c>
      <c r="AC566" s="368">
        <v>0</v>
      </c>
      <c r="AD566" s="368">
        <v>0</v>
      </c>
      <c r="AE566" s="368">
        <v>960</v>
      </c>
      <c r="AF566" s="396">
        <f t="shared" si="187"/>
        <v>1533.8046044713051</v>
      </c>
      <c r="AG566" s="368">
        <v>0</v>
      </c>
      <c r="AH566" s="396">
        <v>0</v>
      </c>
      <c r="AI566" s="368">
        <v>0</v>
      </c>
      <c r="AJ566" s="396">
        <v>0</v>
      </c>
      <c r="AK566" s="368">
        <v>0</v>
      </c>
      <c r="AL566" s="368">
        <v>0</v>
      </c>
      <c r="AM566" s="368">
        <v>0</v>
      </c>
      <c r="AN566" s="368"/>
      <c r="AO566" s="368">
        <v>0</v>
      </c>
    </row>
    <row r="567" spans="1:41" s="152" customFormat="1" ht="36" customHeight="1" x14ac:dyDescent="0.9">
      <c r="A567" s="152">
        <v>1</v>
      </c>
      <c r="B567" s="90">
        <f>SUBTOTAL(103,$A$554:A567)</f>
        <v>14</v>
      </c>
      <c r="C567" s="89" t="s">
        <v>552</v>
      </c>
      <c r="D567" s="163" t="s">
        <v>311</v>
      </c>
      <c r="E567" s="163"/>
      <c r="F567" s="168" t="s">
        <v>315</v>
      </c>
      <c r="G567" s="163" t="s">
        <v>356</v>
      </c>
      <c r="H567" s="163">
        <v>3</v>
      </c>
      <c r="I567" s="164">
        <v>3361</v>
      </c>
      <c r="J567" s="164">
        <v>2572.6</v>
      </c>
      <c r="K567" s="164">
        <v>1749.7</v>
      </c>
      <c r="L567" s="165">
        <v>133</v>
      </c>
      <c r="M567" s="163" t="s">
        <v>268</v>
      </c>
      <c r="N567" s="163" t="s">
        <v>272</v>
      </c>
      <c r="O567" s="166" t="s">
        <v>1088</v>
      </c>
      <c r="P567" s="167">
        <v>4077255</v>
      </c>
      <c r="Q567" s="167">
        <v>0</v>
      </c>
      <c r="R567" s="167">
        <v>0</v>
      </c>
      <c r="S567" s="167">
        <f t="shared" si="185"/>
        <v>4077255</v>
      </c>
      <c r="T567" s="167">
        <f t="shared" si="180"/>
        <v>1213.1077060398691</v>
      </c>
      <c r="U567" s="167">
        <v>1438.6061440047604</v>
      </c>
      <c r="V567" s="149">
        <f t="shared" si="179"/>
        <v>225.49843796489131</v>
      </c>
      <c r="W567" s="149">
        <f t="shared" si="186"/>
        <v>1438.6061440047604</v>
      </c>
      <c r="X567" s="149">
        <v>0</v>
      </c>
      <c r="Y567" s="368">
        <v>0</v>
      </c>
      <c r="Z567" s="368">
        <v>0</v>
      </c>
      <c r="AA567" s="368">
        <v>0</v>
      </c>
      <c r="AB567" s="368">
        <v>0</v>
      </c>
      <c r="AC567" s="368">
        <v>0</v>
      </c>
      <c r="AD567" s="368">
        <v>0</v>
      </c>
      <c r="AE567" s="368">
        <v>775</v>
      </c>
      <c r="AF567" s="396">
        <f t="shared" si="187"/>
        <v>1438.6061440047604</v>
      </c>
      <c r="AG567" s="368">
        <v>0</v>
      </c>
      <c r="AH567" s="396">
        <v>0</v>
      </c>
      <c r="AI567" s="368">
        <v>0</v>
      </c>
      <c r="AJ567" s="396">
        <v>0</v>
      </c>
      <c r="AK567" s="368">
        <v>0</v>
      </c>
      <c r="AL567" s="368">
        <v>0</v>
      </c>
      <c r="AM567" s="368">
        <v>0</v>
      </c>
      <c r="AN567" s="368"/>
      <c r="AO567" s="368">
        <v>0</v>
      </c>
    </row>
    <row r="568" spans="1:41" s="152" customFormat="1" ht="36" customHeight="1" x14ac:dyDescent="0.9">
      <c r="A568" s="152">
        <v>1</v>
      </c>
      <c r="B568" s="90">
        <f>SUBTOTAL(103,$A$554:A568)</f>
        <v>15</v>
      </c>
      <c r="C568" s="89" t="s">
        <v>1416</v>
      </c>
      <c r="D568" s="163">
        <v>1965</v>
      </c>
      <c r="E568" s="163"/>
      <c r="F568" s="168" t="s">
        <v>270</v>
      </c>
      <c r="G568" s="163">
        <v>5</v>
      </c>
      <c r="H568" s="163">
        <v>4</v>
      </c>
      <c r="I568" s="164">
        <v>3647.4</v>
      </c>
      <c r="J568" s="164">
        <v>2512.3000000000002</v>
      </c>
      <c r="K568" s="164">
        <v>2436</v>
      </c>
      <c r="L568" s="165">
        <v>160</v>
      </c>
      <c r="M568" s="163" t="s">
        <v>268</v>
      </c>
      <c r="N568" s="163" t="s">
        <v>272</v>
      </c>
      <c r="O568" s="166" t="s">
        <v>1088</v>
      </c>
      <c r="P568" s="167">
        <v>5691105</v>
      </c>
      <c r="Q568" s="167">
        <v>0</v>
      </c>
      <c r="R568" s="167">
        <v>0</v>
      </c>
      <c r="S568" s="167">
        <f t="shared" si="185"/>
        <v>5691105</v>
      </c>
      <c r="T568" s="167">
        <f t="shared" si="180"/>
        <v>1560.3183089323902</v>
      </c>
      <c r="U568" s="167">
        <v>2064.7552396227447</v>
      </c>
      <c r="V568" s="149">
        <f t="shared" si="179"/>
        <v>504.43693069035453</v>
      </c>
      <c r="W568" s="149">
        <f t="shared" si="186"/>
        <v>2064.7552396227447</v>
      </c>
      <c r="X568" s="149">
        <v>0</v>
      </c>
      <c r="Y568" s="368">
        <v>0</v>
      </c>
      <c r="Z568" s="368">
        <v>0</v>
      </c>
      <c r="AA568" s="368">
        <v>0</v>
      </c>
      <c r="AB568" s="368">
        <v>0</v>
      </c>
      <c r="AC568" s="368">
        <v>0</v>
      </c>
      <c r="AD568" s="368">
        <v>0</v>
      </c>
      <c r="AE568" s="368">
        <v>1207.0999999999999</v>
      </c>
      <c r="AF568" s="396">
        <f t="shared" si="187"/>
        <v>2064.7552396227447</v>
      </c>
      <c r="AG568" s="368">
        <v>0</v>
      </c>
      <c r="AH568" s="396">
        <v>0</v>
      </c>
      <c r="AI568" s="368">
        <v>0</v>
      </c>
      <c r="AJ568" s="396">
        <v>0</v>
      </c>
      <c r="AK568" s="368">
        <v>0</v>
      </c>
      <c r="AL568" s="368">
        <v>0</v>
      </c>
      <c r="AM568" s="368">
        <v>0</v>
      </c>
      <c r="AN568" s="368"/>
      <c r="AO568" s="368">
        <v>0</v>
      </c>
    </row>
    <row r="569" spans="1:41" s="152" customFormat="1" ht="36" customHeight="1" x14ac:dyDescent="0.9">
      <c r="A569" s="152">
        <v>1</v>
      </c>
      <c r="B569" s="90">
        <f>SUBTOTAL(103,$A$554:A569)</f>
        <v>16</v>
      </c>
      <c r="C569" s="89" t="s">
        <v>811</v>
      </c>
      <c r="D569" s="163">
        <v>1962</v>
      </c>
      <c r="E569" s="163"/>
      <c r="F569" s="168" t="s">
        <v>270</v>
      </c>
      <c r="G569" s="163">
        <v>4</v>
      </c>
      <c r="H569" s="163">
        <v>2</v>
      </c>
      <c r="I569" s="164">
        <v>1260.7</v>
      </c>
      <c r="J569" s="164">
        <v>979.2</v>
      </c>
      <c r="K569" s="164">
        <v>905.52</v>
      </c>
      <c r="L569" s="165">
        <v>83</v>
      </c>
      <c r="M569" s="163" t="s">
        <v>268</v>
      </c>
      <c r="N569" s="163" t="s">
        <v>302</v>
      </c>
      <c r="O569" s="166" t="s">
        <v>824</v>
      </c>
      <c r="P569" s="167">
        <v>3110127.71</v>
      </c>
      <c r="Q569" s="167">
        <v>0</v>
      </c>
      <c r="R569" s="167">
        <v>0</v>
      </c>
      <c r="S569" s="167">
        <f t="shared" si="185"/>
        <v>3110127.71</v>
      </c>
      <c r="T569" s="167">
        <f t="shared" si="180"/>
        <v>2466.9847782977708</v>
      </c>
      <c r="U569" s="167">
        <v>3464.1365907828981</v>
      </c>
      <c r="V569" s="149">
        <f t="shared" si="179"/>
        <v>997.15181248512727</v>
      </c>
      <c r="W569" s="149">
        <f t="shared" si="186"/>
        <v>3464.1365907828981</v>
      </c>
      <c r="X569" s="149">
        <v>0</v>
      </c>
      <c r="Y569" s="368">
        <v>0</v>
      </c>
      <c r="Z569" s="368">
        <v>0</v>
      </c>
      <c r="AA569" s="368">
        <v>0</v>
      </c>
      <c r="AB569" s="368">
        <v>0</v>
      </c>
      <c r="AC569" s="368">
        <v>0</v>
      </c>
      <c r="AD569" s="368">
        <v>0</v>
      </c>
      <c r="AE569" s="368">
        <v>700</v>
      </c>
      <c r="AF569" s="396">
        <f t="shared" si="187"/>
        <v>3464.1365907828981</v>
      </c>
      <c r="AG569" s="368">
        <v>0</v>
      </c>
      <c r="AH569" s="396">
        <v>0</v>
      </c>
      <c r="AI569" s="368">
        <v>0</v>
      </c>
      <c r="AJ569" s="396">
        <v>0</v>
      </c>
      <c r="AK569" s="368">
        <v>0</v>
      </c>
      <c r="AL569" s="368">
        <v>0</v>
      </c>
      <c r="AM569" s="368">
        <v>0</v>
      </c>
      <c r="AN569" s="368"/>
      <c r="AO569" s="368">
        <v>0</v>
      </c>
    </row>
    <row r="570" spans="1:41" s="152" customFormat="1" ht="36" customHeight="1" x14ac:dyDescent="0.9">
      <c r="A570" s="152">
        <v>1</v>
      </c>
      <c r="B570" s="90">
        <f>SUBTOTAL(103,$A$554:A570)</f>
        <v>17</v>
      </c>
      <c r="C570" s="89" t="s">
        <v>554</v>
      </c>
      <c r="D570" s="163" t="s">
        <v>314</v>
      </c>
      <c r="E570" s="163"/>
      <c r="F570" s="168" t="s">
        <v>270</v>
      </c>
      <c r="G570" s="163" t="s">
        <v>356</v>
      </c>
      <c r="H570" s="163">
        <v>1</v>
      </c>
      <c r="I570" s="164">
        <v>667.4</v>
      </c>
      <c r="J570" s="164">
        <v>486.4</v>
      </c>
      <c r="K570" s="164">
        <v>486.4</v>
      </c>
      <c r="L570" s="165">
        <v>29</v>
      </c>
      <c r="M570" s="163" t="s">
        <v>268</v>
      </c>
      <c r="N570" s="163" t="s">
        <v>272</v>
      </c>
      <c r="O570" s="166" t="s">
        <v>1398</v>
      </c>
      <c r="P570" s="167">
        <v>1126135.8999999999</v>
      </c>
      <c r="Q570" s="167">
        <v>0</v>
      </c>
      <c r="R570" s="167">
        <v>0</v>
      </c>
      <c r="S570" s="167">
        <f t="shared" si="185"/>
        <v>1126135.8999999999</v>
      </c>
      <c r="T570" s="167">
        <f t="shared" si="180"/>
        <v>1687.3477674557985</v>
      </c>
      <c r="U570" s="167">
        <v>1963.097243032664</v>
      </c>
      <c r="V570" s="149">
        <f t="shared" si="179"/>
        <v>275.74947557686551</v>
      </c>
      <c r="W570" s="149">
        <f t="shared" si="186"/>
        <v>1963.097243032664</v>
      </c>
      <c r="X570" s="149">
        <v>0</v>
      </c>
      <c r="Y570" s="368">
        <v>0</v>
      </c>
      <c r="Z570" s="368">
        <v>0</v>
      </c>
      <c r="AA570" s="368">
        <v>0</v>
      </c>
      <c r="AB570" s="368">
        <v>0</v>
      </c>
      <c r="AC570" s="368">
        <v>0</v>
      </c>
      <c r="AD570" s="368">
        <v>0</v>
      </c>
      <c r="AE570" s="368">
        <v>210</v>
      </c>
      <c r="AF570" s="396">
        <f t="shared" si="187"/>
        <v>1963.097243032664</v>
      </c>
      <c r="AG570" s="368">
        <v>0</v>
      </c>
      <c r="AH570" s="396">
        <v>0</v>
      </c>
      <c r="AI570" s="368">
        <v>0</v>
      </c>
      <c r="AJ570" s="396">
        <v>0</v>
      </c>
      <c r="AK570" s="368">
        <v>0</v>
      </c>
      <c r="AL570" s="368">
        <v>0</v>
      </c>
      <c r="AM570" s="368">
        <v>0</v>
      </c>
      <c r="AN570" s="368"/>
      <c r="AO570" s="368">
        <v>0</v>
      </c>
    </row>
    <row r="571" spans="1:41" s="152" customFormat="1" ht="36" customHeight="1" x14ac:dyDescent="0.9">
      <c r="A571" s="152">
        <v>1</v>
      </c>
      <c r="B571" s="90">
        <f>SUBTOTAL(103,$A$554:A571)</f>
        <v>18</v>
      </c>
      <c r="C571" s="89" t="s">
        <v>555</v>
      </c>
      <c r="D571" s="163" t="s">
        <v>363</v>
      </c>
      <c r="E571" s="163"/>
      <c r="F571" s="168" t="s">
        <v>270</v>
      </c>
      <c r="G571" s="163" t="s">
        <v>312</v>
      </c>
      <c r="H571" s="163">
        <v>1</v>
      </c>
      <c r="I571" s="164">
        <v>1061.9000000000001</v>
      </c>
      <c r="J571" s="164">
        <v>977.4</v>
      </c>
      <c r="K571" s="164">
        <v>977.4</v>
      </c>
      <c r="L571" s="165">
        <v>25</v>
      </c>
      <c r="M571" s="163" t="s">
        <v>268</v>
      </c>
      <c r="N571" s="163" t="s">
        <v>272</v>
      </c>
      <c r="O571" s="166" t="s">
        <v>1398</v>
      </c>
      <c r="P571" s="167">
        <v>4057359.23</v>
      </c>
      <c r="Q571" s="167">
        <v>0</v>
      </c>
      <c r="R571" s="167">
        <v>0</v>
      </c>
      <c r="S571" s="167">
        <f t="shared" si="185"/>
        <v>4057359.23</v>
      </c>
      <c r="T571" s="167">
        <f t="shared" si="180"/>
        <v>3820.848695734061</v>
      </c>
      <c r="U571" s="167">
        <v>6591.9995460966193</v>
      </c>
      <c r="V571" s="149">
        <f t="shared" si="179"/>
        <v>2771.1508503625582</v>
      </c>
      <c r="W571" s="149">
        <f t="shared" si="186"/>
        <v>6591.9995460966193</v>
      </c>
      <c r="X571" s="149">
        <v>0</v>
      </c>
      <c r="Y571" s="368">
        <v>0</v>
      </c>
      <c r="Z571" s="368">
        <v>0</v>
      </c>
      <c r="AA571" s="368">
        <v>0</v>
      </c>
      <c r="AB571" s="368">
        <v>0</v>
      </c>
      <c r="AC571" s="368">
        <v>0</v>
      </c>
      <c r="AD571" s="368">
        <v>0</v>
      </c>
      <c r="AE571" s="368">
        <v>0</v>
      </c>
      <c r="AF571" s="396">
        <v>0</v>
      </c>
      <c r="AG571" s="368">
        <v>0</v>
      </c>
      <c r="AH571" s="396">
        <v>0</v>
      </c>
      <c r="AI571" s="368">
        <v>940.98</v>
      </c>
      <c r="AJ571" s="397">
        <f>7439.1*AI571/I571</f>
        <v>6591.9995460966193</v>
      </c>
      <c r="AK571" s="368">
        <v>0</v>
      </c>
      <c r="AL571" s="368">
        <v>0</v>
      </c>
      <c r="AM571" s="368">
        <v>0</v>
      </c>
      <c r="AN571" s="368"/>
      <c r="AO571" s="368">
        <v>0</v>
      </c>
    </row>
    <row r="572" spans="1:41" s="152" customFormat="1" ht="36" customHeight="1" x14ac:dyDescent="0.9">
      <c r="A572" s="152">
        <v>1</v>
      </c>
      <c r="B572" s="90">
        <f>SUBTOTAL(103,$A$554:A572)</f>
        <v>19</v>
      </c>
      <c r="C572" s="89" t="s">
        <v>556</v>
      </c>
      <c r="D572" s="163" t="s">
        <v>364</v>
      </c>
      <c r="E572" s="163"/>
      <c r="F572" s="168" t="s">
        <v>270</v>
      </c>
      <c r="G572" s="163" t="s">
        <v>356</v>
      </c>
      <c r="H572" s="163">
        <v>2</v>
      </c>
      <c r="I572" s="164">
        <v>1953.8</v>
      </c>
      <c r="J572" s="164">
        <v>1724.7</v>
      </c>
      <c r="K572" s="164">
        <v>1572.5</v>
      </c>
      <c r="L572" s="165">
        <v>51</v>
      </c>
      <c r="M572" s="163" t="s">
        <v>268</v>
      </c>
      <c r="N572" s="163" t="s">
        <v>272</v>
      </c>
      <c r="O572" s="166" t="s">
        <v>1667</v>
      </c>
      <c r="P572" s="167">
        <v>2760412.39</v>
      </c>
      <c r="Q572" s="167">
        <v>0</v>
      </c>
      <c r="R572" s="167">
        <v>0</v>
      </c>
      <c r="S572" s="167">
        <f t="shared" si="185"/>
        <v>2760412.39</v>
      </c>
      <c r="T572" s="167">
        <f t="shared" si="180"/>
        <v>1412.8428651857919</v>
      </c>
      <c r="U572" s="167">
        <v>1788.202272494626</v>
      </c>
      <c r="V572" s="149">
        <f t="shared" si="179"/>
        <v>375.35940730883408</v>
      </c>
      <c r="W572" s="149">
        <f t="shared" si="186"/>
        <v>1788.202272494626</v>
      </c>
      <c r="X572" s="149">
        <v>0</v>
      </c>
      <c r="Y572" s="368">
        <v>0</v>
      </c>
      <c r="Z572" s="368">
        <v>0</v>
      </c>
      <c r="AA572" s="368">
        <v>0</v>
      </c>
      <c r="AB572" s="368">
        <v>0</v>
      </c>
      <c r="AC572" s="368">
        <v>0</v>
      </c>
      <c r="AD572" s="368">
        <v>0</v>
      </c>
      <c r="AE572" s="368">
        <v>560</v>
      </c>
      <c r="AF572" s="396">
        <f t="shared" ref="AF572:AF574" si="188">6238.91*AE572/I572</f>
        <v>1788.202272494626</v>
      </c>
      <c r="AG572" s="368">
        <v>0</v>
      </c>
      <c r="AH572" s="396">
        <v>0</v>
      </c>
      <c r="AI572" s="368">
        <v>0</v>
      </c>
      <c r="AJ572" s="396">
        <v>0</v>
      </c>
      <c r="AK572" s="368">
        <v>0</v>
      </c>
      <c r="AL572" s="368">
        <v>0</v>
      </c>
      <c r="AM572" s="368">
        <v>0</v>
      </c>
      <c r="AN572" s="368"/>
      <c r="AO572" s="368">
        <v>0</v>
      </c>
    </row>
    <row r="573" spans="1:41" s="152" customFormat="1" ht="36" customHeight="1" x14ac:dyDescent="0.9">
      <c r="A573" s="152">
        <v>1</v>
      </c>
      <c r="B573" s="90">
        <f>SUBTOTAL(103,$A$554:A573)</f>
        <v>20</v>
      </c>
      <c r="C573" s="89" t="s">
        <v>813</v>
      </c>
      <c r="D573" s="163">
        <v>1987</v>
      </c>
      <c r="E573" s="163"/>
      <c r="F573" s="168" t="s">
        <v>315</v>
      </c>
      <c r="G573" s="163">
        <v>9</v>
      </c>
      <c r="H573" s="163">
        <v>5</v>
      </c>
      <c r="I573" s="164">
        <v>9798</v>
      </c>
      <c r="J573" s="164">
        <v>9687.5</v>
      </c>
      <c r="K573" s="164">
        <v>9248.6</v>
      </c>
      <c r="L573" s="165">
        <v>489</v>
      </c>
      <c r="M573" s="163" t="s">
        <v>268</v>
      </c>
      <c r="N573" s="163" t="s">
        <v>272</v>
      </c>
      <c r="O573" s="166" t="s">
        <v>1398</v>
      </c>
      <c r="P573" s="167">
        <v>5592560.8499999996</v>
      </c>
      <c r="Q573" s="167">
        <v>0</v>
      </c>
      <c r="R573" s="167">
        <v>0</v>
      </c>
      <c r="S573" s="167">
        <f t="shared" si="185"/>
        <v>5592560.8499999996</v>
      </c>
      <c r="T573" s="167">
        <f t="shared" si="180"/>
        <v>570.78596142069807</v>
      </c>
      <c r="U573" s="167">
        <v>885.72400591957546</v>
      </c>
      <c r="V573" s="149">
        <f t="shared" si="179"/>
        <v>314.93804449887739</v>
      </c>
      <c r="W573" s="149">
        <f t="shared" si="186"/>
        <v>885.72400591957546</v>
      </c>
      <c r="X573" s="149">
        <v>0</v>
      </c>
      <c r="Y573" s="368">
        <v>0</v>
      </c>
      <c r="Z573" s="368">
        <v>0</v>
      </c>
      <c r="AA573" s="368">
        <v>0</v>
      </c>
      <c r="AB573" s="368">
        <v>0</v>
      </c>
      <c r="AC573" s="368">
        <v>0</v>
      </c>
      <c r="AD573" s="368">
        <v>0</v>
      </c>
      <c r="AE573" s="368">
        <v>1391</v>
      </c>
      <c r="AF573" s="396">
        <f t="shared" si="188"/>
        <v>885.72400591957546</v>
      </c>
      <c r="AG573" s="368">
        <v>0</v>
      </c>
      <c r="AH573" s="396">
        <v>0</v>
      </c>
      <c r="AI573" s="368">
        <v>0</v>
      </c>
      <c r="AJ573" s="396">
        <v>0</v>
      </c>
      <c r="AK573" s="368">
        <v>0</v>
      </c>
      <c r="AL573" s="368">
        <v>0</v>
      </c>
      <c r="AM573" s="368">
        <v>0</v>
      </c>
      <c r="AN573" s="368"/>
      <c r="AO573" s="368">
        <v>0</v>
      </c>
    </row>
    <row r="574" spans="1:41" s="152" customFormat="1" ht="36" customHeight="1" x14ac:dyDescent="0.9">
      <c r="A574" s="152">
        <v>1</v>
      </c>
      <c r="B574" s="90">
        <f>SUBTOTAL(103,$A$554:A574)</f>
        <v>21</v>
      </c>
      <c r="C574" s="89" t="s">
        <v>557</v>
      </c>
      <c r="D574" s="163" t="s">
        <v>310</v>
      </c>
      <c r="E574" s="163"/>
      <c r="F574" s="168" t="s">
        <v>270</v>
      </c>
      <c r="G574" s="163" t="s">
        <v>356</v>
      </c>
      <c r="H574" s="163">
        <v>4</v>
      </c>
      <c r="I574" s="164">
        <v>3951</v>
      </c>
      <c r="J574" s="164">
        <v>3662.3</v>
      </c>
      <c r="K574" s="164">
        <v>2413.8000000000002</v>
      </c>
      <c r="L574" s="165">
        <v>103</v>
      </c>
      <c r="M574" s="163" t="s">
        <v>268</v>
      </c>
      <c r="N574" s="163" t="s">
        <v>272</v>
      </c>
      <c r="O574" s="166" t="s">
        <v>1089</v>
      </c>
      <c r="P574" s="167">
        <v>4005106.45</v>
      </c>
      <c r="Q574" s="167">
        <v>0</v>
      </c>
      <c r="R574" s="167">
        <v>0</v>
      </c>
      <c r="S574" s="167">
        <f t="shared" si="185"/>
        <v>4005106.45</v>
      </c>
      <c r="T574" s="167">
        <f>P574/I574</f>
        <v>1013.6943685143002</v>
      </c>
      <c r="U574" s="167">
        <v>1297.996461655277</v>
      </c>
      <c r="V574" s="149">
        <f t="shared" si="179"/>
        <v>284.30209314097681</v>
      </c>
      <c r="W574" s="149">
        <f t="shared" si="186"/>
        <v>1297.996461655277</v>
      </c>
      <c r="X574" s="149">
        <v>0</v>
      </c>
      <c r="Y574" s="368">
        <v>0</v>
      </c>
      <c r="Z574" s="368">
        <v>0</v>
      </c>
      <c r="AA574" s="368">
        <v>0</v>
      </c>
      <c r="AB574" s="368">
        <v>0</v>
      </c>
      <c r="AC574" s="368">
        <v>0</v>
      </c>
      <c r="AD574" s="368">
        <v>0</v>
      </c>
      <c r="AE574" s="368">
        <v>822</v>
      </c>
      <c r="AF574" s="396">
        <f t="shared" si="188"/>
        <v>1297.996461655277</v>
      </c>
      <c r="AG574" s="368">
        <v>0</v>
      </c>
      <c r="AH574" s="396">
        <v>0</v>
      </c>
      <c r="AI574" s="368">
        <v>0</v>
      </c>
      <c r="AJ574" s="396">
        <v>0</v>
      </c>
      <c r="AK574" s="368">
        <v>0</v>
      </c>
      <c r="AL574" s="368">
        <v>0</v>
      </c>
      <c r="AM574" s="368">
        <v>0</v>
      </c>
      <c r="AN574" s="368"/>
      <c r="AO574" s="368">
        <v>0</v>
      </c>
    </row>
    <row r="575" spans="1:41" s="152" customFormat="1" ht="36" customHeight="1" x14ac:dyDescent="0.9">
      <c r="A575" s="152">
        <v>1</v>
      </c>
      <c r="B575" s="90">
        <f>SUBTOTAL(103,$A$554:A575)</f>
        <v>22</v>
      </c>
      <c r="C575" s="89" t="s">
        <v>559</v>
      </c>
      <c r="D575" s="163" t="s">
        <v>310</v>
      </c>
      <c r="E575" s="163"/>
      <c r="F575" s="168" t="s">
        <v>270</v>
      </c>
      <c r="G575" s="163" t="s">
        <v>356</v>
      </c>
      <c r="H575" s="163">
        <v>2</v>
      </c>
      <c r="I575" s="164">
        <v>2023.4</v>
      </c>
      <c r="J575" s="164">
        <v>1578.8</v>
      </c>
      <c r="K575" s="164">
        <v>1536.2</v>
      </c>
      <c r="L575" s="165">
        <v>65</v>
      </c>
      <c r="M575" s="163" t="s">
        <v>268</v>
      </c>
      <c r="N575" s="163" t="s">
        <v>272</v>
      </c>
      <c r="O575" s="166" t="s">
        <v>1398</v>
      </c>
      <c r="P575" s="167">
        <v>4448638.5999999996</v>
      </c>
      <c r="Q575" s="167">
        <v>0</v>
      </c>
      <c r="R575" s="167">
        <v>0</v>
      </c>
      <c r="S575" s="167">
        <f t="shared" si="185"/>
        <v>4448638.5999999996</v>
      </c>
      <c r="T575" s="167">
        <f t="shared" ref="T575:T638" si="189">P575/I575</f>
        <v>2198.5957299594738</v>
      </c>
      <c r="U575" s="167">
        <v>3850.2508031036868</v>
      </c>
      <c r="V575" s="149">
        <f t="shared" si="179"/>
        <v>1651.655073144213</v>
      </c>
      <c r="W575" s="149">
        <f t="shared" si="186"/>
        <v>3850.2508031036868</v>
      </c>
      <c r="X575" s="149">
        <v>0</v>
      </c>
      <c r="Y575" s="368">
        <v>0</v>
      </c>
      <c r="Z575" s="368">
        <v>0</v>
      </c>
      <c r="AA575" s="368">
        <v>0</v>
      </c>
      <c r="AB575" s="368">
        <v>0</v>
      </c>
      <c r="AC575" s="368">
        <v>0</v>
      </c>
      <c r="AD575" s="368">
        <v>0</v>
      </c>
      <c r="AE575" s="368">
        <v>0</v>
      </c>
      <c r="AF575" s="396">
        <v>0</v>
      </c>
      <c r="AG575" s="368">
        <v>0</v>
      </c>
      <c r="AH575" s="396">
        <v>0</v>
      </c>
      <c r="AI575" s="368">
        <v>1047.25</v>
      </c>
      <c r="AJ575" s="397">
        <f>7439.1*AI575/I575</f>
        <v>3850.2508031036868</v>
      </c>
      <c r="AK575" s="368">
        <v>0</v>
      </c>
      <c r="AL575" s="368">
        <v>0</v>
      </c>
      <c r="AM575" s="368">
        <v>0</v>
      </c>
      <c r="AN575" s="368"/>
      <c r="AO575" s="368">
        <v>0</v>
      </c>
    </row>
    <row r="576" spans="1:41" s="152" customFormat="1" ht="36" customHeight="1" x14ac:dyDescent="0.9">
      <c r="A576" s="152">
        <v>1</v>
      </c>
      <c r="B576" s="90">
        <f>SUBTOTAL(103,$A$554:A576)</f>
        <v>23</v>
      </c>
      <c r="C576" s="89" t="s">
        <v>1651</v>
      </c>
      <c r="D576" s="163" t="s">
        <v>367</v>
      </c>
      <c r="E576" s="163"/>
      <c r="F576" s="168" t="s">
        <v>270</v>
      </c>
      <c r="G576" s="163" t="s">
        <v>307</v>
      </c>
      <c r="H576" s="163">
        <v>3</v>
      </c>
      <c r="I576" s="164">
        <v>506.1</v>
      </c>
      <c r="J576" s="164">
        <v>290.3</v>
      </c>
      <c r="K576" s="164">
        <v>290.3</v>
      </c>
      <c r="L576" s="165">
        <v>10</v>
      </c>
      <c r="M576" s="163" t="s">
        <v>268</v>
      </c>
      <c r="N576" s="163" t="s">
        <v>272</v>
      </c>
      <c r="O576" s="166" t="s">
        <v>1668</v>
      </c>
      <c r="P576" s="167">
        <v>2397304.5699999998</v>
      </c>
      <c r="Q576" s="167">
        <v>0</v>
      </c>
      <c r="R576" s="167">
        <v>0</v>
      </c>
      <c r="S576" s="167">
        <f t="shared" si="185"/>
        <v>2397304.5699999998</v>
      </c>
      <c r="T576" s="167">
        <f t="shared" si="189"/>
        <v>4736.8199367713887</v>
      </c>
      <c r="U576" s="167">
        <v>5978.8013238490412</v>
      </c>
      <c r="V576" s="149">
        <f t="shared" si="179"/>
        <v>1241.9813870776525</v>
      </c>
      <c r="W576" s="149">
        <f t="shared" si="186"/>
        <v>5978.8013238490412</v>
      </c>
      <c r="X576" s="149">
        <v>0</v>
      </c>
      <c r="Y576" s="368">
        <v>0</v>
      </c>
      <c r="Z576" s="368">
        <v>0</v>
      </c>
      <c r="AA576" s="368">
        <v>0</v>
      </c>
      <c r="AB576" s="368">
        <v>0</v>
      </c>
      <c r="AC576" s="368">
        <v>0</v>
      </c>
      <c r="AD576" s="368">
        <v>0</v>
      </c>
      <c r="AE576" s="368">
        <v>485</v>
      </c>
      <c r="AF576" s="396">
        <f t="shared" ref="AF576:AF577" si="190">6238.91*AE576/I576</f>
        <v>5978.8013238490412</v>
      </c>
      <c r="AG576" s="368">
        <v>0</v>
      </c>
      <c r="AH576" s="396">
        <v>0</v>
      </c>
      <c r="AI576" s="368">
        <v>0</v>
      </c>
      <c r="AJ576" s="396">
        <v>0</v>
      </c>
      <c r="AK576" s="368">
        <v>0</v>
      </c>
      <c r="AL576" s="368">
        <v>0</v>
      </c>
      <c r="AM576" s="368">
        <v>0</v>
      </c>
      <c r="AN576" s="368"/>
      <c r="AO576" s="368">
        <v>0</v>
      </c>
    </row>
    <row r="577" spans="1:41" s="152" customFormat="1" ht="36" customHeight="1" x14ac:dyDescent="0.9">
      <c r="A577" s="152">
        <v>1</v>
      </c>
      <c r="B577" s="90">
        <f>SUBTOTAL(103,$A$554:A577)</f>
        <v>24</v>
      </c>
      <c r="C577" s="89" t="s">
        <v>560</v>
      </c>
      <c r="D577" s="163" t="s">
        <v>368</v>
      </c>
      <c r="E577" s="163"/>
      <c r="F577" s="168" t="s">
        <v>369</v>
      </c>
      <c r="G577" s="163" t="s">
        <v>307</v>
      </c>
      <c r="H577" s="163">
        <v>2</v>
      </c>
      <c r="I577" s="164">
        <v>583.5</v>
      </c>
      <c r="J577" s="164">
        <v>558.1</v>
      </c>
      <c r="K577" s="164">
        <v>416.1</v>
      </c>
      <c r="L577" s="165">
        <v>35</v>
      </c>
      <c r="M577" s="163" t="s">
        <v>268</v>
      </c>
      <c r="N577" s="163" t="s">
        <v>272</v>
      </c>
      <c r="O577" s="166" t="s">
        <v>1669</v>
      </c>
      <c r="P577" s="167">
        <v>2564514.5199999996</v>
      </c>
      <c r="Q577" s="167">
        <v>0</v>
      </c>
      <c r="R577" s="167">
        <v>0</v>
      </c>
      <c r="S577" s="167">
        <f t="shared" si="185"/>
        <v>2564514.5199999996</v>
      </c>
      <c r="T577" s="167">
        <f t="shared" si="189"/>
        <v>4395.0548757497854</v>
      </c>
      <c r="U577" s="167">
        <v>6479.4849357326475</v>
      </c>
      <c r="V577" s="149">
        <f t="shared" si="179"/>
        <v>2084.4300599828621</v>
      </c>
      <c r="W577" s="149">
        <f t="shared" si="186"/>
        <v>6479.4849357326475</v>
      </c>
      <c r="X577" s="149">
        <v>0</v>
      </c>
      <c r="Y577" s="368">
        <v>0</v>
      </c>
      <c r="Z577" s="368">
        <v>0</v>
      </c>
      <c r="AA577" s="368">
        <v>0</v>
      </c>
      <c r="AB577" s="368">
        <v>0</v>
      </c>
      <c r="AC577" s="368">
        <v>0</v>
      </c>
      <c r="AD577" s="368">
        <v>0</v>
      </c>
      <c r="AE577" s="368">
        <v>606</v>
      </c>
      <c r="AF577" s="396">
        <f t="shared" si="190"/>
        <v>6479.4849357326475</v>
      </c>
      <c r="AG577" s="368">
        <v>0</v>
      </c>
      <c r="AH577" s="396">
        <v>0</v>
      </c>
      <c r="AI577" s="368">
        <v>0</v>
      </c>
      <c r="AJ577" s="396">
        <v>0</v>
      </c>
      <c r="AK577" s="368">
        <v>0</v>
      </c>
      <c r="AL577" s="368">
        <v>0</v>
      </c>
      <c r="AM577" s="368">
        <v>0</v>
      </c>
      <c r="AN577" s="368"/>
      <c r="AO577" s="368">
        <v>0</v>
      </c>
    </row>
    <row r="578" spans="1:41" s="152" customFormat="1" ht="36" customHeight="1" x14ac:dyDescent="0.9">
      <c r="A578" s="152">
        <v>1</v>
      </c>
      <c r="B578" s="90">
        <f>SUBTOTAL(103,$A$554:A578)</f>
        <v>25</v>
      </c>
      <c r="C578" s="89" t="s">
        <v>562</v>
      </c>
      <c r="D578" s="163" t="s">
        <v>314</v>
      </c>
      <c r="E578" s="163"/>
      <c r="F578" s="168" t="s">
        <v>270</v>
      </c>
      <c r="G578" s="163" t="s">
        <v>316</v>
      </c>
      <c r="H578" s="163">
        <v>4</v>
      </c>
      <c r="I578" s="164">
        <v>2853</v>
      </c>
      <c r="J578" s="164">
        <v>1941.5</v>
      </c>
      <c r="K578" s="164">
        <v>1882.5</v>
      </c>
      <c r="L578" s="165">
        <v>96</v>
      </c>
      <c r="M578" s="163" t="s">
        <v>268</v>
      </c>
      <c r="N578" s="163" t="s">
        <v>272</v>
      </c>
      <c r="O578" s="166" t="s">
        <v>1398</v>
      </c>
      <c r="P578" s="167">
        <v>5133796.7</v>
      </c>
      <c r="Q578" s="167">
        <v>0</v>
      </c>
      <c r="R578" s="167">
        <v>0</v>
      </c>
      <c r="S578" s="167">
        <f t="shared" si="185"/>
        <v>5133796.7</v>
      </c>
      <c r="T578" s="167">
        <f t="shared" si="189"/>
        <v>1799.4380301437084</v>
      </c>
      <c r="U578" s="167">
        <v>3024.6603575184017</v>
      </c>
      <c r="V578" s="149">
        <f t="shared" si="179"/>
        <v>1225.2223273746934</v>
      </c>
      <c r="W578" s="149">
        <f t="shared" si="186"/>
        <v>3024.6603575184017</v>
      </c>
      <c r="X578" s="149">
        <v>0</v>
      </c>
      <c r="Y578" s="368">
        <v>0</v>
      </c>
      <c r="Z578" s="368">
        <v>0</v>
      </c>
      <c r="AA578" s="368">
        <v>0</v>
      </c>
      <c r="AB578" s="368">
        <v>0</v>
      </c>
      <c r="AC578" s="368">
        <v>0</v>
      </c>
      <c r="AD578" s="368">
        <v>0</v>
      </c>
      <c r="AE578" s="368">
        <v>0</v>
      </c>
      <c r="AF578" s="396">
        <v>0</v>
      </c>
      <c r="AG578" s="368">
        <v>0</v>
      </c>
      <c r="AH578" s="396">
        <v>0</v>
      </c>
      <c r="AI578" s="368">
        <v>1160</v>
      </c>
      <c r="AJ578" s="397">
        <f>7439.1*AI578/I578</f>
        <v>3024.6603575184017</v>
      </c>
      <c r="AK578" s="368">
        <v>0</v>
      </c>
      <c r="AL578" s="368">
        <v>0</v>
      </c>
      <c r="AM578" s="368">
        <v>0</v>
      </c>
      <c r="AN578" s="368"/>
      <c r="AO578" s="368">
        <v>0</v>
      </c>
    </row>
    <row r="579" spans="1:41" s="152" customFormat="1" ht="36" customHeight="1" x14ac:dyDescent="0.9">
      <c r="A579" s="152">
        <v>1</v>
      </c>
      <c r="B579" s="90">
        <f>SUBTOTAL(103,$A$554:A579)</f>
        <v>26</v>
      </c>
      <c r="C579" s="89" t="s">
        <v>563</v>
      </c>
      <c r="D579" s="163">
        <v>1985</v>
      </c>
      <c r="E579" s="163"/>
      <c r="F579" s="168" t="s">
        <v>315</v>
      </c>
      <c r="G579" s="163">
        <v>2</v>
      </c>
      <c r="H579" s="163">
        <v>2</v>
      </c>
      <c r="I579" s="164">
        <v>626.1</v>
      </c>
      <c r="J579" s="164">
        <v>586.4</v>
      </c>
      <c r="K579" s="164">
        <v>348.2</v>
      </c>
      <c r="L579" s="165">
        <v>43</v>
      </c>
      <c r="M579" s="163" t="s">
        <v>268</v>
      </c>
      <c r="N579" s="163" t="s">
        <v>272</v>
      </c>
      <c r="O579" s="166" t="s">
        <v>1398</v>
      </c>
      <c r="P579" s="167">
        <v>2171781.17</v>
      </c>
      <c r="Q579" s="167">
        <v>0</v>
      </c>
      <c r="R579" s="167">
        <v>0</v>
      </c>
      <c r="S579" s="167">
        <f t="shared" si="185"/>
        <v>2171781.17</v>
      </c>
      <c r="T579" s="167">
        <f t="shared" si="189"/>
        <v>3468.7448810094234</v>
      </c>
      <c r="U579" s="167">
        <v>4310.7370483948253</v>
      </c>
      <c r="V579" s="149">
        <f t="shared" si="179"/>
        <v>841.9921673854019</v>
      </c>
      <c r="W579" s="149">
        <f t="shared" si="186"/>
        <v>4310.7370483948253</v>
      </c>
      <c r="X579" s="149">
        <v>0</v>
      </c>
      <c r="Y579" s="368">
        <v>0</v>
      </c>
      <c r="Z579" s="368">
        <v>0</v>
      </c>
      <c r="AA579" s="368">
        <v>0</v>
      </c>
      <c r="AB579" s="368">
        <v>0</v>
      </c>
      <c r="AC579" s="368">
        <v>0</v>
      </c>
      <c r="AD579" s="368">
        <v>0</v>
      </c>
      <c r="AE579" s="368">
        <v>432.6</v>
      </c>
      <c r="AF579" s="396">
        <f t="shared" ref="AF579:AF597" si="191">6238.91*AE579/I579</f>
        <v>4310.7370483948253</v>
      </c>
      <c r="AG579" s="368">
        <v>0</v>
      </c>
      <c r="AH579" s="396">
        <v>0</v>
      </c>
      <c r="AI579" s="368">
        <v>0</v>
      </c>
      <c r="AJ579" s="396">
        <v>0</v>
      </c>
      <c r="AK579" s="368">
        <v>0</v>
      </c>
      <c r="AL579" s="368">
        <v>0</v>
      </c>
      <c r="AM579" s="368">
        <v>0</v>
      </c>
      <c r="AN579" s="368"/>
      <c r="AO579" s="368">
        <v>0</v>
      </c>
    </row>
    <row r="580" spans="1:41" s="152" customFormat="1" ht="36" customHeight="1" x14ac:dyDescent="0.9">
      <c r="A580" s="152">
        <v>1</v>
      </c>
      <c r="B580" s="90">
        <f>SUBTOTAL(103,$A$554:A580)</f>
        <v>27</v>
      </c>
      <c r="C580" s="89" t="s">
        <v>564</v>
      </c>
      <c r="D580" s="163" t="s">
        <v>306</v>
      </c>
      <c r="E580" s="163"/>
      <c r="F580" s="168" t="s">
        <v>270</v>
      </c>
      <c r="G580" s="163" t="s">
        <v>307</v>
      </c>
      <c r="H580" s="163">
        <v>1</v>
      </c>
      <c r="I580" s="164">
        <v>399.4</v>
      </c>
      <c r="J580" s="164">
        <v>354.1</v>
      </c>
      <c r="K580" s="164">
        <v>172.1</v>
      </c>
      <c r="L580" s="165">
        <v>23</v>
      </c>
      <c r="M580" s="163" t="s">
        <v>268</v>
      </c>
      <c r="N580" s="163" t="s">
        <v>272</v>
      </c>
      <c r="O580" s="166" t="s">
        <v>1670</v>
      </c>
      <c r="P580" s="167">
        <v>763048.75</v>
      </c>
      <c r="Q580" s="167">
        <v>0</v>
      </c>
      <c r="R580" s="167">
        <v>0</v>
      </c>
      <c r="S580" s="167">
        <f t="shared" si="185"/>
        <v>763048.75</v>
      </c>
      <c r="T580" s="167">
        <f t="shared" si="189"/>
        <v>1910.4876064096145</v>
      </c>
      <c r="U580" s="167">
        <v>2902.3271857786685</v>
      </c>
      <c r="V580" s="149">
        <f t="shared" si="179"/>
        <v>991.83957936905404</v>
      </c>
      <c r="W580" s="149">
        <f t="shared" si="186"/>
        <v>2902.3271857786685</v>
      </c>
      <c r="X580" s="149">
        <v>0</v>
      </c>
      <c r="Y580" s="368">
        <v>0</v>
      </c>
      <c r="Z580" s="368">
        <v>0</v>
      </c>
      <c r="AA580" s="368">
        <v>0</v>
      </c>
      <c r="AB580" s="368">
        <v>0</v>
      </c>
      <c r="AC580" s="368">
        <v>0</v>
      </c>
      <c r="AD580" s="368">
        <v>0</v>
      </c>
      <c r="AE580" s="368">
        <v>185.8</v>
      </c>
      <c r="AF580" s="396">
        <f t="shared" si="191"/>
        <v>2902.3271857786685</v>
      </c>
      <c r="AG580" s="368">
        <v>0</v>
      </c>
      <c r="AH580" s="396">
        <v>0</v>
      </c>
      <c r="AI580" s="368">
        <v>0</v>
      </c>
      <c r="AJ580" s="396">
        <v>0</v>
      </c>
      <c r="AK580" s="368">
        <v>0</v>
      </c>
      <c r="AL580" s="368">
        <v>0</v>
      </c>
      <c r="AM580" s="368">
        <v>0</v>
      </c>
      <c r="AN580" s="368"/>
      <c r="AO580" s="368">
        <v>0</v>
      </c>
    </row>
    <row r="581" spans="1:41" s="152" customFormat="1" ht="36" customHeight="1" x14ac:dyDescent="0.9">
      <c r="A581" s="152">
        <v>1</v>
      </c>
      <c r="B581" s="90">
        <f>SUBTOTAL(103,$A$554:A581)</f>
        <v>28</v>
      </c>
      <c r="C581" s="89" t="s">
        <v>565</v>
      </c>
      <c r="D581" s="163">
        <v>1977</v>
      </c>
      <c r="E581" s="163"/>
      <c r="F581" s="168" t="s">
        <v>270</v>
      </c>
      <c r="G581" s="163">
        <v>2</v>
      </c>
      <c r="H581" s="163">
        <v>2</v>
      </c>
      <c r="I581" s="164">
        <v>814.4</v>
      </c>
      <c r="J581" s="164">
        <v>741</v>
      </c>
      <c r="K581" s="164">
        <v>629.70000000000005</v>
      </c>
      <c r="L581" s="165">
        <v>44</v>
      </c>
      <c r="M581" s="163" t="s">
        <v>268</v>
      </c>
      <c r="N581" s="163" t="s">
        <v>272</v>
      </c>
      <c r="O581" s="166" t="s">
        <v>1659</v>
      </c>
      <c r="P581" s="167">
        <v>2794940.58</v>
      </c>
      <c r="Q581" s="167">
        <v>0</v>
      </c>
      <c r="R581" s="167">
        <v>0</v>
      </c>
      <c r="S581" s="167">
        <f t="shared" si="185"/>
        <v>2794940.58</v>
      </c>
      <c r="T581" s="167">
        <f t="shared" si="189"/>
        <v>3431.9014980353636</v>
      </c>
      <c r="U581" s="167">
        <v>4918.1977161100194</v>
      </c>
      <c r="V581" s="149">
        <f t="shared" si="179"/>
        <v>1486.2962180746558</v>
      </c>
      <c r="W581" s="149">
        <f t="shared" si="186"/>
        <v>4918.1977161100194</v>
      </c>
      <c r="X581" s="149">
        <v>0</v>
      </c>
      <c r="Y581" s="368">
        <v>0</v>
      </c>
      <c r="Z581" s="368">
        <v>0</v>
      </c>
      <c r="AA581" s="368">
        <v>0</v>
      </c>
      <c r="AB581" s="368">
        <v>0</v>
      </c>
      <c r="AC581" s="368">
        <v>0</v>
      </c>
      <c r="AD581" s="368">
        <v>0</v>
      </c>
      <c r="AE581" s="368">
        <v>642</v>
      </c>
      <c r="AF581" s="396">
        <f t="shared" si="191"/>
        <v>4918.1977161100194</v>
      </c>
      <c r="AG581" s="368">
        <v>0</v>
      </c>
      <c r="AH581" s="396">
        <v>0</v>
      </c>
      <c r="AI581" s="368">
        <v>0</v>
      </c>
      <c r="AJ581" s="396">
        <v>0</v>
      </c>
      <c r="AK581" s="368">
        <v>0</v>
      </c>
      <c r="AL581" s="368">
        <v>0</v>
      </c>
      <c r="AM581" s="368">
        <v>0</v>
      </c>
      <c r="AN581" s="368"/>
      <c r="AO581" s="368">
        <v>0</v>
      </c>
    </row>
    <row r="582" spans="1:41" s="152" customFormat="1" ht="36" customHeight="1" x14ac:dyDescent="0.9">
      <c r="A582" s="152">
        <v>1</v>
      </c>
      <c r="B582" s="90">
        <f>SUBTOTAL(103,$A$554:A582)</f>
        <v>29</v>
      </c>
      <c r="C582" s="89" t="s">
        <v>1636</v>
      </c>
      <c r="D582" s="163">
        <v>1985</v>
      </c>
      <c r="E582" s="163"/>
      <c r="F582" s="168" t="s">
        <v>270</v>
      </c>
      <c r="G582" s="163">
        <v>7</v>
      </c>
      <c r="H582" s="163">
        <v>6</v>
      </c>
      <c r="I582" s="164">
        <v>11373.5</v>
      </c>
      <c r="J582" s="164">
        <v>9429.1</v>
      </c>
      <c r="K582" s="164">
        <v>9031.2999999999993</v>
      </c>
      <c r="L582" s="165">
        <v>442</v>
      </c>
      <c r="M582" s="163" t="s">
        <v>268</v>
      </c>
      <c r="N582" s="163" t="s">
        <v>272</v>
      </c>
      <c r="O582" s="166" t="s">
        <v>1399</v>
      </c>
      <c r="P582" s="167">
        <v>9602513.2699999996</v>
      </c>
      <c r="Q582" s="167">
        <v>0</v>
      </c>
      <c r="R582" s="167">
        <v>0</v>
      </c>
      <c r="S582" s="167">
        <f t="shared" si="185"/>
        <v>9602513.2699999996</v>
      </c>
      <c r="T582" s="167">
        <f t="shared" si="189"/>
        <v>844.28832549347158</v>
      </c>
      <c r="U582" s="167">
        <v>1261.6602628918099</v>
      </c>
      <c r="V582" s="149">
        <f t="shared" si="179"/>
        <v>417.37193739833833</v>
      </c>
      <c r="W582" s="149">
        <f t="shared" si="186"/>
        <v>1261.6602628918099</v>
      </c>
      <c r="X582" s="149">
        <v>0</v>
      </c>
      <c r="Y582" s="368">
        <v>0</v>
      </c>
      <c r="Z582" s="368">
        <v>0</v>
      </c>
      <c r="AA582" s="368">
        <v>0</v>
      </c>
      <c r="AB582" s="368">
        <v>0</v>
      </c>
      <c r="AC582" s="368">
        <v>0</v>
      </c>
      <c r="AD582" s="368">
        <v>0</v>
      </c>
      <c r="AE582" s="368">
        <v>2300</v>
      </c>
      <c r="AF582" s="396">
        <f t="shared" si="191"/>
        <v>1261.6602628918099</v>
      </c>
      <c r="AG582" s="368">
        <v>0</v>
      </c>
      <c r="AH582" s="396">
        <v>0</v>
      </c>
      <c r="AI582" s="368">
        <v>0</v>
      </c>
      <c r="AJ582" s="396">
        <v>0</v>
      </c>
      <c r="AK582" s="368">
        <v>0</v>
      </c>
      <c r="AL582" s="368">
        <v>0</v>
      </c>
      <c r="AM582" s="368">
        <v>0</v>
      </c>
      <c r="AN582" s="368"/>
      <c r="AO582" s="368">
        <v>0</v>
      </c>
    </row>
    <row r="583" spans="1:41" s="152" customFormat="1" ht="36" customHeight="1" x14ac:dyDescent="0.9">
      <c r="A583" s="152">
        <v>1</v>
      </c>
      <c r="B583" s="90">
        <f>SUBTOTAL(103,$A$554:A583)</f>
        <v>30</v>
      </c>
      <c r="C583" s="89" t="s">
        <v>566</v>
      </c>
      <c r="D583" s="163" t="s">
        <v>370</v>
      </c>
      <c r="E583" s="163"/>
      <c r="F583" s="168" t="s">
        <v>270</v>
      </c>
      <c r="G583" s="163" t="s">
        <v>362</v>
      </c>
      <c r="H583" s="163">
        <v>3</v>
      </c>
      <c r="I583" s="164">
        <v>6810.7</v>
      </c>
      <c r="J583" s="164">
        <v>6392</v>
      </c>
      <c r="K583" s="164">
        <v>6392</v>
      </c>
      <c r="L583" s="165">
        <v>287</v>
      </c>
      <c r="M583" s="163" t="s">
        <v>268</v>
      </c>
      <c r="N583" s="163" t="s">
        <v>272</v>
      </c>
      <c r="O583" s="166" t="s">
        <v>1667</v>
      </c>
      <c r="P583" s="167">
        <v>5877399.3300000001</v>
      </c>
      <c r="Q583" s="167">
        <v>0</v>
      </c>
      <c r="R583" s="167">
        <v>0</v>
      </c>
      <c r="S583" s="167">
        <f t="shared" si="185"/>
        <v>5877399.3300000001</v>
      </c>
      <c r="T583" s="167">
        <f t="shared" si="189"/>
        <v>862.96552924075354</v>
      </c>
      <c r="U583" s="167">
        <v>1099.2544085042655</v>
      </c>
      <c r="V583" s="149">
        <f t="shared" si="179"/>
        <v>236.28887926351194</v>
      </c>
      <c r="W583" s="149">
        <f t="shared" si="186"/>
        <v>1099.2544085042655</v>
      </c>
      <c r="X583" s="149">
        <v>0</v>
      </c>
      <c r="Y583" s="368">
        <v>0</v>
      </c>
      <c r="Z583" s="368">
        <v>0</v>
      </c>
      <c r="AA583" s="368">
        <v>0</v>
      </c>
      <c r="AB583" s="368">
        <v>0</v>
      </c>
      <c r="AC583" s="368">
        <v>0</v>
      </c>
      <c r="AD583" s="368">
        <v>0</v>
      </c>
      <c r="AE583" s="368">
        <v>1200</v>
      </c>
      <c r="AF583" s="396">
        <f t="shared" si="191"/>
        <v>1099.2544085042655</v>
      </c>
      <c r="AG583" s="368">
        <v>0</v>
      </c>
      <c r="AH583" s="396">
        <v>0</v>
      </c>
      <c r="AI583" s="368">
        <v>0</v>
      </c>
      <c r="AJ583" s="396">
        <v>0</v>
      </c>
      <c r="AK583" s="368">
        <v>0</v>
      </c>
      <c r="AL583" s="368">
        <v>0</v>
      </c>
      <c r="AM583" s="368">
        <v>0</v>
      </c>
      <c r="AN583" s="368"/>
      <c r="AO583" s="368">
        <v>0</v>
      </c>
    </row>
    <row r="584" spans="1:41" s="152" customFormat="1" ht="36" customHeight="1" x14ac:dyDescent="0.9">
      <c r="A584" s="152">
        <v>1</v>
      </c>
      <c r="B584" s="90">
        <f>SUBTOTAL(103,$A$554:A584)</f>
        <v>31</v>
      </c>
      <c r="C584" s="89" t="s">
        <v>567</v>
      </c>
      <c r="D584" s="163">
        <v>1960</v>
      </c>
      <c r="E584" s="163"/>
      <c r="F584" s="168" t="s">
        <v>270</v>
      </c>
      <c r="G584" s="163">
        <v>2</v>
      </c>
      <c r="H584" s="163">
        <v>2</v>
      </c>
      <c r="I584" s="164">
        <v>614.9</v>
      </c>
      <c r="J584" s="164">
        <v>438</v>
      </c>
      <c r="K584" s="164">
        <v>438</v>
      </c>
      <c r="L584" s="165">
        <v>32</v>
      </c>
      <c r="M584" s="163" t="s">
        <v>268</v>
      </c>
      <c r="N584" s="163" t="s">
        <v>1671</v>
      </c>
      <c r="O584" s="166" t="s">
        <v>1338</v>
      </c>
      <c r="P584" s="167">
        <v>2102735.67</v>
      </c>
      <c r="Q584" s="167">
        <v>0</v>
      </c>
      <c r="R584" s="167">
        <v>0</v>
      </c>
      <c r="S584" s="167">
        <f t="shared" si="185"/>
        <v>2102735.67</v>
      </c>
      <c r="T584" s="167">
        <f t="shared" si="189"/>
        <v>3419.6384290128476</v>
      </c>
      <c r="U584" s="167">
        <v>4900.6237274353552</v>
      </c>
      <c r="V584" s="149">
        <f t="shared" si="179"/>
        <v>1480.9852984225076</v>
      </c>
      <c r="W584" s="149">
        <f t="shared" si="186"/>
        <v>4900.6237274353552</v>
      </c>
      <c r="X584" s="149">
        <v>0</v>
      </c>
      <c r="Y584" s="368">
        <v>0</v>
      </c>
      <c r="Z584" s="368">
        <v>0</v>
      </c>
      <c r="AA584" s="368">
        <v>0</v>
      </c>
      <c r="AB584" s="368">
        <v>0</v>
      </c>
      <c r="AC584" s="368">
        <v>0</v>
      </c>
      <c r="AD584" s="368">
        <v>0</v>
      </c>
      <c r="AE584" s="368">
        <v>483</v>
      </c>
      <c r="AF584" s="396">
        <f t="shared" si="191"/>
        <v>4900.6237274353552</v>
      </c>
      <c r="AG584" s="368">
        <v>0</v>
      </c>
      <c r="AH584" s="396">
        <v>0</v>
      </c>
      <c r="AI584" s="368">
        <v>0</v>
      </c>
      <c r="AJ584" s="396">
        <v>0</v>
      </c>
      <c r="AK584" s="368">
        <v>0</v>
      </c>
      <c r="AL584" s="368">
        <v>0</v>
      </c>
      <c r="AM584" s="368">
        <v>0</v>
      </c>
      <c r="AN584" s="368"/>
      <c r="AO584" s="368">
        <v>0</v>
      </c>
    </row>
    <row r="585" spans="1:41" s="152" customFormat="1" ht="36" customHeight="1" x14ac:dyDescent="0.9">
      <c r="A585" s="152">
        <v>1</v>
      </c>
      <c r="B585" s="90">
        <f>SUBTOTAL(103,$A$554:A585)</f>
        <v>32</v>
      </c>
      <c r="C585" s="89" t="s">
        <v>568</v>
      </c>
      <c r="D585" s="163" t="s">
        <v>371</v>
      </c>
      <c r="E585" s="163"/>
      <c r="F585" s="168" t="s">
        <v>369</v>
      </c>
      <c r="G585" s="163" t="s">
        <v>307</v>
      </c>
      <c r="H585" s="163">
        <v>2</v>
      </c>
      <c r="I585" s="164">
        <v>485.3</v>
      </c>
      <c r="J585" s="164">
        <v>445.3</v>
      </c>
      <c r="K585" s="164">
        <v>387.3</v>
      </c>
      <c r="L585" s="165">
        <v>32</v>
      </c>
      <c r="M585" s="163" t="s">
        <v>268</v>
      </c>
      <c r="N585" s="163" t="s">
        <v>272</v>
      </c>
      <c r="O585" s="166" t="s">
        <v>1670</v>
      </c>
      <c r="P585" s="167">
        <v>2323274.2000000002</v>
      </c>
      <c r="Q585" s="167">
        <v>0</v>
      </c>
      <c r="R585" s="167">
        <v>0</v>
      </c>
      <c r="S585" s="167">
        <f t="shared" si="185"/>
        <v>2323274.2000000002</v>
      </c>
      <c r="T585" s="167">
        <f t="shared" si="189"/>
        <v>4787.2948691531019</v>
      </c>
      <c r="U585" s="167">
        <v>6507.5958005357516</v>
      </c>
      <c r="V585" s="149">
        <f t="shared" si="179"/>
        <v>1720.3009313826497</v>
      </c>
      <c r="W585" s="149">
        <f t="shared" si="186"/>
        <v>6507.5958005357516</v>
      </c>
      <c r="X585" s="149">
        <v>0</v>
      </c>
      <c r="Y585" s="368">
        <v>0</v>
      </c>
      <c r="Z585" s="368">
        <v>0</v>
      </c>
      <c r="AA585" s="368">
        <v>0</v>
      </c>
      <c r="AB585" s="368">
        <v>0</v>
      </c>
      <c r="AC585" s="368">
        <v>0</v>
      </c>
      <c r="AD585" s="368">
        <v>0</v>
      </c>
      <c r="AE585" s="368">
        <v>506.2</v>
      </c>
      <c r="AF585" s="396">
        <f t="shared" si="191"/>
        <v>6507.5958005357516</v>
      </c>
      <c r="AG585" s="368">
        <v>0</v>
      </c>
      <c r="AH585" s="396">
        <v>0</v>
      </c>
      <c r="AI585" s="368">
        <v>0</v>
      </c>
      <c r="AJ585" s="396">
        <v>0</v>
      </c>
      <c r="AK585" s="368">
        <v>0</v>
      </c>
      <c r="AL585" s="368">
        <v>0</v>
      </c>
      <c r="AM585" s="368">
        <v>0</v>
      </c>
      <c r="AN585" s="368"/>
      <c r="AO585" s="368">
        <v>0</v>
      </c>
    </row>
    <row r="586" spans="1:41" s="152" customFormat="1" ht="36" customHeight="1" x14ac:dyDescent="0.9">
      <c r="A586" s="152">
        <v>1</v>
      </c>
      <c r="B586" s="90">
        <f>SUBTOTAL(103,$A$554:A586)</f>
        <v>33</v>
      </c>
      <c r="C586" s="89" t="s">
        <v>569</v>
      </c>
      <c r="D586" s="163" t="s">
        <v>372</v>
      </c>
      <c r="E586" s="163"/>
      <c r="F586" s="168" t="s">
        <v>315</v>
      </c>
      <c r="G586" s="163" t="s">
        <v>356</v>
      </c>
      <c r="H586" s="163">
        <v>4</v>
      </c>
      <c r="I586" s="164">
        <v>3872.2</v>
      </c>
      <c r="J586" s="164">
        <v>3548.5</v>
      </c>
      <c r="K586" s="164">
        <v>2382.6</v>
      </c>
      <c r="L586" s="165">
        <v>172</v>
      </c>
      <c r="M586" s="163" t="s">
        <v>268</v>
      </c>
      <c r="N586" s="163" t="s">
        <v>272</v>
      </c>
      <c r="O586" s="166" t="s">
        <v>1088</v>
      </c>
      <c r="P586" s="167">
        <v>4748603.68</v>
      </c>
      <c r="Q586" s="167">
        <v>0</v>
      </c>
      <c r="R586" s="167">
        <v>0</v>
      </c>
      <c r="S586" s="167">
        <f t="shared" si="185"/>
        <v>4748603.68</v>
      </c>
      <c r="T586" s="167">
        <f t="shared" si="189"/>
        <v>1226.3322349052219</v>
      </c>
      <c r="U586" s="167">
        <v>1546.7572955942358</v>
      </c>
      <c r="V586" s="149">
        <f t="shared" si="179"/>
        <v>320.42506068901389</v>
      </c>
      <c r="W586" s="149">
        <f t="shared" si="186"/>
        <v>1546.7572955942358</v>
      </c>
      <c r="X586" s="149">
        <v>0</v>
      </c>
      <c r="Y586" s="368">
        <v>0</v>
      </c>
      <c r="Z586" s="368">
        <v>0</v>
      </c>
      <c r="AA586" s="368">
        <v>0</v>
      </c>
      <c r="AB586" s="368">
        <v>0</v>
      </c>
      <c r="AC586" s="368">
        <v>0</v>
      </c>
      <c r="AD586" s="368">
        <v>0</v>
      </c>
      <c r="AE586" s="368">
        <v>960</v>
      </c>
      <c r="AF586" s="396">
        <f t="shared" si="191"/>
        <v>1546.7572955942358</v>
      </c>
      <c r="AG586" s="368">
        <v>0</v>
      </c>
      <c r="AH586" s="396">
        <v>0</v>
      </c>
      <c r="AI586" s="368">
        <v>0</v>
      </c>
      <c r="AJ586" s="396">
        <v>0</v>
      </c>
      <c r="AK586" s="368">
        <v>0</v>
      </c>
      <c r="AL586" s="368">
        <v>0</v>
      </c>
      <c r="AM586" s="368">
        <v>0</v>
      </c>
      <c r="AN586" s="368"/>
      <c r="AO586" s="368">
        <v>0</v>
      </c>
    </row>
    <row r="587" spans="1:41" s="152" customFormat="1" ht="36" customHeight="1" x14ac:dyDescent="0.9">
      <c r="A587" s="152">
        <v>1</v>
      </c>
      <c r="B587" s="90">
        <f>SUBTOTAL(103,$A$554:A587)</f>
        <v>34</v>
      </c>
      <c r="C587" s="89" t="s">
        <v>570</v>
      </c>
      <c r="D587" s="163" t="s">
        <v>366</v>
      </c>
      <c r="E587" s="163"/>
      <c r="F587" s="168" t="s">
        <v>270</v>
      </c>
      <c r="G587" s="163" t="s">
        <v>312</v>
      </c>
      <c r="H587" s="163">
        <v>3</v>
      </c>
      <c r="I587" s="164">
        <v>2170</v>
      </c>
      <c r="J587" s="164">
        <v>2000.7</v>
      </c>
      <c r="K587" s="164">
        <v>1948.1</v>
      </c>
      <c r="L587" s="165">
        <v>85</v>
      </c>
      <c r="M587" s="163" t="s">
        <v>268</v>
      </c>
      <c r="N587" s="163" t="s">
        <v>272</v>
      </c>
      <c r="O587" s="166" t="s">
        <v>1089</v>
      </c>
      <c r="P587" s="167">
        <v>3192730.04</v>
      </c>
      <c r="Q587" s="167">
        <v>0</v>
      </c>
      <c r="R587" s="167">
        <v>0</v>
      </c>
      <c r="S587" s="167">
        <f t="shared" si="185"/>
        <v>3192730.04</v>
      </c>
      <c r="T587" s="167">
        <f t="shared" si="189"/>
        <v>1471.3041658986176</v>
      </c>
      <c r="U587" s="167">
        <v>1871.6729999999998</v>
      </c>
      <c r="V587" s="149">
        <f t="shared" si="179"/>
        <v>400.36883410138216</v>
      </c>
      <c r="W587" s="149">
        <f t="shared" si="186"/>
        <v>1871.6729999999998</v>
      </c>
      <c r="X587" s="149">
        <v>0</v>
      </c>
      <c r="Y587" s="368">
        <v>0</v>
      </c>
      <c r="Z587" s="368">
        <v>0</v>
      </c>
      <c r="AA587" s="368">
        <v>0</v>
      </c>
      <c r="AB587" s="368">
        <v>0</v>
      </c>
      <c r="AC587" s="368">
        <v>0</v>
      </c>
      <c r="AD587" s="368">
        <v>0</v>
      </c>
      <c r="AE587" s="368">
        <v>651</v>
      </c>
      <c r="AF587" s="396">
        <f t="shared" si="191"/>
        <v>1871.6729999999998</v>
      </c>
      <c r="AG587" s="368">
        <v>0</v>
      </c>
      <c r="AH587" s="396">
        <v>0</v>
      </c>
      <c r="AI587" s="368">
        <v>0</v>
      </c>
      <c r="AJ587" s="396">
        <v>0</v>
      </c>
      <c r="AK587" s="368">
        <v>0</v>
      </c>
      <c r="AL587" s="368">
        <v>0</v>
      </c>
      <c r="AM587" s="368">
        <v>0</v>
      </c>
      <c r="AN587" s="368"/>
      <c r="AO587" s="368">
        <v>0</v>
      </c>
    </row>
    <row r="588" spans="1:41" s="152" customFormat="1" ht="36" customHeight="1" x14ac:dyDescent="0.9">
      <c r="A588" s="152">
        <v>1</v>
      </c>
      <c r="B588" s="90">
        <f>SUBTOTAL(103,$A$554:A588)</f>
        <v>35</v>
      </c>
      <c r="C588" s="89" t="s">
        <v>571</v>
      </c>
      <c r="D588" s="163">
        <v>1981</v>
      </c>
      <c r="E588" s="163"/>
      <c r="F588" s="168" t="s">
        <v>270</v>
      </c>
      <c r="G588" s="163">
        <v>5</v>
      </c>
      <c r="H588" s="163">
        <v>1</v>
      </c>
      <c r="I588" s="164">
        <v>1247.5999999999999</v>
      </c>
      <c r="J588" s="164">
        <v>982.4</v>
      </c>
      <c r="K588" s="164">
        <v>982.4</v>
      </c>
      <c r="L588" s="165">
        <v>41</v>
      </c>
      <c r="M588" s="163" t="s">
        <v>268</v>
      </c>
      <c r="N588" s="163" t="s">
        <v>272</v>
      </c>
      <c r="O588" s="166" t="s">
        <v>1414</v>
      </c>
      <c r="P588" s="167">
        <v>1265842.2</v>
      </c>
      <c r="Q588" s="167">
        <v>0</v>
      </c>
      <c r="R588" s="167">
        <v>0</v>
      </c>
      <c r="S588" s="167">
        <f t="shared" si="185"/>
        <v>1265842.2</v>
      </c>
      <c r="T588" s="167">
        <f t="shared" si="189"/>
        <v>1014.6218339211287</v>
      </c>
      <c r="U588" s="167">
        <v>1435.2093379288233</v>
      </c>
      <c r="V588" s="149">
        <f t="shared" si="179"/>
        <v>420.58750400769463</v>
      </c>
      <c r="W588" s="149">
        <f t="shared" si="186"/>
        <v>1435.2093379288233</v>
      </c>
      <c r="X588" s="149">
        <v>0</v>
      </c>
      <c r="Y588" s="368">
        <v>0</v>
      </c>
      <c r="Z588" s="368">
        <v>0</v>
      </c>
      <c r="AA588" s="368">
        <v>0</v>
      </c>
      <c r="AB588" s="368">
        <v>0</v>
      </c>
      <c r="AC588" s="368">
        <v>0</v>
      </c>
      <c r="AD588" s="368">
        <v>0</v>
      </c>
      <c r="AE588" s="368">
        <v>287</v>
      </c>
      <c r="AF588" s="396">
        <f t="shared" si="191"/>
        <v>1435.2093379288233</v>
      </c>
      <c r="AG588" s="368">
        <v>0</v>
      </c>
      <c r="AH588" s="396">
        <v>0</v>
      </c>
      <c r="AI588" s="368">
        <v>0</v>
      </c>
      <c r="AJ588" s="396">
        <v>0</v>
      </c>
      <c r="AK588" s="368">
        <v>0</v>
      </c>
      <c r="AL588" s="368">
        <v>0</v>
      </c>
      <c r="AM588" s="368">
        <v>0</v>
      </c>
      <c r="AN588" s="368"/>
      <c r="AO588" s="368">
        <v>0</v>
      </c>
    </row>
    <row r="589" spans="1:41" s="152" customFormat="1" ht="36" customHeight="1" x14ac:dyDescent="0.9">
      <c r="A589" s="152">
        <v>1</v>
      </c>
      <c r="B589" s="90">
        <f>SUBTOTAL(103,$A$554:A589)</f>
        <v>36</v>
      </c>
      <c r="C589" s="89" t="s">
        <v>572</v>
      </c>
      <c r="D589" s="163" t="s">
        <v>321</v>
      </c>
      <c r="E589" s="163"/>
      <c r="F589" s="168" t="s">
        <v>270</v>
      </c>
      <c r="G589" s="163" t="s">
        <v>356</v>
      </c>
      <c r="H589" s="163">
        <v>1</v>
      </c>
      <c r="I589" s="164">
        <v>2919</v>
      </c>
      <c r="J589" s="164">
        <v>1755</v>
      </c>
      <c r="K589" s="164">
        <v>1549</v>
      </c>
      <c r="L589" s="165">
        <v>142</v>
      </c>
      <c r="M589" s="163" t="s">
        <v>268</v>
      </c>
      <c r="N589" s="163" t="s">
        <v>272</v>
      </c>
      <c r="O589" s="166" t="s">
        <v>1398</v>
      </c>
      <c r="P589" s="167">
        <v>3576070.0900000003</v>
      </c>
      <c r="Q589" s="167">
        <v>0</v>
      </c>
      <c r="R589" s="167">
        <v>0</v>
      </c>
      <c r="S589" s="167">
        <f t="shared" si="185"/>
        <v>3576070.0900000003</v>
      </c>
      <c r="T589" s="167">
        <f t="shared" si="189"/>
        <v>1225.1010928400137</v>
      </c>
      <c r="U589" s="167">
        <v>1543.1630763960259</v>
      </c>
      <c r="V589" s="149">
        <f t="shared" si="179"/>
        <v>318.06198355601214</v>
      </c>
      <c r="W589" s="149">
        <f t="shared" si="186"/>
        <v>1543.1630763960259</v>
      </c>
      <c r="X589" s="149">
        <v>0</v>
      </c>
      <c r="Y589" s="368">
        <v>0</v>
      </c>
      <c r="Z589" s="368">
        <v>0</v>
      </c>
      <c r="AA589" s="368">
        <v>0</v>
      </c>
      <c r="AB589" s="368">
        <v>0</v>
      </c>
      <c r="AC589" s="368">
        <v>0</v>
      </c>
      <c r="AD589" s="368">
        <v>0</v>
      </c>
      <c r="AE589" s="368">
        <v>722</v>
      </c>
      <c r="AF589" s="396">
        <f t="shared" si="191"/>
        <v>1543.1630763960259</v>
      </c>
      <c r="AG589" s="368">
        <v>0</v>
      </c>
      <c r="AH589" s="396">
        <v>0</v>
      </c>
      <c r="AI589" s="368">
        <v>0</v>
      </c>
      <c r="AJ589" s="396">
        <v>0</v>
      </c>
      <c r="AK589" s="368">
        <v>0</v>
      </c>
      <c r="AL589" s="368">
        <v>0</v>
      </c>
      <c r="AM589" s="368">
        <v>0</v>
      </c>
      <c r="AN589" s="368"/>
      <c r="AO589" s="368">
        <v>0</v>
      </c>
    </row>
    <row r="590" spans="1:41" s="152" customFormat="1" ht="36" customHeight="1" x14ac:dyDescent="0.9">
      <c r="A590" s="152">
        <v>1</v>
      </c>
      <c r="B590" s="90">
        <f>SUBTOTAL(103,$A$554:A590)</f>
        <v>37</v>
      </c>
      <c r="C590" s="89" t="s">
        <v>573</v>
      </c>
      <c r="D590" s="163" t="s">
        <v>311</v>
      </c>
      <c r="E590" s="163"/>
      <c r="F590" s="168" t="s">
        <v>315</v>
      </c>
      <c r="G590" s="163" t="s">
        <v>356</v>
      </c>
      <c r="H590" s="163">
        <v>7</v>
      </c>
      <c r="I590" s="164">
        <v>8558.5</v>
      </c>
      <c r="J590" s="164">
        <v>6418.7</v>
      </c>
      <c r="K590" s="164">
        <v>5954.4</v>
      </c>
      <c r="L590" s="165">
        <v>300</v>
      </c>
      <c r="M590" s="163" t="s">
        <v>268</v>
      </c>
      <c r="N590" s="163" t="s">
        <v>272</v>
      </c>
      <c r="O590" s="166" t="s">
        <v>1398</v>
      </c>
      <c r="P590" s="167">
        <v>8216874.9699999997</v>
      </c>
      <c r="Q590" s="167">
        <v>0</v>
      </c>
      <c r="R590" s="167">
        <v>0</v>
      </c>
      <c r="S590" s="167">
        <f t="shared" si="185"/>
        <v>8216874.9699999997</v>
      </c>
      <c r="T590" s="167">
        <f t="shared" si="189"/>
        <v>960.08353917158377</v>
      </c>
      <c r="U590" s="167">
        <v>1230.5053549103231</v>
      </c>
      <c r="V590" s="149">
        <f t="shared" si="179"/>
        <v>270.42181573873938</v>
      </c>
      <c r="W590" s="149">
        <f t="shared" si="186"/>
        <v>1230.5053549103231</v>
      </c>
      <c r="X590" s="149">
        <v>0</v>
      </c>
      <c r="Y590" s="368">
        <v>0</v>
      </c>
      <c r="Z590" s="368">
        <v>0</v>
      </c>
      <c r="AA590" s="368">
        <v>0</v>
      </c>
      <c r="AB590" s="368">
        <v>0</v>
      </c>
      <c r="AC590" s="368">
        <v>0</v>
      </c>
      <c r="AD590" s="368">
        <v>0</v>
      </c>
      <c r="AE590" s="368">
        <v>1688</v>
      </c>
      <c r="AF590" s="396">
        <f t="shared" si="191"/>
        <v>1230.5053549103231</v>
      </c>
      <c r="AG590" s="368">
        <v>0</v>
      </c>
      <c r="AH590" s="396">
        <v>0</v>
      </c>
      <c r="AI590" s="368">
        <v>0</v>
      </c>
      <c r="AJ590" s="396">
        <v>0</v>
      </c>
      <c r="AK590" s="368">
        <v>0</v>
      </c>
      <c r="AL590" s="368">
        <v>0</v>
      </c>
      <c r="AM590" s="368">
        <v>0</v>
      </c>
      <c r="AN590" s="368"/>
      <c r="AO590" s="368">
        <v>0</v>
      </c>
    </row>
    <row r="591" spans="1:41" s="152" customFormat="1" ht="36" customHeight="1" x14ac:dyDescent="0.9">
      <c r="A591" s="152">
        <v>1</v>
      </c>
      <c r="B591" s="90">
        <f>SUBTOTAL(103,$A$554:A591)</f>
        <v>38</v>
      </c>
      <c r="C591" s="89" t="s">
        <v>574</v>
      </c>
      <c r="D591" s="163" t="s">
        <v>310</v>
      </c>
      <c r="E591" s="163"/>
      <c r="F591" s="168" t="s">
        <v>270</v>
      </c>
      <c r="G591" s="163" t="s">
        <v>312</v>
      </c>
      <c r="H591" s="163">
        <v>3</v>
      </c>
      <c r="I591" s="164">
        <v>2920</v>
      </c>
      <c r="J591" s="164">
        <v>1821.75</v>
      </c>
      <c r="K591" s="164">
        <v>1787.35</v>
      </c>
      <c r="L591" s="165">
        <v>115</v>
      </c>
      <c r="M591" s="163" t="s">
        <v>268</v>
      </c>
      <c r="N591" s="163" t="s">
        <v>272</v>
      </c>
      <c r="O591" s="166" t="s">
        <v>1398</v>
      </c>
      <c r="P591" s="167">
        <v>5458332.7699999996</v>
      </c>
      <c r="Q591" s="167">
        <v>0</v>
      </c>
      <c r="R591" s="167">
        <v>0</v>
      </c>
      <c r="S591" s="167">
        <f t="shared" si="185"/>
        <v>5458332.7699999996</v>
      </c>
      <c r="T591" s="167">
        <f t="shared" si="189"/>
        <v>1869.2920445205477</v>
      </c>
      <c r="U591" s="167">
        <v>2414.3727054794522</v>
      </c>
      <c r="V591" s="149">
        <f t="shared" si="179"/>
        <v>545.08066095890445</v>
      </c>
      <c r="W591" s="149">
        <f t="shared" si="186"/>
        <v>2414.3727054794522</v>
      </c>
      <c r="X591" s="149">
        <v>0</v>
      </c>
      <c r="Y591" s="368">
        <v>0</v>
      </c>
      <c r="Z591" s="368">
        <v>0</v>
      </c>
      <c r="AA591" s="368">
        <v>0</v>
      </c>
      <c r="AB591" s="368">
        <v>0</v>
      </c>
      <c r="AC591" s="368">
        <v>0</v>
      </c>
      <c r="AD591" s="368">
        <v>0</v>
      </c>
      <c r="AE591" s="368">
        <v>1130</v>
      </c>
      <c r="AF591" s="396">
        <f t="shared" si="191"/>
        <v>2414.3727054794522</v>
      </c>
      <c r="AG591" s="368">
        <v>0</v>
      </c>
      <c r="AH591" s="396">
        <v>0</v>
      </c>
      <c r="AI591" s="368">
        <v>0</v>
      </c>
      <c r="AJ591" s="396">
        <v>0</v>
      </c>
      <c r="AK591" s="368">
        <v>0</v>
      </c>
      <c r="AL591" s="368">
        <v>0</v>
      </c>
      <c r="AM591" s="368">
        <v>0</v>
      </c>
      <c r="AN591" s="368"/>
      <c r="AO591" s="368">
        <v>0</v>
      </c>
    </row>
    <row r="592" spans="1:41" s="152" customFormat="1" ht="36" customHeight="1" x14ac:dyDescent="0.9">
      <c r="A592" s="152">
        <v>1</v>
      </c>
      <c r="B592" s="90">
        <f>SUBTOTAL(103,$A$554:A592)</f>
        <v>39</v>
      </c>
      <c r="C592" s="89" t="s">
        <v>1392</v>
      </c>
      <c r="D592" s="163">
        <v>1961</v>
      </c>
      <c r="E592" s="163"/>
      <c r="F592" s="168" t="s">
        <v>270</v>
      </c>
      <c r="G592" s="163" t="s">
        <v>356</v>
      </c>
      <c r="H592" s="163">
        <v>3</v>
      </c>
      <c r="I592" s="164">
        <v>2772</v>
      </c>
      <c r="J592" s="164">
        <v>2431.1</v>
      </c>
      <c r="K592" s="164">
        <v>2250.6999999999998</v>
      </c>
      <c r="L592" s="165">
        <v>125</v>
      </c>
      <c r="M592" s="163" t="s">
        <v>268</v>
      </c>
      <c r="N592" s="163" t="s">
        <v>272</v>
      </c>
      <c r="O592" s="166" t="s">
        <v>1399</v>
      </c>
      <c r="P592" s="167">
        <v>4022975</v>
      </c>
      <c r="Q592" s="167">
        <v>0</v>
      </c>
      <c r="R592" s="167">
        <v>0</v>
      </c>
      <c r="S592" s="167">
        <f t="shared" si="185"/>
        <v>4022975</v>
      </c>
      <c r="T592" s="167">
        <f t="shared" si="189"/>
        <v>1451.2896825396826</v>
      </c>
      <c r="U592" s="167">
        <v>1701.5209090909091</v>
      </c>
      <c r="V592" s="149">
        <f t="shared" si="179"/>
        <v>250.23122655122643</v>
      </c>
      <c r="W592" s="149">
        <f t="shared" si="186"/>
        <v>1701.5209090909091</v>
      </c>
      <c r="X592" s="149">
        <v>0</v>
      </c>
      <c r="Y592" s="368">
        <v>0</v>
      </c>
      <c r="Z592" s="368">
        <v>0</v>
      </c>
      <c r="AA592" s="368">
        <v>0</v>
      </c>
      <c r="AB592" s="368">
        <v>0</v>
      </c>
      <c r="AC592" s="368">
        <v>0</v>
      </c>
      <c r="AD592" s="368">
        <v>0</v>
      </c>
      <c r="AE592" s="368">
        <v>756</v>
      </c>
      <c r="AF592" s="396">
        <f t="shared" si="191"/>
        <v>1701.5209090909091</v>
      </c>
      <c r="AG592" s="368">
        <v>0</v>
      </c>
      <c r="AH592" s="396">
        <v>0</v>
      </c>
      <c r="AI592" s="368">
        <v>0</v>
      </c>
      <c r="AJ592" s="396">
        <v>0</v>
      </c>
      <c r="AK592" s="368">
        <v>0</v>
      </c>
      <c r="AL592" s="368">
        <v>0</v>
      </c>
      <c r="AM592" s="368">
        <v>0</v>
      </c>
      <c r="AN592" s="368"/>
      <c r="AO592" s="368">
        <v>0</v>
      </c>
    </row>
    <row r="593" spans="1:41" s="152" customFormat="1" ht="36" customHeight="1" x14ac:dyDescent="0.9">
      <c r="A593" s="152">
        <v>1</v>
      </c>
      <c r="B593" s="90">
        <f>SUBTOTAL(103,$A$554:A593)</f>
        <v>40</v>
      </c>
      <c r="C593" s="89" t="s">
        <v>1393</v>
      </c>
      <c r="D593" s="163">
        <v>1994</v>
      </c>
      <c r="E593" s="163"/>
      <c r="F593" s="168" t="s">
        <v>270</v>
      </c>
      <c r="G593" s="163">
        <v>4</v>
      </c>
      <c r="H593" s="163">
        <v>3</v>
      </c>
      <c r="I593" s="164">
        <v>1861.8</v>
      </c>
      <c r="J593" s="164">
        <v>1644.3</v>
      </c>
      <c r="K593" s="164">
        <v>1644.3</v>
      </c>
      <c r="L593" s="165">
        <v>80</v>
      </c>
      <c r="M593" s="163" t="s">
        <v>268</v>
      </c>
      <c r="N593" s="163" t="s">
        <v>272</v>
      </c>
      <c r="O593" s="166" t="s">
        <v>1411</v>
      </c>
      <c r="P593" s="167">
        <v>3214943.65</v>
      </c>
      <c r="Q593" s="167">
        <v>0</v>
      </c>
      <c r="R593" s="167">
        <v>0</v>
      </c>
      <c r="S593" s="167">
        <f t="shared" si="185"/>
        <v>3214943.65</v>
      </c>
      <c r="T593" s="167">
        <f t="shared" si="189"/>
        <v>1726.793237726931</v>
      </c>
      <c r="U593" s="167">
        <v>2245.1765495756795</v>
      </c>
      <c r="V593" s="149">
        <f t="shared" si="179"/>
        <v>518.38331184874846</v>
      </c>
      <c r="W593" s="149">
        <f t="shared" si="186"/>
        <v>2245.1765495756795</v>
      </c>
      <c r="X593" s="149">
        <v>0</v>
      </c>
      <c r="Y593" s="368">
        <v>0</v>
      </c>
      <c r="Z593" s="368">
        <v>0</v>
      </c>
      <c r="AA593" s="368">
        <v>0</v>
      </c>
      <c r="AB593" s="368">
        <v>0</v>
      </c>
      <c r="AC593" s="368">
        <v>0</v>
      </c>
      <c r="AD593" s="368">
        <v>0</v>
      </c>
      <c r="AE593" s="368">
        <v>670</v>
      </c>
      <c r="AF593" s="396">
        <f t="shared" si="191"/>
        <v>2245.1765495756795</v>
      </c>
      <c r="AG593" s="368">
        <v>0</v>
      </c>
      <c r="AH593" s="396">
        <v>0</v>
      </c>
      <c r="AI593" s="368">
        <v>0</v>
      </c>
      <c r="AJ593" s="396">
        <v>0</v>
      </c>
      <c r="AK593" s="368">
        <v>0</v>
      </c>
      <c r="AL593" s="368">
        <v>0</v>
      </c>
      <c r="AM593" s="368">
        <v>0</v>
      </c>
      <c r="AN593" s="368"/>
      <c r="AO593" s="368">
        <v>0</v>
      </c>
    </row>
    <row r="594" spans="1:41" s="152" customFormat="1" ht="36" customHeight="1" x14ac:dyDescent="0.9">
      <c r="A594" s="152">
        <v>1</v>
      </c>
      <c r="B594" s="90">
        <f>SUBTOTAL(103,$A$554:A594)</f>
        <v>41</v>
      </c>
      <c r="C594" s="89" t="s">
        <v>1394</v>
      </c>
      <c r="D594" s="163">
        <v>1917</v>
      </c>
      <c r="E594" s="163"/>
      <c r="F594" s="168" t="s">
        <v>270</v>
      </c>
      <c r="G594" s="163">
        <v>2</v>
      </c>
      <c r="H594" s="163">
        <v>1</v>
      </c>
      <c r="I594" s="164">
        <v>370.5</v>
      </c>
      <c r="J594" s="164">
        <v>370.5</v>
      </c>
      <c r="K594" s="164">
        <v>208.6</v>
      </c>
      <c r="L594" s="165">
        <v>22</v>
      </c>
      <c r="M594" s="163" t="s">
        <v>268</v>
      </c>
      <c r="N594" s="163" t="s">
        <v>272</v>
      </c>
      <c r="O594" s="166" t="s">
        <v>1412</v>
      </c>
      <c r="P594" s="167">
        <v>1335035.1000000001</v>
      </c>
      <c r="Q594" s="167">
        <v>0</v>
      </c>
      <c r="R594" s="167">
        <v>0</v>
      </c>
      <c r="S594" s="167">
        <f t="shared" si="185"/>
        <v>1335035.1000000001</v>
      </c>
      <c r="T594" s="167">
        <f t="shared" si="189"/>
        <v>3603.3336032388665</v>
      </c>
      <c r="U594" s="167">
        <v>4581.0943738191627</v>
      </c>
      <c r="V594" s="149">
        <f t="shared" si="179"/>
        <v>977.76077058029614</v>
      </c>
      <c r="W594" s="149">
        <f t="shared" si="186"/>
        <v>4581.0943738191627</v>
      </c>
      <c r="X594" s="149">
        <v>0</v>
      </c>
      <c r="Y594" s="368">
        <v>0</v>
      </c>
      <c r="Z594" s="368">
        <v>0</v>
      </c>
      <c r="AA594" s="368">
        <v>0</v>
      </c>
      <c r="AB594" s="368">
        <v>0</v>
      </c>
      <c r="AC594" s="368">
        <v>0</v>
      </c>
      <c r="AD594" s="368">
        <v>0</v>
      </c>
      <c r="AE594" s="368">
        <v>272.05</v>
      </c>
      <c r="AF594" s="396">
        <f t="shared" si="191"/>
        <v>4581.0943738191627</v>
      </c>
      <c r="AG594" s="368">
        <v>0</v>
      </c>
      <c r="AH594" s="396">
        <v>0</v>
      </c>
      <c r="AI594" s="368">
        <v>0</v>
      </c>
      <c r="AJ594" s="396">
        <v>0</v>
      </c>
      <c r="AK594" s="368">
        <v>0</v>
      </c>
      <c r="AL594" s="368">
        <v>0</v>
      </c>
      <c r="AM594" s="368">
        <v>0</v>
      </c>
      <c r="AN594" s="368"/>
      <c r="AO594" s="368">
        <v>0</v>
      </c>
    </row>
    <row r="595" spans="1:41" s="152" customFormat="1" ht="36" customHeight="1" x14ac:dyDescent="0.9">
      <c r="A595" s="152">
        <v>1</v>
      </c>
      <c r="B595" s="90">
        <f>SUBTOTAL(103,$A$554:A595)</f>
        <v>42</v>
      </c>
      <c r="C595" s="89" t="s">
        <v>1395</v>
      </c>
      <c r="D595" s="163">
        <v>1917</v>
      </c>
      <c r="E595" s="163"/>
      <c r="F595" s="168" t="s">
        <v>270</v>
      </c>
      <c r="G595" s="163">
        <v>3</v>
      </c>
      <c r="H595" s="163">
        <v>2</v>
      </c>
      <c r="I595" s="164">
        <v>1376.9</v>
      </c>
      <c r="J595" s="164">
        <v>779.2</v>
      </c>
      <c r="K595" s="164">
        <v>660.2</v>
      </c>
      <c r="L595" s="165">
        <v>50</v>
      </c>
      <c r="M595" s="163" t="s">
        <v>268</v>
      </c>
      <c r="N595" s="163" t="s">
        <v>272</v>
      </c>
      <c r="O595" s="166" t="s">
        <v>1398</v>
      </c>
      <c r="P595" s="167">
        <v>4219164.3499999996</v>
      </c>
      <c r="Q595" s="167">
        <v>0</v>
      </c>
      <c r="R595" s="167">
        <v>0</v>
      </c>
      <c r="S595" s="167">
        <f t="shared" si="185"/>
        <v>4219164.3499999996</v>
      </c>
      <c r="T595" s="167">
        <f t="shared" si="189"/>
        <v>3064.2489287529952</v>
      </c>
      <c r="U595" s="167">
        <v>4014.5793158544552</v>
      </c>
      <c r="V595" s="149">
        <f t="shared" si="179"/>
        <v>950.33038710146002</v>
      </c>
      <c r="W595" s="149">
        <f t="shared" si="186"/>
        <v>4014.5793158544552</v>
      </c>
      <c r="X595" s="149">
        <v>0</v>
      </c>
      <c r="Y595" s="368">
        <v>0</v>
      </c>
      <c r="Z595" s="368">
        <v>0</v>
      </c>
      <c r="AA595" s="368">
        <v>0</v>
      </c>
      <c r="AB595" s="368">
        <v>0</v>
      </c>
      <c r="AC595" s="368">
        <v>0</v>
      </c>
      <c r="AD595" s="368">
        <v>0</v>
      </c>
      <c r="AE595" s="368">
        <v>886</v>
      </c>
      <c r="AF595" s="396">
        <f t="shared" si="191"/>
        <v>4014.5793158544552</v>
      </c>
      <c r="AG595" s="368">
        <v>0</v>
      </c>
      <c r="AH595" s="396">
        <v>0</v>
      </c>
      <c r="AI595" s="368">
        <v>0</v>
      </c>
      <c r="AJ595" s="396">
        <v>0</v>
      </c>
      <c r="AK595" s="368">
        <v>0</v>
      </c>
      <c r="AL595" s="368">
        <v>0</v>
      </c>
      <c r="AM595" s="368">
        <v>0</v>
      </c>
      <c r="AN595" s="368"/>
      <c r="AO595" s="368">
        <v>0</v>
      </c>
    </row>
    <row r="596" spans="1:41" s="152" customFormat="1" ht="36" customHeight="1" x14ac:dyDescent="0.9">
      <c r="A596" s="152">
        <v>1</v>
      </c>
      <c r="B596" s="90">
        <f>SUBTOTAL(103,$A$554:A596)</f>
        <v>43</v>
      </c>
      <c r="C596" s="89" t="s">
        <v>1396</v>
      </c>
      <c r="D596" s="163">
        <v>1961</v>
      </c>
      <c r="E596" s="163"/>
      <c r="F596" s="168" t="s">
        <v>270</v>
      </c>
      <c r="G596" s="163" t="s">
        <v>312</v>
      </c>
      <c r="H596" s="163">
        <v>2</v>
      </c>
      <c r="I596" s="164">
        <v>1130.4000000000001</v>
      </c>
      <c r="J596" s="164">
        <v>1044.5999999999999</v>
      </c>
      <c r="K596" s="164">
        <v>1044.5999999999999</v>
      </c>
      <c r="L596" s="165">
        <v>65</v>
      </c>
      <c r="M596" s="163" t="s">
        <v>268</v>
      </c>
      <c r="N596" s="163" t="s">
        <v>272</v>
      </c>
      <c r="O596" s="166" t="s">
        <v>1413</v>
      </c>
      <c r="P596" s="167">
        <v>3434742.09</v>
      </c>
      <c r="Q596" s="167">
        <v>0</v>
      </c>
      <c r="R596" s="167">
        <v>0</v>
      </c>
      <c r="S596" s="167">
        <f t="shared" si="185"/>
        <v>3434742.09</v>
      </c>
      <c r="T596" s="167">
        <f t="shared" si="189"/>
        <v>3038.5191878980886</v>
      </c>
      <c r="U596" s="167">
        <v>3477.0995222929932</v>
      </c>
      <c r="V596" s="149">
        <f t="shared" si="179"/>
        <v>438.58033439490464</v>
      </c>
      <c r="W596" s="149">
        <f t="shared" si="186"/>
        <v>3477.0995222929932</v>
      </c>
      <c r="X596" s="149">
        <v>0</v>
      </c>
      <c r="Y596" s="368">
        <v>0</v>
      </c>
      <c r="Z596" s="368">
        <v>0</v>
      </c>
      <c r="AA596" s="368">
        <v>0</v>
      </c>
      <c r="AB596" s="368">
        <v>0</v>
      </c>
      <c r="AC596" s="368">
        <v>0</v>
      </c>
      <c r="AD596" s="368">
        <v>0</v>
      </c>
      <c r="AE596" s="368">
        <v>630</v>
      </c>
      <c r="AF596" s="396">
        <f t="shared" si="191"/>
        <v>3477.0995222929932</v>
      </c>
      <c r="AG596" s="368">
        <v>0</v>
      </c>
      <c r="AH596" s="396">
        <v>0</v>
      </c>
      <c r="AI596" s="368">
        <v>0</v>
      </c>
      <c r="AJ596" s="396">
        <v>0</v>
      </c>
      <c r="AK596" s="368">
        <v>0</v>
      </c>
      <c r="AL596" s="368">
        <v>0</v>
      </c>
      <c r="AM596" s="368">
        <v>0</v>
      </c>
      <c r="AN596" s="368"/>
      <c r="AO596" s="368">
        <v>0</v>
      </c>
    </row>
    <row r="597" spans="1:41" s="152" customFormat="1" ht="36" customHeight="1" x14ac:dyDescent="0.9">
      <c r="A597" s="152">
        <v>1</v>
      </c>
      <c r="B597" s="90">
        <f>SUBTOTAL(103,$A$554:A597)</f>
        <v>44</v>
      </c>
      <c r="C597" s="89" t="s">
        <v>491</v>
      </c>
      <c r="D597" s="163">
        <v>1969</v>
      </c>
      <c r="E597" s="163"/>
      <c r="F597" s="168" t="s">
        <v>270</v>
      </c>
      <c r="G597" s="163">
        <v>5</v>
      </c>
      <c r="H597" s="163">
        <v>4</v>
      </c>
      <c r="I597" s="164">
        <v>4124.2</v>
      </c>
      <c r="J597" s="164">
        <v>3012</v>
      </c>
      <c r="K597" s="164">
        <v>2927.7</v>
      </c>
      <c r="L597" s="165">
        <v>141</v>
      </c>
      <c r="M597" s="163" t="s">
        <v>268</v>
      </c>
      <c r="N597" s="163" t="s">
        <v>272</v>
      </c>
      <c r="O597" s="166" t="s">
        <v>1104</v>
      </c>
      <c r="P597" s="167">
        <v>4371676.9000000004</v>
      </c>
      <c r="Q597" s="167">
        <v>0</v>
      </c>
      <c r="R597" s="167">
        <v>0</v>
      </c>
      <c r="S597" s="167">
        <f t="shared" si="185"/>
        <v>4371676.9000000004</v>
      </c>
      <c r="T597" s="167">
        <f t="shared" si="189"/>
        <v>1060.0060375345522</v>
      </c>
      <c r="U597" s="167">
        <v>1648.2993880025215</v>
      </c>
      <c r="V597" s="149">
        <f t="shared" ref="V597:V660" si="192">U597-T597</f>
        <v>588.29335046796928</v>
      </c>
      <c r="W597" s="149">
        <f t="shared" si="186"/>
        <v>1648.2993880025215</v>
      </c>
      <c r="X597" s="149">
        <v>0</v>
      </c>
      <c r="Y597" s="368">
        <v>0</v>
      </c>
      <c r="Z597" s="368">
        <v>0</v>
      </c>
      <c r="AA597" s="368">
        <v>0</v>
      </c>
      <c r="AB597" s="368">
        <v>0</v>
      </c>
      <c r="AC597" s="368">
        <v>0</v>
      </c>
      <c r="AD597" s="368">
        <v>0</v>
      </c>
      <c r="AE597" s="368">
        <v>1089.5999999999999</v>
      </c>
      <c r="AF597" s="396">
        <f t="shared" si="191"/>
        <v>1648.2993880025215</v>
      </c>
      <c r="AG597" s="368">
        <v>0</v>
      </c>
      <c r="AH597" s="396">
        <v>0</v>
      </c>
      <c r="AI597" s="368">
        <v>0</v>
      </c>
      <c r="AJ597" s="396">
        <v>0</v>
      </c>
      <c r="AK597" s="368">
        <v>0</v>
      </c>
      <c r="AL597" s="368">
        <v>0</v>
      </c>
      <c r="AM597" s="368">
        <v>0</v>
      </c>
      <c r="AN597" s="368"/>
      <c r="AO597" s="368">
        <v>0</v>
      </c>
    </row>
    <row r="598" spans="1:41" s="152" customFormat="1" ht="36" customHeight="1" x14ac:dyDescent="0.9">
      <c r="A598" s="152">
        <v>1</v>
      </c>
      <c r="B598" s="90">
        <f>SUBTOTAL(103,$A$554:A598)</f>
        <v>45</v>
      </c>
      <c r="C598" s="89" t="s">
        <v>505</v>
      </c>
      <c r="D598" s="163">
        <v>1960</v>
      </c>
      <c r="E598" s="163"/>
      <c r="F598" s="168" t="s">
        <v>270</v>
      </c>
      <c r="G598" s="163">
        <v>5</v>
      </c>
      <c r="H598" s="163">
        <v>3</v>
      </c>
      <c r="I598" s="164">
        <v>3202.4</v>
      </c>
      <c r="J598" s="164">
        <v>2438.8000000000002</v>
      </c>
      <c r="K598" s="164">
        <v>2307.6</v>
      </c>
      <c r="L598" s="165">
        <v>127</v>
      </c>
      <c r="M598" s="163" t="s">
        <v>268</v>
      </c>
      <c r="N598" s="163" t="s">
        <v>272</v>
      </c>
      <c r="O598" s="166" t="s">
        <v>1104</v>
      </c>
      <c r="P598" s="167">
        <v>5829375</v>
      </c>
      <c r="Q598" s="167">
        <v>0</v>
      </c>
      <c r="R598" s="167">
        <v>0</v>
      </c>
      <c r="S598" s="167">
        <f t="shared" si="185"/>
        <v>5829375</v>
      </c>
      <c r="T598" s="167">
        <f t="shared" si="189"/>
        <v>1820.314451661254</v>
      </c>
      <c r="U598" s="167">
        <v>4650.5989882588065</v>
      </c>
      <c r="V598" s="149">
        <f t="shared" si="192"/>
        <v>2830.2845365975527</v>
      </c>
      <c r="W598" s="149">
        <f t="shared" si="186"/>
        <v>4650.5989882588065</v>
      </c>
      <c r="X598" s="149">
        <v>0</v>
      </c>
      <c r="Y598" s="368">
        <v>0</v>
      </c>
      <c r="Z598" s="368">
        <v>0</v>
      </c>
      <c r="AA598" s="368">
        <v>0</v>
      </c>
      <c r="AB598" s="368">
        <v>0</v>
      </c>
      <c r="AC598" s="368">
        <v>0</v>
      </c>
      <c r="AD598" s="368">
        <v>0</v>
      </c>
      <c r="AE598" s="368">
        <v>0</v>
      </c>
      <c r="AF598" s="396">
        <v>0</v>
      </c>
      <c r="AG598" s="368">
        <v>0</v>
      </c>
      <c r="AH598" s="396">
        <v>0</v>
      </c>
      <c r="AI598" s="368">
        <v>2002</v>
      </c>
      <c r="AJ598" s="397">
        <f t="shared" ref="AJ598:AJ599" si="193">7439.1*AI598/I598</f>
        <v>4650.5989882588065</v>
      </c>
      <c r="AK598" s="368">
        <v>0</v>
      </c>
      <c r="AL598" s="368">
        <v>0</v>
      </c>
      <c r="AM598" s="368">
        <v>0</v>
      </c>
      <c r="AN598" s="368"/>
      <c r="AO598" s="368">
        <v>0</v>
      </c>
    </row>
    <row r="599" spans="1:41" s="152" customFormat="1" ht="36" customHeight="1" x14ac:dyDescent="0.9">
      <c r="A599" s="152">
        <v>1</v>
      </c>
      <c r="B599" s="90">
        <f>SUBTOTAL(103,$A$554:A599)</f>
        <v>46</v>
      </c>
      <c r="C599" s="89" t="s">
        <v>1081</v>
      </c>
      <c r="D599" s="163">
        <v>1941</v>
      </c>
      <c r="E599" s="163"/>
      <c r="F599" s="168" t="s">
        <v>270</v>
      </c>
      <c r="G599" s="163">
        <v>3</v>
      </c>
      <c r="H599" s="163">
        <v>2</v>
      </c>
      <c r="I599" s="164">
        <v>1259.5999999999999</v>
      </c>
      <c r="J599" s="164">
        <v>1105.5</v>
      </c>
      <c r="K599" s="164">
        <v>1105.5</v>
      </c>
      <c r="L599" s="165">
        <v>57</v>
      </c>
      <c r="M599" s="163" t="s">
        <v>268</v>
      </c>
      <c r="N599" s="163" t="s">
        <v>272</v>
      </c>
      <c r="O599" s="166" t="s">
        <v>1089</v>
      </c>
      <c r="P599" s="167">
        <v>2856740</v>
      </c>
      <c r="Q599" s="167">
        <v>0</v>
      </c>
      <c r="R599" s="167">
        <v>0</v>
      </c>
      <c r="S599" s="167">
        <f t="shared" si="185"/>
        <v>2856740</v>
      </c>
      <c r="T599" s="167">
        <f t="shared" si="189"/>
        <v>2267.9739599872978</v>
      </c>
      <c r="U599" s="167">
        <v>5079.0933629723722</v>
      </c>
      <c r="V599" s="149">
        <f t="shared" si="192"/>
        <v>2811.1194029850744</v>
      </c>
      <c r="W599" s="149">
        <f t="shared" si="186"/>
        <v>5079.0933629723722</v>
      </c>
      <c r="X599" s="149">
        <v>0</v>
      </c>
      <c r="Y599" s="368">
        <v>0</v>
      </c>
      <c r="Z599" s="368">
        <v>0</v>
      </c>
      <c r="AA599" s="368">
        <v>0</v>
      </c>
      <c r="AB599" s="368">
        <v>0</v>
      </c>
      <c r="AC599" s="368">
        <v>0</v>
      </c>
      <c r="AD599" s="368">
        <v>0</v>
      </c>
      <c r="AE599" s="368">
        <v>0</v>
      </c>
      <c r="AF599" s="396">
        <v>0</v>
      </c>
      <c r="AG599" s="368">
        <v>0</v>
      </c>
      <c r="AH599" s="396">
        <v>0</v>
      </c>
      <c r="AI599" s="368">
        <v>860</v>
      </c>
      <c r="AJ599" s="397">
        <f t="shared" si="193"/>
        <v>5079.0933629723722</v>
      </c>
      <c r="AK599" s="368">
        <v>0</v>
      </c>
      <c r="AL599" s="368">
        <v>0</v>
      </c>
      <c r="AM599" s="368">
        <v>0</v>
      </c>
      <c r="AN599" s="368"/>
      <c r="AO599" s="368">
        <v>0</v>
      </c>
    </row>
    <row r="600" spans="1:41" s="152" customFormat="1" ht="36" customHeight="1" x14ac:dyDescent="0.9">
      <c r="A600" s="152">
        <v>1</v>
      </c>
      <c r="B600" s="90">
        <f>SUBTOTAL(103,$A$554:A600)</f>
        <v>47</v>
      </c>
      <c r="C600" s="89" t="s">
        <v>1415</v>
      </c>
      <c r="D600" s="163">
        <v>1961</v>
      </c>
      <c r="E600" s="163"/>
      <c r="F600" s="168" t="s">
        <v>270</v>
      </c>
      <c r="G600" s="163">
        <v>5</v>
      </c>
      <c r="H600" s="163">
        <v>3</v>
      </c>
      <c r="I600" s="164">
        <v>2564.1</v>
      </c>
      <c r="J600" s="164">
        <v>2365.9</v>
      </c>
      <c r="K600" s="164">
        <v>2308.6</v>
      </c>
      <c r="L600" s="165">
        <v>130</v>
      </c>
      <c r="M600" s="163" t="s">
        <v>268</v>
      </c>
      <c r="N600" s="163" t="s">
        <v>272</v>
      </c>
      <c r="O600" s="166" t="s">
        <v>1399</v>
      </c>
      <c r="P600" s="167">
        <v>4012975</v>
      </c>
      <c r="Q600" s="167">
        <v>0</v>
      </c>
      <c r="R600" s="167">
        <v>0</v>
      </c>
      <c r="S600" s="167">
        <f t="shared" si="185"/>
        <v>4012975</v>
      </c>
      <c r="T600" s="167">
        <f t="shared" si="189"/>
        <v>1565.0618150618152</v>
      </c>
      <c r="U600" s="167">
        <v>2022.2136816036816</v>
      </c>
      <c r="V600" s="149">
        <f t="shared" si="192"/>
        <v>457.15186654186641</v>
      </c>
      <c r="W600" s="149">
        <f t="shared" si="186"/>
        <v>2022.2136816036816</v>
      </c>
      <c r="X600" s="149">
        <v>0</v>
      </c>
      <c r="Y600" s="368">
        <v>0</v>
      </c>
      <c r="Z600" s="368">
        <v>0</v>
      </c>
      <c r="AA600" s="368">
        <v>0</v>
      </c>
      <c r="AB600" s="368">
        <v>0</v>
      </c>
      <c r="AC600" s="368">
        <v>0</v>
      </c>
      <c r="AD600" s="368">
        <v>0</v>
      </c>
      <c r="AE600" s="368">
        <v>831.1</v>
      </c>
      <c r="AF600" s="396">
        <f>6238.91*AE600/I600</f>
        <v>2022.2136816036816</v>
      </c>
      <c r="AG600" s="368">
        <v>0</v>
      </c>
      <c r="AH600" s="396">
        <v>0</v>
      </c>
      <c r="AI600" s="368">
        <v>0</v>
      </c>
      <c r="AJ600" s="396">
        <v>0</v>
      </c>
      <c r="AK600" s="368">
        <v>0</v>
      </c>
      <c r="AL600" s="368">
        <v>0</v>
      </c>
      <c r="AM600" s="368">
        <v>0</v>
      </c>
      <c r="AN600" s="368"/>
      <c r="AO600" s="368">
        <v>0</v>
      </c>
    </row>
    <row r="601" spans="1:41" s="152" customFormat="1" ht="36" customHeight="1" x14ac:dyDescent="0.9">
      <c r="A601" s="152">
        <v>1</v>
      </c>
      <c r="B601" s="90">
        <f>SUBTOTAL(103,$A$554:A601)</f>
        <v>48</v>
      </c>
      <c r="C601" s="89" t="s">
        <v>1388</v>
      </c>
      <c r="D601" s="163">
        <v>1973</v>
      </c>
      <c r="E601" s="163"/>
      <c r="F601" s="168" t="s">
        <v>270</v>
      </c>
      <c r="G601" s="163">
        <v>9</v>
      </c>
      <c r="H601" s="163">
        <v>1</v>
      </c>
      <c r="I601" s="164">
        <v>1958.4</v>
      </c>
      <c r="J601" s="164">
        <v>1941.8</v>
      </c>
      <c r="K601" s="164">
        <v>1860.4</v>
      </c>
      <c r="L601" s="165">
        <v>135</v>
      </c>
      <c r="M601" s="163" t="s">
        <v>268</v>
      </c>
      <c r="N601" s="163" t="s">
        <v>272</v>
      </c>
      <c r="O601" s="166" t="s">
        <v>1400</v>
      </c>
      <c r="P601" s="167">
        <v>2248303</v>
      </c>
      <c r="Q601" s="167">
        <v>0</v>
      </c>
      <c r="R601" s="167">
        <v>0</v>
      </c>
      <c r="S601" s="167">
        <f t="shared" si="185"/>
        <v>2248303</v>
      </c>
      <c r="T601" s="167">
        <f t="shared" si="189"/>
        <v>1148.0305351307188</v>
      </c>
      <c r="U601" s="167">
        <v>2104.4022671568628</v>
      </c>
      <c r="V601" s="149">
        <f t="shared" si="192"/>
        <v>956.37173202614395</v>
      </c>
      <c r="W601" s="149">
        <f t="shared" si="186"/>
        <v>2104.4022671568628</v>
      </c>
      <c r="X601" s="149">
        <v>0</v>
      </c>
      <c r="Y601" s="368">
        <v>0</v>
      </c>
      <c r="Z601" s="368">
        <v>0</v>
      </c>
      <c r="AA601" s="368">
        <v>0</v>
      </c>
      <c r="AB601" s="368">
        <v>0</v>
      </c>
      <c r="AC601" s="368">
        <v>0</v>
      </c>
      <c r="AD601" s="368">
        <v>0</v>
      </c>
      <c r="AE601" s="368">
        <v>0</v>
      </c>
      <c r="AF601" s="396">
        <v>0</v>
      </c>
      <c r="AG601" s="368">
        <v>0</v>
      </c>
      <c r="AH601" s="396">
        <v>0</v>
      </c>
      <c r="AI601" s="368">
        <v>554</v>
      </c>
      <c r="AJ601" s="397">
        <f t="shared" ref="AJ601:AJ602" si="194">7439.1*AI601/I601</f>
        <v>2104.4022671568628</v>
      </c>
      <c r="AK601" s="368">
        <v>0</v>
      </c>
      <c r="AL601" s="368">
        <v>0</v>
      </c>
      <c r="AM601" s="368">
        <v>0</v>
      </c>
      <c r="AN601" s="368"/>
      <c r="AO601" s="368">
        <v>0</v>
      </c>
    </row>
    <row r="602" spans="1:41" s="152" customFormat="1" ht="36" customHeight="1" x14ac:dyDescent="0.9">
      <c r="A602" s="152">
        <v>1</v>
      </c>
      <c r="B602" s="90">
        <f>SUBTOTAL(103,$A$554:A602)</f>
        <v>49</v>
      </c>
      <c r="C602" s="89" t="s">
        <v>1120</v>
      </c>
      <c r="D602" s="163">
        <v>1959</v>
      </c>
      <c r="E602" s="163"/>
      <c r="F602" s="168" t="s">
        <v>270</v>
      </c>
      <c r="G602" s="163">
        <v>4</v>
      </c>
      <c r="H602" s="163">
        <v>3</v>
      </c>
      <c r="I602" s="164">
        <v>2756</v>
      </c>
      <c r="J602" s="164">
        <v>2605</v>
      </c>
      <c r="K602" s="164">
        <v>2310</v>
      </c>
      <c r="L602" s="165">
        <v>91</v>
      </c>
      <c r="M602" s="163" t="s">
        <v>268</v>
      </c>
      <c r="N602" s="163" t="s">
        <v>272</v>
      </c>
      <c r="O602" s="166" t="s">
        <v>1413</v>
      </c>
      <c r="P602" s="167">
        <v>2785299.21</v>
      </c>
      <c r="Q602" s="167">
        <v>0</v>
      </c>
      <c r="R602" s="167">
        <v>0</v>
      </c>
      <c r="S602" s="167">
        <f t="shared" si="185"/>
        <v>2785299.21</v>
      </c>
      <c r="T602" s="167">
        <f t="shared" si="189"/>
        <v>1010.6310631349783</v>
      </c>
      <c r="U602" s="167">
        <v>4114.5025079825837</v>
      </c>
      <c r="V602" s="149">
        <f t="shared" si="192"/>
        <v>3103.8714448476053</v>
      </c>
      <c r="W602" s="149">
        <f t="shared" si="186"/>
        <v>4114.5025079825837</v>
      </c>
      <c r="X602" s="149">
        <v>0</v>
      </c>
      <c r="Y602" s="368">
        <v>0</v>
      </c>
      <c r="Z602" s="368">
        <v>0</v>
      </c>
      <c r="AA602" s="368">
        <v>0</v>
      </c>
      <c r="AB602" s="368">
        <v>0</v>
      </c>
      <c r="AC602" s="368">
        <v>0</v>
      </c>
      <c r="AD602" s="368">
        <v>0</v>
      </c>
      <c r="AE602" s="368">
        <v>0</v>
      </c>
      <c r="AF602" s="396">
        <v>0</v>
      </c>
      <c r="AG602" s="368">
        <v>0</v>
      </c>
      <c r="AH602" s="396">
        <v>0</v>
      </c>
      <c r="AI602" s="368">
        <v>1524.32</v>
      </c>
      <c r="AJ602" s="397">
        <f t="shared" si="194"/>
        <v>4114.5025079825837</v>
      </c>
      <c r="AK602" s="368">
        <v>0</v>
      </c>
      <c r="AL602" s="368">
        <v>0</v>
      </c>
      <c r="AM602" s="368">
        <v>0</v>
      </c>
      <c r="AN602" s="368"/>
      <c r="AO602" s="368">
        <v>0</v>
      </c>
    </row>
    <row r="603" spans="1:41" s="152" customFormat="1" ht="36" customHeight="1" x14ac:dyDescent="0.9">
      <c r="A603" s="152">
        <v>1</v>
      </c>
      <c r="B603" s="90">
        <f>SUBTOTAL(103,$A$554:A603)</f>
        <v>50</v>
      </c>
      <c r="C603" s="89" t="s">
        <v>1130</v>
      </c>
      <c r="D603" s="163">
        <v>1950</v>
      </c>
      <c r="E603" s="163"/>
      <c r="F603" s="168" t="s">
        <v>270</v>
      </c>
      <c r="G603" s="163">
        <v>2</v>
      </c>
      <c r="H603" s="163">
        <v>2</v>
      </c>
      <c r="I603" s="164">
        <v>813.8</v>
      </c>
      <c r="J603" s="164">
        <v>739.3</v>
      </c>
      <c r="K603" s="164">
        <v>696.4</v>
      </c>
      <c r="L603" s="165">
        <v>39</v>
      </c>
      <c r="M603" s="163" t="s">
        <v>268</v>
      </c>
      <c r="N603" s="163" t="s">
        <v>272</v>
      </c>
      <c r="O603" s="166" t="s">
        <v>1413</v>
      </c>
      <c r="P603" s="167">
        <v>1338055.4100000001</v>
      </c>
      <c r="Q603" s="167">
        <v>0</v>
      </c>
      <c r="R603" s="167">
        <v>0</v>
      </c>
      <c r="S603" s="167">
        <f t="shared" si="185"/>
        <v>1338055.4100000001</v>
      </c>
      <c r="T603" s="167">
        <f t="shared" si="189"/>
        <v>1644.2066969771445</v>
      </c>
      <c r="U603" s="167">
        <v>3030.1795035635296</v>
      </c>
      <c r="V603" s="149">
        <f t="shared" si="192"/>
        <v>1385.9728065863851</v>
      </c>
      <c r="W603" s="149">
        <f t="shared" si="186"/>
        <v>3030.1795035635296</v>
      </c>
      <c r="X603" s="149">
        <v>0</v>
      </c>
      <c r="Y603" s="368">
        <v>0</v>
      </c>
      <c r="Z603" s="368">
        <v>0</v>
      </c>
      <c r="AA603" s="368">
        <v>0</v>
      </c>
      <c r="AB603" s="368">
        <v>0</v>
      </c>
      <c r="AC603" s="368">
        <v>0</v>
      </c>
      <c r="AD603" s="368">
        <v>0</v>
      </c>
      <c r="AE603" s="368">
        <v>0</v>
      </c>
      <c r="AF603" s="396">
        <v>0</v>
      </c>
      <c r="AG603" s="368">
        <v>278</v>
      </c>
      <c r="AH603" s="396">
        <f>8870.36*AG603/I603</f>
        <v>3030.1795035635296</v>
      </c>
      <c r="AI603" s="368">
        <v>0</v>
      </c>
      <c r="AJ603" s="396">
        <v>0</v>
      </c>
      <c r="AK603" s="368">
        <v>0</v>
      </c>
      <c r="AL603" s="368">
        <v>0</v>
      </c>
      <c r="AM603" s="368">
        <v>0</v>
      </c>
      <c r="AN603" s="368"/>
      <c r="AO603" s="368">
        <v>0</v>
      </c>
    </row>
    <row r="604" spans="1:41" s="152" customFormat="1" ht="36" customHeight="1" x14ac:dyDescent="0.9">
      <c r="A604" s="152">
        <v>1</v>
      </c>
      <c r="B604" s="90">
        <f>SUBTOTAL(103,$A$554:A604)</f>
        <v>51</v>
      </c>
      <c r="C604" s="89" t="s">
        <v>1131</v>
      </c>
      <c r="D604" s="163">
        <v>1958</v>
      </c>
      <c r="E604" s="163"/>
      <c r="F604" s="168" t="s">
        <v>270</v>
      </c>
      <c r="G604" s="163">
        <v>2</v>
      </c>
      <c r="H604" s="163">
        <v>2</v>
      </c>
      <c r="I604" s="164">
        <v>515.4</v>
      </c>
      <c r="J604" s="164">
        <v>454.3</v>
      </c>
      <c r="K604" s="164">
        <v>339.6</v>
      </c>
      <c r="L604" s="165">
        <v>21</v>
      </c>
      <c r="M604" s="163" t="s">
        <v>268</v>
      </c>
      <c r="N604" s="163" t="s">
        <v>272</v>
      </c>
      <c r="O604" s="166" t="s">
        <v>1398</v>
      </c>
      <c r="P604" s="167">
        <v>221655.15999999997</v>
      </c>
      <c r="Q604" s="167">
        <v>0</v>
      </c>
      <c r="R604" s="167">
        <v>0</v>
      </c>
      <c r="S604" s="167">
        <f t="shared" si="185"/>
        <v>221655.15999999997</v>
      </c>
      <c r="T604" s="167">
        <f t="shared" si="189"/>
        <v>430.06433837795885</v>
      </c>
      <c r="U604" s="167">
        <v>430.06433837795885</v>
      </c>
      <c r="V604" s="149">
        <f t="shared" si="192"/>
        <v>0</v>
      </c>
      <c r="W604" s="149">
        <f>T604</f>
        <v>430.06433837795885</v>
      </c>
      <c r="X604" s="149">
        <v>113.09</v>
      </c>
      <c r="Y604" s="368">
        <v>0</v>
      </c>
      <c r="Z604" s="368">
        <v>0</v>
      </c>
      <c r="AA604" s="368">
        <v>184.98</v>
      </c>
      <c r="AB604" s="368">
        <v>0</v>
      </c>
      <c r="AC604" s="368">
        <v>0</v>
      </c>
      <c r="AD604" s="368">
        <v>0</v>
      </c>
      <c r="AE604" s="368">
        <v>0</v>
      </c>
      <c r="AF604" s="396">
        <v>0</v>
      </c>
      <c r="AG604" s="368">
        <v>0</v>
      </c>
      <c r="AH604" s="396">
        <v>0</v>
      </c>
      <c r="AI604" s="368">
        <v>0</v>
      </c>
      <c r="AJ604" s="396">
        <v>0</v>
      </c>
      <c r="AK604" s="368">
        <v>0</v>
      </c>
      <c r="AL604" s="368">
        <v>0</v>
      </c>
      <c r="AM604" s="368">
        <v>0</v>
      </c>
      <c r="AN604" s="368"/>
      <c r="AO604" s="368">
        <v>0</v>
      </c>
    </row>
    <row r="605" spans="1:41" s="152" customFormat="1" ht="36" customHeight="1" x14ac:dyDescent="0.9">
      <c r="A605" s="152">
        <v>1</v>
      </c>
      <c r="B605" s="90">
        <f>SUBTOTAL(103,$A$554:A605)</f>
        <v>52</v>
      </c>
      <c r="C605" s="89" t="s">
        <v>1133</v>
      </c>
      <c r="D605" s="163" t="s">
        <v>372</v>
      </c>
      <c r="E605" s="163"/>
      <c r="F605" s="168" t="s">
        <v>270</v>
      </c>
      <c r="G605" s="163" t="s">
        <v>312</v>
      </c>
      <c r="H605" s="163" t="s">
        <v>307</v>
      </c>
      <c r="I605" s="164">
        <v>1346.5</v>
      </c>
      <c r="J605" s="164">
        <v>1245.7</v>
      </c>
      <c r="K605" s="164">
        <v>1118.8</v>
      </c>
      <c r="L605" s="165">
        <v>62</v>
      </c>
      <c r="M605" s="163" t="s">
        <v>268</v>
      </c>
      <c r="N605" s="163" t="s">
        <v>272</v>
      </c>
      <c r="O605" s="166" t="s">
        <v>1665</v>
      </c>
      <c r="P605" s="167">
        <v>2696648.14</v>
      </c>
      <c r="Q605" s="167">
        <v>0</v>
      </c>
      <c r="R605" s="167">
        <v>0</v>
      </c>
      <c r="S605" s="167">
        <f t="shared" si="185"/>
        <v>2696648.14</v>
      </c>
      <c r="T605" s="167">
        <f t="shared" si="189"/>
        <v>2002.7093501671</v>
      </c>
      <c r="U605" s="167">
        <v>2100.7959851466762</v>
      </c>
      <c r="V605" s="149">
        <f t="shared" si="192"/>
        <v>98.086634979576274</v>
      </c>
      <c r="W605" s="149">
        <f t="shared" si="186"/>
        <v>2100.7959851466762</v>
      </c>
      <c r="X605" s="149">
        <v>0</v>
      </c>
      <c r="Y605" s="368">
        <v>0</v>
      </c>
      <c r="Z605" s="368">
        <v>0</v>
      </c>
      <c r="AA605" s="368">
        <v>0</v>
      </c>
      <c r="AB605" s="368">
        <v>0</v>
      </c>
      <c r="AC605" s="368">
        <v>0</v>
      </c>
      <c r="AD605" s="368">
        <v>0</v>
      </c>
      <c r="AE605" s="368">
        <v>453.4</v>
      </c>
      <c r="AF605" s="396">
        <f>6238.91*AE605/I605</f>
        <v>2100.7959851466762</v>
      </c>
      <c r="AG605" s="368">
        <v>0</v>
      </c>
      <c r="AH605" s="396">
        <v>0</v>
      </c>
      <c r="AI605" s="368">
        <v>0</v>
      </c>
      <c r="AJ605" s="396">
        <v>0</v>
      </c>
      <c r="AK605" s="368">
        <v>0</v>
      </c>
      <c r="AL605" s="368">
        <v>0</v>
      </c>
      <c r="AM605" s="368">
        <v>0</v>
      </c>
      <c r="AN605" s="368"/>
      <c r="AO605" s="368">
        <v>0</v>
      </c>
    </row>
    <row r="606" spans="1:41" s="152" customFormat="1" ht="36" customHeight="1" x14ac:dyDescent="0.9">
      <c r="A606" s="152">
        <v>1</v>
      </c>
      <c r="B606" s="90">
        <f>SUBTOTAL(103,$A$554:A606)</f>
        <v>53</v>
      </c>
      <c r="C606" s="89" t="s">
        <v>1135</v>
      </c>
      <c r="D606" s="163">
        <v>1991</v>
      </c>
      <c r="E606" s="163">
        <v>2016</v>
      </c>
      <c r="F606" s="168" t="s">
        <v>1336</v>
      </c>
      <c r="G606" s="163">
        <v>13</v>
      </c>
      <c r="H606" s="163">
        <v>1</v>
      </c>
      <c r="I606" s="164">
        <v>4135.3</v>
      </c>
      <c r="J606" s="164">
        <v>3928.9</v>
      </c>
      <c r="K606" s="164">
        <v>3680.79</v>
      </c>
      <c r="L606" s="165">
        <v>225</v>
      </c>
      <c r="M606" s="163" t="s">
        <v>268</v>
      </c>
      <c r="N606" s="163" t="s">
        <v>272</v>
      </c>
      <c r="O606" s="166" t="s">
        <v>1400</v>
      </c>
      <c r="P606" s="167">
        <v>4348142.72</v>
      </c>
      <c r="Q606" s="167">
        <v>0</v>
      </c>
      <c r="R606" s="167">
        <v>0</v>
      </c>
      <c r="S606" s="167">
        <f t="shared" si="185"/>
        <v>4348142.72</v>
      </c>
      <c r="T606" s="167">
        <f t="shared" si="189"/>
        <v>1051.4697168282833</v>
      </c>
      <c r="U606" s="167">
        <v>2620.8075085241694</v>
      </c>
      <c r="V606" s="149">
        <f t="shared" si="192"/>
        <v>1569.3377916958862</v>
      </c>
      <c r="W606" s="149">
        <f t="shared" si="186"/>
        <v>2620.8075085241694</v>
      </c>
      <c r="X606" s="149">
        <v>0</v>
      </c>
      <c r="Y606" s="368">
        <v>0</v>
      </c>
      <c r="Z606" s="368">
        <v>0</v>
      </c>
      <c r="AA606" s="368">
        <v>0</v>
      </c>
      <c r="AB606" s="368">
        <v>0</v>
      </c>
      <c r="AC606" s="368">
        <v>0</v>
      </c>
      <c r="AD606" s="368">
        <v>0</v>
      </c>
      <c r="AE606" s="368">
        <v>0</v>
      </c>
      <c r="AF606" s="396">
        <v>0</v>
      </c>
      <c r="AG606" s="368">
        <v>0</v>
      </c>
      <c r="AH606" s="396">
        <v>0</v>
      </c>
      <c r="AI606" s="368">
        <v>1389</v>
      </c>
      <c r="AJ606" s="397">
        <f>7802.61*AI606/I606</f>
        <v>2620.8075085241694</v>
      </c>
      <c r="AK606" s="368">
        <v>0</v>
      </c>
      <c r="AL606" s="368">
        <v>0</v>
      </c>
      <c r="AM606" s="368">
        <v>0</v>
      </c>
      <c r="AN606" s="368"/>
      <c r="AO606" s="368">
        <v>0</v>
      </c>
    </row>
    <row r="607" spans="1:41" s="152" customFormat="1" ht="36" customHeight="1" x14ac:dyDescent="0.9">
      <c r="A607" s="152">
        <v>1</v>
      </c>
      <c r="B607" s="90">
        <f>SUBTOTAL(103,$A$554:A607)</f>
        <v>54</v>
      </c>
      <c r="C607" s="89" t="s">
        <v>1136</v>
      </c>
      <c r="D607" s="163">
        <v>1962</v>
      </c>
      <c r="E607" s="163"/>
      <c r="F607" s="168" t="s">
        <v>270</v>
      </c>
      <c r="G607" s="163">
        <v>5</v>
      </c>
      <c r="H607" s="163">
        <v>4</v>
      </c>
      <c r="I607" s="164">
        <v>3154</v>
      </c>
      <c r="J607" s="164">
        <v>3012.3</v>
      </c>
      <c r="K607" s="164">
        <v>2941.4</v>
      </c>
      <c r="L607" s="165">
        <v>175</v>
      </c>
      <c r="M607" s="163" t="s">
        <v>268</v>
      </c>
      <c r="N607" s="163" t="s">
        <v>272</v>
      </c>
      <c r="O607" s="166" t="s">
        <v>1339</v>
      </c>
      <c r="P607" s="167">
        <v>3246745.9499999997</v>
      </c>
      <c r="Q607" s="167">
        <v>0</v>
      </c>
      <c r="R607" s="167">
        <v>0</v>
      </c>
      <c r="S607" s="167">
        <f t="shared" si="185"/>
        <v>3246745.9499999997</v>
      </c>
      <c r="T607" s="167">
        <f t="shared" si="189"/>
        <v>1029.4058180088775</v>
      </c>
      <c r="U607" s="167">
        <v>2162.0572701331644</v>
      </c>
      <c r="V607" s="149">
        <f t="shared" si="192"/>
        <v>1132.6514521242868</v>
      </c>
      <c r="W607" s="149">
        <f t="shared" si="186"/>
        <v>2162.0572701331644</v>
      </c>
      <c r="X607" s="149">
        <v>0</v>
      </c>
      <c r="Y607" s="368">
        <v>0</v>
      </c>
      <c r="Z607" s="368">
        <v>0</v>
      </c>
      <c r="AA607" s="368">
        <v>0</v>
      </c>
      <c r="AB607" s="368">
        <v>0</v>
      </c>
      <c r="AC607" s="368">
        <v>0</v>
      </c>
      <c r="AD607" s="368">
        <v>0</v>
      </c>
      <c r="AE607" s="368">
        <v>1093</v>
      </c>
      <c r="AF607" s="396">
        <f t="shared" ref="AF607:AF609" si="195">6238.91*AE607/I607</f>
        <v>2162.0572701331644</v>
      </c>
      <c r="AG607" s="368">
        <v>0</v>
      </c>
      <c r="AH607" s="396">
        <v>0</v>
      </c>
      <c r="AI607" s="368">
        <v>0</v>
      </c>
      <c r="AJ607" s="396">
        <v>0</v>
      </c>
      <c r="AK607" s="368">
        <v>0</v>
      </c>
      <c r="AL607" s="368">
        <v>0</v>
      </c>
      <c r="AM607" s="368">
        <v>0</v>
      </c>
      <c r="AN607" s="368"/>
      <c r="AO607" s="368">
        <v>0</v>
      </c>
    </row>
    <row r="608" spans="1:41" s="152" customFormat="1" ht="36" customHeight="1" x14ac:dyDescent="0.9">
      <c r="A608" s="152">
        <v>1</v>
      </c>
      <c r="B608" s="90">
        <f>SUBTOTAL(103,$A$554:A608)</f>
        <v>55</v>
      </c>
      <c r="C608" s="89" t="s">
        <v>1147</v>
      </c>
      <c r="D608" s="163">
        <v>1962</v>
      </c>
      <c r="E608" s="163"/>
      <c r="F608" s="168" t="s">
        <v>270</v>
      </c>
      <c r="G608" s="163">
        <v>2</v>
      </c>
      <c r="H608" s="163">
        <v>2</v>
      </c>
      <c r="I608" s="164">
        <v>628.29999999999995</v>
      </c>
      <c r="J608" s="164">
        <v>414.2</v>
      </c>
      <c r="K608" s="164">
        <v>414.2</v>
      </c>
      <c r="L608" s="165">
        <v>40</v>
      </c>
      <c r="M608" s="163" t="s">
        <v>268</v>
      </c>
      <c r="N608" s="163" t="s">
        <v>269</v>
      </c>
      <c r="O608" s="166" t="s">
        <v>1338</v>
      </c>
      <c r="P608" s="167">
        <v>2364441.7000000002</v>
      </c>
      <c r="Q608" s="167">
        <v>0</v>
      </c>
      <c r="R608" s="167">
        <v>0</v>
      </c>
      <c r="S608" s="167">
        <f t="shared" si="185"/>
        <v>2364441.7000000002</v>
      </c>
      <c r="T608" s="167">
        <f t="shared" si="189"/>
        <v>3763.2368295400292</v>
      </c>
      <c r="U608" s="167">
        <v>5395.8677287919782</v>
      </c>
      <c r="V608" s="149">
        <f t="shared" si="192"/>
        <v>1632.6308992519489</v>
      </c>
      <c r="W608" s="149">
        <f t="shared" si="186"/>
        <v>5395.8677287919782</v>
      </c>
      <c r="X608" s="149">
        <v>0</v>
      </c>
      <c r="Y608" s="368">
        <v>0</v>
      </c>
      <c r="Z608" s="368">
        <v>0</v>
      </c>
      <c r="AA608" s="368">
        <v>0</v>
      </c>
      <c r="AB608" s="368">
        <v>0</v>
      </c>
      <c r="AC608" s="368">
        <v>0</v>
      </c>
      <c r="AD608" s="368">
        <v>0</v>
      </c>
      <c r="AE608" s="368">
        <v>543.4</v>
      </c>
      <c r="AF608" s="396">
        <f t="shared" si="195"/>
        <v>5395.8677287919782</v>
      </c>
      <c r="AG608" s="368">
        <v>0</v>
      </c>
      <c r="AH608" s="396">
        <v>0</v>
      </c>
      <c r="AI608" s="368">
        <v>0</v>
      </c>
      <c r="AJ608" s="396">
        <v>0</v>
      </c>
      <c r="AK608" s="368">
        <v>0</v>
      </c>
      <c r="AL608" s="368">
        <v>0</v>
      </c>
      <c r="AM608" s="368">
        <v>0</v>
      </c>
      <c r="AN608" s="368"/>
      <c r="AO608" s="368">
        <v>0</v>
      </c>
    </row>
    <row r="609" spans="1:41" s="152" customFormat="1" ht="36" customHeight="1" x14ac:dyDescent="0.9">
      <c r="A609" s="152">
        <v>1</v>
      </c>
      <c r="B609" s="90">
        <f>SUBTOTAL(103,$A$554:A609)</f>
        <v>56</v>
      </c>
      <c r="C609" s="89" t="s">
        <v>1148</v>
      </c>
      <c r="D609" s="163">
        <v>1964</v>
      </c>
      <c r="E609" s="163"/>
      <c r="F609" s="168" t="s">
        <v>270</v>
      </c>
      <c r="G609" s="163">
        <v>2</v>
      </c>
      <c r="H609" s="163">
        <v>2</v>
      </c>
      <c r="I609" s="164">
        <v>616.20000000000005</v>
      </c>
      <c r="J609" s="164">
        <v>614</v>
      </c>
      <c r="K609" s="164">
        <v>614</v>
      </c>
      <c r="L609" s="165">
        <v>40</v>
      </c>
      <c r="M609" s="163" t="s">
        <v>268</v>
      </c>
      <c r="N609" s="163" t="s">
        <v>272</v>
      </c>
      <c r="O609" s="166" t="s">
        <v>1338</v>
      </c>
      <c r="P609" s="167">
        <v>2747544.12</v>
      </c>
      <c r="Q609" s="167">
        <v>0</v>
      </c>
      <c r="R609" s="167">
        <v>0</v>
      </c>
      <c r="S609" s="167">
        <f t="shared" si="185"/>
        <v>2747544.12</v>
      </c>
      <c r="T609" s="167">
        <f t="shared" si="189"/>
        <v>4458.8512171372931</v>
      </c>
      <c r="U609" s="167">
        <v>6733.0008925673474</v>
      </c>
      <c r="V609" s="149">
        <f t="shared" si="192"/>
        <v>2274.1496754300542</v>
      </c>
      <c r="W609" s="149">
        <f t="shared" si="186"/>
        <v>6733.0008925673474</v>
      </c>
      <c r="X609" s="149">
        <v>0</v>
      </c>
      <c r="Y609" s="368">
        <v>0</v>
      </c>
      <c r="Z609" s="368">
        <v>0</v>
      </c>
      <c r="AA609" s="368">
        <v>0</v>
      </c>
      <c r="AB609" s="368">
        <v>0</v>
      </c>
      <c r="AC609" s="368">
        <v>0</v>
      </c>
      <c r="AD609" s="368">
        <v>0</v>
      </c>
      <c r="AE609" s="368">
        <v>665</v>
      </c>
      <c r="AF609" s="396">
        <f t="shared" si="195"/>
        <v>6733.0008925673474</v>
      </c>
      <c r="AG609" s="368">
        <v>0</v>
      </c>
      <c r="AH609" s="396">
        <v>0</v>
      </c>
      <c r="AI609" s="368">
        <v>0</v>
      </c>
      <c r="AJ609" s="396">
        <v>0</v>
      </c>
      <c r="AK609" s="368">
        <v>0</v>
      </c>
      <c r="AL609" s="368">
        <v>0</v>
      </c>
      <c r="AM609" s="368">
        <v>0</v>
      </c>
      <c r="AN609" s="368"/>
      <c r="AO609" s="368">
        <v>0</v>
      </c>
    </row>
    <row r="610" spans="1:41" s="152" customFormat="1" ht="36" customHeight="1" x14ac:dyDescent="0.9">
      <c r="A610" s="152">
        <v>1</v>
      </c>
      <c r="B610" s="90">
        <f>SUBTOTAL(103,$A$554:A610)</f>
        <v>57</v>
      </c>
      <c r="C610" s="89" t="s">
        <v>1607</v>
      </c>
      <c r="D610" s="163">
        <v>1964</v>
      </c>
      <c r="E610" s="163"/>
      <c r="F610" s="168" t="s">
        <v>270</v>
      </c>
      <c r="G610" s="163">
        <v>5</v>
      </c>
      <c r="H610" s="163">
        <v>4</v>
      </c>
      <c r="I610" s="164">
        <v>3338.7</v>
      </c>
      <c r="J610" s="164">
        <v>3322.3</v>
      </c>
      <c r="K610" s="164">
        <v>3136.7</v>
      </c>
      <c r="L610" s="165">
        <v>205</v>
      </c>
      <c r="M610" s="163" t="s">
        <v>268</v>
      </c>
      <c r="N610" s="163" t="s">
        <v>272</v>
      </c>
      <c r="O610" s="166" t="s">
        <v>1398</v>
      </c>
      <c r="P610" s="167">
        <v>2292500.0499999998</v>
      </c>
      <c r="Q610" s="167">
        <v>0</v>
      </c>
      <c r="R610" s="167">
        <v>0</v>
      </c>
      <c r="S610" s="167">
        <f t="shared" si="185"/>
        <v>2292500.0499999998</v>
      </c>
      <c r="T610" s="167">
        <f t="shared" si="189"/>
        <v>686.64451732710336</v>
      </c>
      <c r="U610" s="167">
        <v>1871.6398598256808</v>
      </c>
      <c r="V610" s="149">
        <f t="shared" si="192"/>
        <v>1184.9953424985774</v>
      </c>
      <c r="W610" s="149">
        <f t="shared" si="186"/>
        <v>1871.6398598256808</v>
      </c>
      <c r="X610" s="149">
        <v>0</v>
      </c>
      <c r="Y610" s="368">
        <v>0</v>
      </c>
      <c r="Z610" s="368">
        <v>0</v>
      </c>
      <c r="AA610" s="368">
        <v>0</v>
      </c>
      <c r="AB610" s="368">
        <v>0</v>
      </c>
      <c r="AC610" s="368">
        <v>0</v>
      </c>
      <c r="AD610" s="368">
        <v>0</v>
      </c>
      <c r="AE610" s="368">
        <v>0</v>
      </c>
      <c r="AF610" s="396">
        <v>0</v>
      </c>
      <c r="AG610" s="368">
        <v>0</v>
      </c>
      <c r="AH610" s="396">
        <v>0</v>
      </c>
      <c r="AI610" s="368">
        <v>840</v>
      </c>
      <c r="AJ610" s="397">
        <f>7439.1*AI610/I610</f>
        <v>1871.6398598256808</v>
      </c>
      <c r="AK610" s="368">
        <v>0</v>
      </c>
      <c r="AL610" s="368">
        <v>0</v>
      </c>
      <c r="AM610" s="368">
        <v>0</v>
      </c>
      <c r="AN610" s="368"/>
      <c r="AO610" s="368">
        <v>0</v>
      </c>
    </row>
    <row r="611" spans="1:41" s="152" customFormat="1" ht="36" customHeight="1" x14ac:dyDescent="0.9">
      <c r="A611" s="152">
        <v>1</v>
      </c>
      <c r="B611" s="90">
        <f>SUBTOTAL(103,$A$554:A611)</f>
        <v>58</v>
      </c>
      <c r="C611" s="89" t="s">
        <v>1637</v>
      </c>
      <c r="D611" s="163">
        <v>1966</v>
      </c>
      <c r="E611" s="163"/>
      <c r="F611" s="168" t="s">
        <v>315</v>
      </c>
      <c r="G611" s="163">
        <v>5</v>
      </c>
      <c r="H611" s="163">
        <v>4</v>
      </c>
      <c r="I611" s="164">
        <v>4619.5</v>
      </c>
      <c r="J611" s="164">
        <v>3551.3</v>
      </c>
      <c r="K611" s="164">
        <v>3365.6</v>
      </c>
      <c r="L611" s="165">
        <v>200</v>
      </c>
      <c r="M611" s="163" t="s">
        <v>268</v>
      </c>
      <c r="N611" s="163" t="s">
        <v>272</v>
      </c>
      <c r="O611" s="166" t="s">
        <v>1088</v>
      </c>
      <c r="P611" s="167">
        <v>3926550</v>
      </c>
      <c r="Q611" s="167">
        <v>0</v>
      </c>
      <c r="R611" s="167">
        <v>0</v>
      </c>
      <c r="S611" s="167">
        <f t="shared" si="185"/>
        <v>3926550</v>
      </c>
      <c r="T611" s="167">
        <f t="shared" si="189"/>
        <v>849.9945881588917</v>
      </c>
      <c r="U611" s="167">
        <v>1215.5036259335425</v>
      </c>
      <c r="V611" s="149">
        <f t="shared" si="192"/>
        <v>365.50903777465078</v>
      </c>
      <c r="W611" s="149">
        <f t="shared" si="186"/>
        <v>1215.5036259335425</v>
      </c>
      <c r="X611" s="149">
        <v>0</v>
      </c>
      <c r="Y611" s="368">
        <v>0</v>
      </c>
      <c r="Z611" s="368">
        <v>0</v>
      </c>
      <c r="AA611" s="368">
        <v>0</v>
      </c>
      <c r="AB611" s="368">
        <v>0</v>
      </c>
      <c r="AC611" s="368">
        <v>0</v>
      </c>
      <c r="AD611" s="368">
        <v>0</v>
      </c>
      <c r="AE611" s="368">
        <v>900</v>
      </c>
      <c r="AF611" s="396">
        <f>6238.91*AE611/I611</f>
        <v>1215.5036259335425</v>
      </c>
      <c r="AG611" s="368">
        <v>0</v>
      </c>
      <c r="AH611" s="396">
        <v>0</v>
      </c>
      <c r="AI611" s="368">
        <v>0</v>
      </c>
      <c r="AJ611" s="396">
        <v>0</v>
      </c>
      <c r="AK611" s="368">
        <v>0</v>
      </c>
      <c r="AL611" s="368">
        <v>0</v>
      </c>
      <c r="AM611" s="368">
        <v>0</v>
      </c>
      <c r="AN611" s="368"/>
      <c r="AO611" s="368">
        <v>0</v>
      </c>
    </row>
    <row r="612" spans="1:41" s="152" customFormat="1" ht="36" customHeight="1" x14ac:dyDescent="0.9">
      <c r="A612" s="152">
        <v>1</v>
      </c>
      <c r="B612" s="90">
        <f>SUBTOTAL(103,$A$554:A612)</f>
        <v>59</v>
      </c>
      <c r="C612" s="89" t="s">
        <v>1639</v>
      </c>
      <c r="D612" s="163">
        <v>1959</v>
      </c>
      <c r="E612" s="163"/>
      <c r="F612" s="168" t="s">
        <v>270</v>
      </c>
      <c r="G612" s="163">
        <v>3</v>
      </c>
      <c r="H612" s="163">
        <v>3</v>
      </c>
      <c r="I612" s="164">
        <v>1249.9000000000001</v>
      </c>
      <c r="J612" s="164">
        <v>1149.9000000000001</v>
      </c>
      <c r="K612" s="164">
        <v>1149.9000000000001</v>
      </c>
      <c r="L612" s="165">
        <v>89</v>
      </c>
      <c r="M612" s="163" t="s">
        <v>268</v>
      </c>
      <c r="N612" s="163" t="s">
        <v>272</v>
      </c>
      <c r="O612" s="166" t="s">
        <v>1412</v>
      </c>
      <c r="P612" s="167">
        <v>3058283.01</v>
      </c>
      <c r="Q612" s="167">
        <v>0</v>
      </c>
      <c r="R612" s="167">
        <v>0</v>
      </c>
      <c r="S612" s="167">
        <f t="shared" si="185"/>
        <v>3058283.01</v>
      </c>
      <c r="T612" s="167">
        <f t="shared" si="189"/>
        <v>2446.8221537723016</v>
      </c>
      <c r="U612" s="167">
        <v>7994.3988479078325</v>
      </c>
      <c r="V612" s="149">
        <f t="shared" si="192"/>
        <v>5547.5766941355305</v>
      </c>
      <c r="W612" s="149">
        <f t="shared" si="186"/>
        <v>7994.3988479078325</v>
      </c>
      <c r="X612" s="149">
        <v>0</v>
      </c>
      <c r="Y612" s="368">
        <v>0</v>
      </c>
      <c r="Z612" s="368">
        <v>0</v>
      </c>
      <c r="AA612" s="368">
        <v>0</v>
      </c>
      <c r="AB612" s="368">
        <v>0</v>
      </c>
      <c r="AC612" s="368">
        <v>0</v>
      </c>
      <c r="AD612" s="368">
        <v>0</v>
      </c>
      <c r="AE612" s="368">
        <v>0</v>
      </c>
      <c r="AF612" s="396">
        <v>0</v>
      </c>
      <c r="AG612" s="368">
        <v>0</v>
      </c>
      <c r="AH612" s="396">
        <v>0</v>
      </c>
      <c r="AI612" s="368">
        <v>1343.2</v>
      </c>
      <c r="AJ612" s="397">
        <f>7439.1*AI612/I612</f>
        <v>7994.3988479078325</v>
      </c>
      <c r="AK612" s="368">
        <v>0</v>
      </c>
      <c r="AL612" s="368">
        <v>0</v>
      </c>
      <c r="AM612" s="368">
        <v>0</v>
      </c>
      <c r="AN612" s="368"/>
      <c r="AO612" s="368">
        <v>0</v>
      </c>
    </row>
    <row r="613" spans="1:41" s="152" customFormat="1" ht="36" customHeight="1" x14ac:dyDescent="0.9">
      <c r="A613" s="152">
        <v>1</v>
      </c>
      <c r="B613" s="90">
        <f>SUBTOTAL(103,$A$554:A613)</f>
        <v>60</v>
      </c>
      <c r="C613" s="89" t="s">
        <v>1711</v>
      </c>
      <c r="D613" s="169">
        <v>1989</v>
      </c>
      <c r="E613" s="163"/>
      <c r="F613" s="168" t="s">
        <v>322</v>
      </c>
      <c r="G613" s="163">
        <v>7</v>
      </c>
      <c r="H613" s="163">
        <v>2</v>
      </c>
      <c r="I613" s="164">
        <v>3469.9</v>
      </c>
      <c r="J613" s="164">
        <v>3057</v>
      </c>
      <c r="K613" s="164">
        <v>3057</v>
      </c>
      <c r="L613" s="165">
        <v>163</v>
      </c>
      <c r="M613" s="163" t="s">
        <v>268</v>
      </c>
      <c r="N613" s="163" t="s">
        <v>272</v>
      </c>
      <c r="O613" s="166" t="s">
        <v>1714</v>
      </c>
      <c r="P613" s="167">
        <v>4115178</v>
      </c>
      <c r="Q613" s="167">
        <v>0</v>
      </c>
      <c r="R613" s="167">
        <v>0</v>
      </c>
      <c r="S613" s="167">
        <f t="shared" si="185"/>
        <v>4115178</v>
      </c>
      <c r="T613" s="167">
        <f t="shared" si="189"/>
        <v>1185.9644370154758</v>
      </c>
      <c r="U613" s="167">
        <v>1331.1346148303985</v>
      </c>
      <c r="V613" s="149">
        <f t="shared" si="192"/>
        <v>145.17017781492268</v>
      </c>
      <c r="W613" s="149">
        <f t="shared" si="186"/>
        <v>1331.1346148303985</v>
      </c>
      <c r="X613" s="149">
        <v>0</v>
      </c>
      <c r="Y613" s="368">
        <v>0</v>
      </c>
      <c r="Z613" s="368">
        <v>0</v>
      </c>
      <c r="AA613" s="368">
        <v>0</v>
      </c>
      <c r="AB613" s="368">
        <v>0</v>
      </c>
      <c r="AC613" s="368">
        <v>2</v>
      </c>
      <c r="AD613" s="396">
        <f>2309452*AC613/I613</f>
        <v>1331.1346148303985</v>
      </c>
      <c r="AE613" s="368">
        <v>0</v>
      </c>
      <c r="AF613" s="396">
        <v>0</v>
      </c>
      <c r="AG613" s="368">
        <v>0</v>
      </c>
      <c r="AH613" s="396">
        <v>0</v>
      </c>
      <c r="AI613" s="368">
        <v>0</v>
      </c>
      <c r="AJ613" s="396">
        <v>0</v>
      </c>
      <c r="AK613" s="368">
        <v>0</v>
      </c>
      <c r="AL613" s="368">
        <v>0</v>
      </c>
      <c r="AM613" s="368">
        <v>0</v>
      </c>
      <c r="AN613" s="368"/>
      <c r="AO613" s="368">
        <v>0</v>
      </c>
    </row>
    <row r="614" spans="1:41" s="152" customFormat="1" ht="36" customHeight="1" x14ac:dyDescent="0.9">
      <c r="A614" s="152">
        <v>1</v>
      </c>
      <c r="B614" s="90">
        <f>SUBTOTAL(103,$A$554:A614)</f>
        <v>61</v>
      </c>
      <c r="C614" s="358" t="s">
        <v>487</v>
      </c>
      <c r="D614" s="355">
        <v>1984</v>
      </c>
      <c r="E614" s="355"/>
      <c r="F614" s="357" t="s">
        <v>270</v>
      </c>
      <c r="G614" s="355">
        <v>12</v>
      </c>
      <c r="H614" s="355">
        <v>1</v>
      </c>
      <c r="I614" s="353">
        <v>6207</v>
      </c>
      <c r="J614" s="353">
        <v>5105</v>
      </c>
      <c r="K614" s="353">
        <v>4811</v>
      </c>
      <c r="L614" s="356">
        <v>242</v>
      </c>
      <c r="M614" s="355" t="s">
        <v>268</v>
      </c>
      <c r="N614" s="355" t="s">
        <v>272</v>
      </c>
      <c r="O614" s="354" t="s">
        <v>1088</v>
      </c>
      <c r="P614" s="353">
        <v>3545096.7899999996</v>
      </c>
      <c r="Q614" s="353">
        <v>0</v>
      </c>
      <c r="R614" s="353">
        <v>0</v>
      </c>
      <c r="S614" s="353">
        <f t="shared" si="185"/>
        <v>3545096.7899999996</v>
      </c>
      <c r="T614" s="167">
        <f t="shared" si="189"/>
        <v>571.14496375060412</v>
      </c>
      <c r="U614" s="167">
        <v>603.08458192363457</v>
      </c>
      <c r="V614" s="149">
        <f t="shared" si="192"/>
        <v>31.939618173030453</v>
      </c>
      <c r="W614" s="149">
        <f t="shared" si="186"/>
        <v>603.08458192363457</v>
      </c>
      <c r="X614" s="149">
        <v>0</v>
      </c>
      <c r="Y614" s="368">
        <v>0</v>
      </c>
      <c r="Z614" s="368">
        <v>0</v>
      </c>
      <c r="AA614" s="368">
        <v>0</v>
      </c>
      <c r="AB614" s="368">
        <v>0</v>
      </c>
      <c r="AC614" s="368">
        <v>0</v>
      </c>
      <c r="AD614" s="368">
        <v>0</v>
      </c>
      <c r="AE614" s="368">
        <v>600</v>
      </c>
      <c r="AF614" s="396">
        <f>6238.91*AE614/I614</f>
        <v>603.08458192363457</v>
      </c>
      <c r="AG614" s="368">
        <v>0</v>
      </c>
      <c r="AH614" s="396">
        <v>0</v>
      </c>
      <c r="AI614" s="368">
        <v>0</v>
      </c>
      <c r="AJ614" s="396">
        <v>0</v>
      </c>
      <c r="AK614" s="368">
        <v>0</v>
      </c>
      <c r="AL614" s="368">
        <v>0</v>
      </c>
      <c r="AM614" s="368">
        <v>0</v>
      </c>
      <c r="AN614" s="368"/>
      <c r="AO614" s="368">
        <v>0</v>
      </c>
    </row>
    <row r="615" spans="1:41" s="152" customFormat="1" ht="36" customHeight="1" x14ac:dyDescent="0.9">
      <c r="A615" s="152">
        <v>1</v>
      </c>
      <c r="B615" s="90">
        <f>SUBTOTAL(103,$A$554:A615)</f>
        <v>62</v>
      </c>
      <c r="C615" s="358" t="s">
        <v>497</v>
      </c>
      <c r="D615" s="355">
        <v>1957</v>
      </c>
      <c r="E615" s="355"/>
      <c r="F615" s="357" t="s">
        <v>270</v>
      </c>
      <c r="G615" s="355">
        <v>2</v>
      </c>
      <c r="H615" s="355">
        <v>1</v>
      </c>
      <c r="I615" s="353">
        <v>718.3</v>
      </c>
      <c r="J615" s="353">
        <v>408.3</v>
      </c>
      <c r="K615" s="353">
        <v>408.3</v>
      </c>
      <c r="L615" s="356">
        <v>22</v>
      </c>
      <c r="M615" s="355" t="s">
        <v>268</v>
      </c>
      <c r="N615" s="355" t="s">
        <v>272</v>
      </c>
      <c r="O615" s="354" t="s">
        <v>1337</v>
      </c>
      <c r="P615" s="353">
        <v>1987488.72</v>
      </c>
      <c r="Q615" s="353">
        <v>0</v>
      </c>
      <c r="R615" s="353">
        <v>0</v>
      </c>
      <c r="S615" s="353">
        <f t="shared" si="185"/>
        <v>1987488.72</v>
      </c>
      <c r="T615" s="167">
        <f t="shared" si="189"/>
        <v>2766.9340387024922</v>
      </c>
      <c r="U615" s="167">
        <v>5611.7927411944875</v>
      </c>
      <c r="V615" s="149">
        <f t="shared" si="192"/>
        <v>2844.8587024919952</v>
      </c>
      <c r="W615" s="149">
        <f t="shared" si="186"/>
        <v>5611.7927411944875</v>
      </c>
      <c r="X615" s="149">
        <v>0</v>
      </c>
      <c r="Y615" s="368">
        <v>0</v>
      </c>
      <c r="Z615" s="368">
        <v>0</v>
      </c>
      <c r="AA615" s="368">
        <v>0</v>
      </c>
      <c r="AB615" s="368">
        <v>0</v>
      </c>
      <c r="AC615" s="368">
        <v>0</v>
      </c>
      <c r="AD615" s="368">
        <v>0</v>
      </c>
      <c r="AE615" s="368">
        <v>0</v>
      </c>
      <c r="AF615" s="396">
        <v>0</v>
      </c>
      <c r="AG615" s="368">
        <v>0</v>
      </c>
      <c r="AH615" s="396">
        <v>0</v>
      </c>
      <c r="AI615" s="368">
        <v>541.86</v>
      </c>
      <c r="AJ615" s="397">
        <f>7439.1*AI615/I615</f>
        <v>5611.7927411944875</v>
      </c>
      <c r="AK615" s="368">
        <v>0</v>
      </c>
      <c r="AL615" s="368">
        <v>0</v>
      </c>
      <c r="AM615" s="368">
        <v>0</v>
      </c>
      <c r="AN615" s="368"/>
      <c r="AO615" s="368">
        <v>0</v>
      </c>
    </row>
    <row r="616" spans="1:41" s="152" customFormat="1" ht="36" customHeight="1" x14ac:dyDescent="0.9">
      <c r="A616" s="152">
        <v>1</v>
      </c>
      <c r="B616" s="90">
        <f>SUBTOTAL(103,$A$554:A616)</f>
        <v>63</v>
      </c>
      <c r="C616" s="358" t="s">
        <v>502</v>
      </c>
      <c r="D616" s="355">
        <v>1995</v>
      </c>
      <c r="E616" s="355"/>
      <c r="F616" s="357" t="s">
        <v>270</v>
      </c>
      <c r="G616" s="355">
        <v>9</v>
      </c>
      <c r="H616" s="355">
        <v>1</v>
      </c>
      <c r="I616" s="353">
        <v>6177</v>
      </c>
      <c r="J616" s="353">
        <v>4705.1000000000004</v>
      </c>
      <c r="K616" s="353">
        <v>4212.5</v>
      </c>
      <c r="L616" s="356">
        <v>299</v>
      </c>
      <c r="M616" s="355" t="s">
        <v>268</v>
      </c>
      <c r="N616" s="355" t="s">
        <v>272</v>
      </c>
      <c r="O616" s="354" t="s">
        <v>1088</v>
      </c>
      <c r="P616" s="353">
        <v>2420775</v>
      </c>
      <c r="Q616" s="353">
        <v>0</v>
      </c>
      <c r="R616" s="353">
        <v>0</v>
      </c>
      <c r="S616" s="353">
        <f t="shared" si="185"/>
        <v>2420775</v>
      </c>
      <c r="T616" s="167">
        <f t="shared" si="189"/>
        <v>391.90140845070425</v>
      </c>
      <c r="U616" s="167">
        <v>1030.2231180184556</v>
      </c>
      <c r="V616" s="149">
        <f t="shared" si="192"/>
        <v>638.32170956775133</v>
      </c>
      <c r="W616" s="149">
        <f t="shared" si="186"/>
        <v>1030.2231180184556</v>
      </c>
      <c r="X616" s="149">
        <v>0</v>
      </c>
      <c r="Y616" s="368">
        <v>0</v>
      </c>
      <c r="Z616" s="368">
        <v>0</v>
      </c>
      <c r="AA616" s="368">
        <v>0</v>
      </c>
      <c r="AB616" s="368">
        <v>0</v>
      </c>
      <c r="AC616" s="368">
        <v>0</v>
      </c>
      <c r="AD616" s="368">
        <v>0</v>
      </c>
      <c r="AE616" s="368">
        <v>1020</v>
      </c>
      <c r="AF616" s="396">
        <f t="shared" ref="AF616:AF619" si="196">6238.91*AE616/I616</f>
        <v>1030.2231180184556</v>
      </c>
      <c r="AG616" s="368">
        <v>0</v>
      </c>
      <c r="AH616" s="396">
        <v>0</v>
      </c>
      <c r="AI616" s="368">
        <v>0</v>
      </c>
      <c r="AJ616" s="396">
        <v>0</v>
      </c>
      <c r="AK616" s="368">
        <v>0</v>
      </c>
      <c r="AL616" s="368">
        <v>0</v>
      </c>
      <c r="AM616" s="368">
        <v>0</v>
      </c>
      <c r="AN616" s="368"/>
      <c r="AO616" s="368">
        <v>0</v>
      </c>
    </row>
    <row r="617" spans="1:41" s="152" customFormat="1" ht="36" customHeight="1" x14ac:dyDescent="0.9">
      <c r="A617" s="152">
        <v>1</v>
      </c>
      <c r="B617" s="90">
        <f>SUBTOTAL(103,$A$554:A617)</f>
        <v>64</v>
      </c>
      <c r="C617" s="358" t="s">
        <v>503</v>
      </c>
      <c r="D617" s="355">
        <v>1988</v>
      </c>
      <c r="E617" s="355"/>
      <c r="F617" s="357" t="s">
        <v>270</v>
      </c>
      <c r="G617" s="355">
        <v>5</v>
      </c>
      <c r="H617" s="355">
        <v>2</v>
      </c>
      <c r="I617" s="353">
        <v>1411</v>
      </c>
      <c r="J617" s="353">
        <v>1242.3</v>
      </c>
      <c r="K617" s="353">
        <v>1081</v>
      </c>
      <c r="L617" s="356">
        <v>70</v>
      </c>
      <c r="M617" s="355" t="s">
        <v>268</v>
      </c>
      <c r="N617" s="355" t="s">
        <v>272</v>
      </c>
      <c r="O617" s="354" t="s">
        <v>1088</v>
      </c>
      <c r="P617" s="353">
        <v>1273825</v>
      </c>
      <c r="Q617" s="353">
        <v>0</v>
      </c>
      <c r="R617" s="353">
        <v>0</v>
      </c>
      <c r="S617" s="353">
        <f t="shared" si="185"/>
        <v>1273825</v>
      </c>
      <c r="T617" s="167">
        <f t="shared" si="189"/>
        <v>902.78171509567687</v>
      </c>
      <c r="U617" s="167">
        <v>1547.5680368532956</v>
      </c>
      <c r="V617" s="149">
        <f t="shared" si="192"/>
        <v>644.78632175761868</v>
      </c>
      <c r="W617" s="149">
        <f t="shared" si="186"/>
        <v>1547.5680368532956</v>
      </c>
      <c r="X617" s="149">
        <v>0</v>
      </c>
      <c r="Y617" s="368">
        <v>0</v>
      </c>
      <c r="Z617" s="368">
        <v>0</v>
      </c>
      <c r="AA617" s="368">
        <v>0</v>
      </c>
      <c r="AB617" s="368">
        <v>0</v>
      </c>
      <c r="AC617" s="368">
        <v>0</v>
      </c>
      <c r="AD617" s="368">
        <v>0</v>
      </c>
      <c r="AE617" s="368">
        <v>350</v>
      </c>
      <c r="AF617" s="396">
        <f t="shared" si="196"/>
        <v>1547.5680368532956</v>
      </c>
      <c r="AG617" s="368">
        <v>0</v>
      </c>
      <c r="AH617" s="396">
        <v>0</v>
      </c>
      <c r="AI617" s="368">
        <v>0</v>
      </c>
      <c r="AJ617" s="396">
        <v>0</v>
      </c>
      <c r="AK617" s="368">
        <v>0</v>
      </c>
      <c r="AL617" s="368">
        <v>0</v>
      </c>
      <c r="AM617" s="368">
        <v>0</v>
      </c>
      <c r="AN617" s="368"/>
      <c r="AO617" s="368">
        <v>0</v>
      </c>
    </row>
    <row r="618" spans="1:41" s="152" customFormat="1" ht="36" customHeight="1" x14ac:dyDescent="0.9">
      <c r="A618" s="152">
        <v>1</v>
      </c>
      <c r="B618" s="90">
        <f>SUBTOTAL(103,$A$554:A618)</f>
        <v>65</v>
      </c>
      <c r="C618" s="89" t="s">
        <v>509</v>
      </c>
      <c r="D618" s="163">
        <v>1985</v>
      </c>
      <c r="E618" s="163"/>
      <c r="F618" s="168" t="s">
        <v>315</v>
      </c>
      <c r="G618" s="163">
        <v>2</v>
      </c>
      <c r="H618" s="163">
        <v>2</v>
      </c>
      <c r="I618" s="167">
        <v>617.79999999999995</v>
      </c>
      <c r="J618" s="167">
        <v>560.5</v>
      </c>
      <c r="K618" s="167">
        <v>560.5</v>
      </c>
      <c r="L618" s="165">
        <v>35</v>
      </c>
      <c r="M618" s="163" t="s">
        <v>268</v>
      </c>
      <c r="N618" s="163" t="s">
        <v>272</v>
      </c>
      <c r="O618" s="166" t="s">
        <v>1398</v>
      </c>
      <c r="P618" s="167">
        <v>2536990.1700000004</v>
      </c>
      <c r="Q618" s="167">
        <v>0</v>
      </c>
      <c r="R618" s="167">
        <v>0</v>
      </c>
      <c r="S618" s="167">
        <f t="shared" ref="S618" si="197">P618-Q618-R618</f>
        <v>2536990.1700000004</v>
      </c>
      <c r="T618" s="167">
        <f t="shared" si="189"/>
        <v>4106.4910488831347</v>
      </c>
      <c r="U618" s="167">
        <v>4938.2113790870835</v>
      </c>
      <c r="V618" s="149">
        <f t="shared" si="192"/>
        <v>831.72033020394883</v>
      </c>
      <c r="W618" s="149">
        <f t="shared" ref="W618:W622" si="198">X618+Y618+Z618+AA618+AB618+AD618+AF618+AH618+AJ618+AL618+AN618+AO618</f>
        <v>4938.2113790870835</v>
      </c>
      <c r="X618" s="149">
        <v>0</v>
      </c>
      <c r="Y618" s="368">
        <v>0</v>
      </c>
      <c r="Z618" s="368">
        <v>0</v>
      </c>
      <c r="AA618" s="368">
        <v>0</v>
      </c>
      <c r="AB618" s="368">
        <v>0</v>
      </c>
      <c r="AC618" s="368">
        <v>0</v>
      </c>
      <c r="AD618" s="368">
        <v>0</v>
      </c>
      <c r="AE618" s="368">
        <v>489</v>
      </c>
      <c r="AF618" s="396">
        <f t="shared" si="196"/>
        <v>4938.2113790870835</v>
      </c>
      <c r="AG618" s="368">
        <v>0</v>
      </c>
      <c r="AH618" s="396">
        <v>0</v>
      </c>
      <c r="AI618" s="368">
        <v>0</v>
      </c>
      <c r="AJ618" s="396">
        <v>0</v>
      </c>
      <c r="AK618" s="368">
        <v>0</v>
      </c>
      <c r="AL618" s="368">
        <v>0</v>
      </c>
      <c r="AM618" s="368">
        <v>0</v>
      </c>
      <c r="AN618" s="368"/>
      <c r="AO618" s="368">
        <v>0</v>
      </c>
    </row>
    <row r="619" spans="1:41" s="152" customFormat="1" ht="36" customHeight="1" x14ac:dyDescent="0.9">
      <c r="A619" s="152">
        <v>1</v>
      </c>
      <c r="B619" s="90">
        <f>SUBTOTAL(103,$A$554:A619)</f>
        <v>66</v>
      </c>
      <c r="C619" s="358" t="s">
        <v>1635</v>
      </c>
      <c r="D619" s="355">
        <v>1962</v>
      </c>
      <c r="E619" s="355"/>
      <c r="F619" s="357" t="s">
        <v>270</v>
      </c>
      <c r="G619" s="355">
        <v>2</v>
      </c>
      <c r="H619" s="355">
        <v>2</v>
      </c>
      <c r="I619" s="353">
        <v>653.29999999999995</v>
      </c>
      <c r="J619" s="353">
        <v>458.8</v>
      </c>
      <c r="K619" s="353">
        <v>416.1</v>
      </c>
      <c r="L619" s="356">
        <v>50</v>
      </c>
      <c r="M619" s="355" t="s">
        <v>268</v>
      </c>
      <c r="N619" s="355" t="s">
        <v>272</v>
      </c>
      <c r="O619" s="354" t="s">
        <v>1401</v>
      </c>
      <c r="P619" s="353">
        <v>2380804.91</v>
      </c>
      <c r="Q619" s="353">
        <v>0</v>
      </c>
      <c r="R619" s="353">
        <v>0</v>
      </c>
      <c r="S619" s="353">
        <f>P619-R619-Q619</f>
        <v>2380804.91</v>
      </c>
      <c r="T619" s="167">
        <f t="shared" si="189"/>
        <v>3644.2750803612435</v>
      </c>
      <c r="U619" s="167">
        <v>5472.0579060156133</v>
      </c>
      <c r="V619" s="149">
        <f t="shared" si="192"/>
        <v>1827.7828256543698</v>
      </c>
      <c r="W619" s="149">
        <f t="shared" si="198"/>
        <v>5472.0579060156133</v>
      </c>
      <c r="X619" s="149">
        <v>0</v>
      </c>
      <c r="Y619" s="368">
        <v>0</v>
      </c>
      <c r="Z619" s="368">
        <v>0</v>
      </c>
      <c r="AA619" s="368">
        <v>0</v>
      </c>
      <c r="AB619" s="368">
        <v>0</v>
      </c>
      <c r="AC619" s="368">
        <v>0</v>
      </c>
      <c r="AD619" s="368">
        <v>0</v>
      </c>
      <c r="AE619" s="368">
        <v>573</v>
      </c>
      <c r="AF619" s="396">
        <f t="shared" si="196"/>
        <v>5472.0579060156133</v>
      </c>
      <c r="AG619" s="368">
        <v>0</v>
      </c>
      <c r="AH619" s="396">
        <v>0</v>
      </c>
      <c r="AI619" s="368">
        <v>0</v>
      </c>
      <c r="AJ619" s="396">
        <v>0</v>
      </c>
      <c r="AK619" s="368">
        <v>0</v>
      </c>
      <c r="AL619" s="368">
        <v>0</v>
      </c>
      <c r="AM619" s="368">
        <v>0</v>
      </c>
      <c r="AN619" s="368"/>
      <c r="AO619" s="368">
        <v>0</v>
      </c>
    </row>
    <row r="620" spans="1:41" s="152" customFormat="1" ht="36" customHeight="1" x14ac:dyDescent="0.9">
      <c r="A620" s="152">
        <v>1</v>
      </c>
      <c r="B620" s="90">
        <f>SUBTOTAL(103,$A$554:A620)</f>
        <v>67</v>
      </c>
      <c r="C620" s="89" t="s">
        <v>1726</v>
      </c>
      <c r="D620" s="169">
        <v>1991</v>
      </c>
      <c r="E620" s="163"/>
      <c r="F620" s="168" t="s">
        <v>315</v>
      </c>
      <c r="G620" s="163">
        <v>9</v>
      </c>
      <c r="H620" s="163">
        <v>4</v>
      </c>
      <c r="I620" s="164">
        <v>8855.2999999999993</v>
      </c>
      <c r="J620" s="164">
        <v>8855.2999999999993</v>
      </c>
      <c r="K620" s="164">
        <v>8855.2999999999993</v>
      </c>
      <c r="L620" s="165">
        <v>382</v>
      </c>
      <c r="M620" s="163" t="s">
        <v>268</v>
      </c>
      <c r="N620" s="163" t="s">
        <v>272</v>
      </c>
      <c r="O620" s="166" t="s">
        <v>352</v>
      </c>
      <c r="P620" s="167">
        <v>8993212</v>
      </c>
      <c r="Q620" s="167">
        <v>0</v>
      </c>
      <c r="R620" s="167">
        <v>0</v>
      </c>
      <c r="S620" s="167">
        <f t="shared" ref="S620:S683" si="199">P620-Q620-R620</f>
        <v>8993212</v>
      </c>
      <c r="T620" s="167">
        <f t="shared" si="189"/>
        <v>1015.5739500638036</v>
      </c>
      <c r="U620" s="167">
        <v>1110.205187853602</v>
      </c>
      <c r="V620" s="149">
        <f t="shared" si="192"/>
        <v>94.63123778979832</v>
      </c>
      <c r="W620" s="149">
        <f t="shared" si="198"/>
        <v>1110.205187853602</v>
      </c>
      <c r="X620" s="149">
        <v>0</v>
      </c>
      <c r="Y620" s="368">
        <v>0</v>
      </c>
      <c r="Z620" s="368">
        <v>0</v>
      </c>
      <c r="AA620" s="368">
        <v>0</v>
      </c>
      <c r="AB620" s="368">
        <v>0</v>
      </c>
      <c r="AC620" s="368">
        <v>4</v>
      </c>
      <c r="AD620" s="396">
        <f>2457800*AC620/I620</f>
        <v>1110.205187853602</v>
      </c>
      <c r="AE620" s="368">
        <v>0</v>
      </c>
      <c r="AF620" s="396">
        <v>0</v>
      </c>
      <c r="AG620" s="368">
        <v>0</v>
      </c>
      <c r="AH620" s="396">
        <v>0</v>
      </c>
      <c r="AI620" s="368">
        <v>0</v>
      </c>
      <c r="AJ620" s="396">
        <v>0</v>
      </c>
      <c r="AK620" s="368">
        <v>0</v>
      </c>
      <c r="AL620" s="368">
        <v>0</v>
      </c>
      <c r="AM620" s="368">
        <v>0</v>
      </c>
      <c r="AN620" s="368"/>
      <c r="AO620" s="368">
        <v>0</v>
      </c>
    </row>
    <row r="621" spans="1:41" s="152" customFormat="1" ht="36" customHeight="1" x14ac:dyDescent="0.9">
      <c r="A621" s="152">
        <v>1</v>
      </c>
      <c r="B621" s="90">
        <f>SUBTOTAL(103,$A$554:A621)</f>
        <v>68</v>
      </c>
      <c r="C621" s="89" t="s">
        <v>1727</v>
      </c>
      <c r="D621" s="169">
        <v>1998</v>
      </c>
      <c r="E621" s="163"/>
      <c r="F621" s="168" t="s">
        <v>270</v>
      </c>
      <c r="G621" s="163">
        <v>10</v>
      </c>
      <c r="H621" s="163">
        <v>2</v>
      </c>
      <c r="I621" s="164">
        <v>5794.4</v>
      </c>
      <c r="J621" s="164">
        <v>5111.5</v>
      </c>
      <c r="K621" s="164">
        <v>4958</v>
      </c>
      <c r="L621" s="165">
        <v>258</v>
      </c>
      <c r="M621" s="163" t="s">
        <v>268</v>
      </c>
      <c r="N621" s="163" t="s">
        <v>272</v>
      </c>
      <c r="O621" s="166" t="s">
        <v>1399</v>
      </c>
      <c r="P621" s="167">
        <v>4622702.9800000004</v>
      </c>
      <c r="Q621" s="167">
        <v>0</v>
      </c>
      <c r="R621" s="167">
        <v>0</v>
      </c>
      <c r="S621" s="167">
        <f t="shared" si="199"/>
        <v>4622702.9800000004</v>
      </c>
      <c r="T621" s="167">
        <f t="shared" si="189"/>
        <v>797.78803327350556</v>
      </c>
      <c r="U621" s="167">
        <v>1025.0314648626261</v>
      </c>
      <c r="V621" s="149">
        <f t="shared" si="192"/>
        <v>227.24343158912052</v>
      </c>
      <c r="W621" s="149">
        <f t="shared" si="198"/>
        <v>1025.0314648626261</v>
      </c>
      <c r="X621" s="149">
        <v>0</v>
      </c>
      <c r="Y621" s="368">
        <v>0</v>
      </c>
      <c r="Z621" s="368">
        <v>0</v>
      </c>
      <c r="AA621" s="368">
        <v>0</v>
      </c>
      <c r="AB621" s="368">
        <v>0</v>
      </c>
      <c r="AC621" s="368">
        <v>0</v>
      </c>
      <c r="AD621" s="368">
        <v>0</v>
      </c>
      <c r="AE621" s="368">
        <v>952</v>
      </c>
      <c r="AF621" s="396">
        <f t="shared" ref="AF621:AF622" si="200">6238.91*AE621/I621</f>
        <v>1025.0314648626261</v>
      </c>
      <c r="AG621" s="368">
        <v>0</v>
      </c>
      <c r="AH621" s="396">
        <v>0</v>
      </c>
      <c r="AI621" s="368">
        <v>0</v>
      </c>
      <c r="AJ621" s="396">
        <v>0</v>
      </c>
      <c r="AK621" s="368">
        <v>0</v>
      </c>
      <c r="AL621" s="368">
        <v>0</v>
      </c>
      <c r="AM621" s="368">
        <v>0</v>
      </c>
      <c r="AN621" s="368"/>
      <c r="AO621" s="368">
        <v>0</v>
      </c>
    </row>
    <row r="622" spans="1:41" s="152" customFormat="1" ht="36" customHeight="1" x14ac:dyDescent="0.9">
      <c r="A622" s="152">
        <v>1</v>
      </c>
      <c r="B622" s="90">
        <f>SUBTOTAL(103,$A$554:A622)</f>
        <v>69</v>
      </c>
      <c r="C622" s="89" t="s">
        <v>1902</v>
      </c>
      <c r="D622" s="169">
        <v>1970</v>
      </c>
      <c r="E622" s="163"/>
      <c r="F622" s="168" t="s">
        <v>270</v>
      </c>
      <c r="G622" s="163">
        <v>5</v>
      </c>
      <c r="H622" s="163">
        <v>2</v>
      </c>
      <c r="I622" s="164">
        <v>2298.8000000000002</v>
      </c>
      <c r="J622" s="164">
        <v>1399.2</v>
      </c>
      <c r="K622" s="164">
        <v>1204.5</v>
      </c>
      <c r="L622" s="165">
        <v>80</v>
      </c>
      <c r="M622" s="163" t="s">
        <v>268</v>
      </c>
      <c r="N622" s="163" t="s">
        <v>272</v>
      </c>
      <c r="O622" s="166" t="s">
        <v>1398</v>
      </c>
      <c r="P622" s="167">
        <v>2182080.86</v>
      </c>
      <c r="Q622" s="167">
        <v>0</v>
      </c>
      <c r="R622" s="167">
        <v>0</v>
      </c>
      <c r="S622" s="167">
        <f t="shared" si="199"/>
        <v>2182080.86</v>
      </c>
      <c r="T622" s="167">
        <f t="shared" si="189"/>
        <v>949.22605707325545</v>
      </c>
      <c r="U622" s="167">
        <v>1622.9633634939967</v>
      </c>
      <c r="V622" s="149">
        <f t="shared" si="192"/>
        <v>673.73730642074122</v>
      </c>
      <c r="W622" s="149">
        <f t="shared" si="198"/>
        <v>1622.9633634939967</v>
      </c>
      <c r="X622" s="149">
        <v>0</v>
      </c>
      <c r="Y622" s="368">
        <v>0</v>
      </c>
      <c r="Z622" s="368">
        <v>0</v>
      </c>
      <c r="AA622" s="368">
        <v>0</v>
      </c>
      <c r="AB622" s="368">
        <v>0</v>
      </c>
      <c r="AC622" s="368">
        <v>0</v>
      </c>
      <c r="AD622" s="368">
        <v>0</v>
      </c>
      <c r="AE622" s="368">
        <v>598</v>
      </c>
      <c r="AF622" s="396">
        <f t="shared" si="200"/>
        <v>1622.9633634939967</v>
      </c>
      <c r="AG622" s="368">
        <v>0</v>
      </c>
      <c r="AH622" s="396">
        <v>0</v>
      </c>
      <c r="AI622" s="368">
        <v>0</v>
      </c>
      <c r="AJ622" s="396">
        <v>0</v>
      </c>
      <c r="AK622" s="368">
        <v>0</v>
      </c>
      <c r="AL622" s="368">
        <v>0</v>
      </c>
      <c r="AM622" s="368">
        <v>0</v>
      </c>
      <c r="AN622" s="368"/>
      <c r="AO622" s="368">
        <v>0</v>
      </c>
    </row>
    <row r="623" spans="1:41" s="152" customFormat="1" ht="36" customHeight="1" x14ac:dyDescent="0.9">
      <c r="A623" s="152">
        <v>1</v>
      </c>
      <c r="B623" s="90">
        <f>SUBTOTAL(103,$A$554:A623)</f>
        <v>70</v>
      </c>
      <c r="C623" s="89" t="s">
        <v>575</v>
      </c>
      <c r="D623" s="169">
        <v>1958</v>
      </c>
      <c r="E623" s="163"/>
      <c r="F623" s="168" t="s">
        <v>270</v>
      </c>
      <c r="G623" s="163">
        <v>2</v>
      </c>
      <c r="H623" s="163">
        <v>2</v>
      </c>
      <c r="I623" s="164">
        <v>593.5</v>
      </c>
      <c r="J623" s="164">
        <v>548.79999999999995</v>
      </c>
      <c r="K623" s="164">
        <v>511.1</v>
      </c>
      <c r="L623" s="165">
        <v>26</v>
      </c>
      <c r="M623" s="163" t="s">
        <v>268</v>
      </c>
      <c r="N623" s="163" t="s">
        <v>272</v>
      </c>
      <c r="O623" s="166" t="s">
        <v>1398</v>
      </c>
      <c r="P623" s="167">
        <v>80000</v>
      </c>
      <c r="Q623" s="167">
        <v>0</v>
      </c>
      <c r="R623" s="167">
        <v>0</v>
      </c>
      <c r="S623" s="167">
        <f t="shared" si="199"/>
        <v>80000</v>
      </c>
      <c r="T623" s="167">
        <f t="shared" si="189"/>
        <v>134.79359730412804</v>
      </c>
      <c r="U623" s="167">
        <v>134.79359730412804</v>
      </c>
      <c r="V623" s="149">
        <f t="shared" si="192"/>
        <v>0</v>
      </c>
      <c r="W623" s="149">
        <f t="shared" ref="W623:W683" si="201">T623</f>
        <v>134.79359730412804</v>
      </c>
      <c r="X623" s="149">
        <v>0</v>
      </c>
      <c r="Y623" s="368">
        <v>0</v>
      </c>
      <c r="Z623" s="368">
        <v>0</v>
      </c>
      <c r="AA623" s="368">
        <v>0</v>
      </c>
      <c r="AB623" s="368">
        <v>0</v>
      </c>
      <c r="AC623" s="368">
        <v>0</v>
      </c>
      <c r="AD623" s="368">
        <v>0</v>
      </c>
      <c r="AE623" s="368">
        <v>0</v>
      </c>
      <c r="AF623" s="396">
        <v>0</v>
      </c>
      <c r="AG623" s="368">
        <v>0</v>
      </c>
      <c r="AH623" s="396">
        <v>0</v>
      </c>
      <c r="AI623" s="368">
        <v>0</v>
      </c>
      <c r="AJ623" s="396">
        <v>0</v>
      </c>
      <c r="AK623" s="368">
        <v>0</v>
      </c>
      <c r="AL623" s="368">
        <v>0</v>
      </c>
      <c r="AM623" s="368">
        <v>0</v>
      </c>
      <c r="AN623" s="368"/>
      <c r="AO623" s="368">
        <v>0</v>
      </c>
    </row>
    <row r="624" spans="1:41" s="152" customFormat="1" ht="36" customHeight="1" x14ac:dyDescent="0.9">
      <c r="A624" s="152">
        <v>1</v>
      </c>
      <c r="B624" s="90">
        <f>SUBTOTAL(103,$A$554:A624)</f>
        <v>71</v>
      </c>
      <c r="C624" s="89" t="s">
        <v>576</v>
      </c>
      <c r="D624" s="169" t="s">
        <v>313</v>
      </c>
      <c r="E624" s="163"/>
      <c r="F624" s="168" t="s">
        <v>270</v>
      </c>
      <c r="G624" s="163" t="s">
        <v>356</v>
      </c>
      <c r="H624" s="163">
        <v>1</v>
      </c>
      <c r="I624" s="164">
        <v>835.6</v>
      </c>
      <c r="J624" s="164">
        <v>606.6</v>
      </c>
      <c r="K624" s="164">
        <v>287.10000000000002</v>
      </c>
      <c r="L624" s="165">
        <v>17</v>
      </c>
      <c r="M624" s="163" t="s">
        <v>268</v>
      </c>
      <c r="N624" s="163" t="s">
        <v>272</v>
      </c>
      <c r="O624" s="166" t="s">
        <v>1672</v>
      </c>
      <c r="P624" s="167">
        <v>70000</v>
      </c>
      <c r="Q624" s="167">
        <v>0</v>
      </c>
      <c r="R624" s="167">
        <v>0</v>
      </c>
      <c r="S624" s="167">
        <f t="shared" si="199"/>
        <v>70000</v>
      </c>
      <c r="T624" s="167">
        <f t="shared" si="189"/>
        <v>83.772139779798948</v>
      </c>
      <c r="U624" s="167">
        <v>83.772139779798948</v>
      </c>
      <c r="V624" s="149">
        <f t="shared" si="192"/>
        <v>0</v>
      </c>
      <c r="W624" s="149">
        <f t="shared" si="201"/>
        <v>83.772139779798948</v>
      </c>
      <c r="X624" s="149">
        <v>0</v>
      </c>
      <c r="Y624" s="368">
        <v>0</v>
      </c>
      <c r="Z624" s="368">
        <v>0</v>
      </c>
      <c r="AA624" s="368">
        <v>0</v>
      </c>
      <c r="AB624" s="368">
        <v>0</v>
      </c>
      <c r="AC624" s="368">
        <v>0</v>
      </c>
      <c r="AD624" s="368">
        <v>0</v>
      </c>
      <c r="AE624" s="368">
        <v>0</v>
      </c>
      <c r="AF624" s="396">
        <v>0</v>
      </c>
      <c r="AG624" s="368">
        <v>0</v>
      </c>
      <c r="AH624" s="396">
        <v>0</v>
      </c>
      <c r="AI624" s="368">
        <v>0</v>
      </c>
      <c r="AJ624" s="396">
        <v>0</v>
      </c>
      <c r="AK624" s="368">
        <v>0</v>
      </c>
      <c r="AL624" s="368">
        <v>0</v>
      </c>
      <c r="AM624" s="368">
        <v>0</v>
      </c>
      <c r="AN624" s="368"/>
      <c r="AO624" s="368">
        <v>0</v>
      </c>
    </row>
    <row r="625" spans="1:41" s="152" customFormat="1" ht="36" customHeight="1" x14ac:dyDescent="0.9">
      <c r="A625" s="152">
        <v>1</v>
      </c>
      <c r="B625" s="90">
        <f>SUBTOTAL(103,$A$554:A625)</f>
        <v>72</v>
      </c>
      <c r="C625" s="89" t="s">
        <v>1082</v>
      </c>
      <c r="D625" s="163">
        <v>1962</v>
      </c>
      <c r="E625" s="163"/>
      <c r="F625" s="168" t="s">
        <v>270</v>
      </c>
      <c r="G625" s="163">
        <v>3</v>
      </c>
      <c r="H625" s="163">
        <v>2</v>
      </c>
      <c r="I625" s="164">
        <v>970.2</v>
      </c>
      <c r="J625" s="164">
        <v>615</v>
      </c>
      <c r="K625" s="164">
        <v>615</v>
      </c>
      <c r="L625" s="165">
        <v>60</v>
      </c>
      <c r="M625" s="163" t="s">
        <v>268</v>
      </c>
      <c r="N625" s="163" t="s">
        <v>272</v>
      </c>
      <c r="O625" s="166" t="s">
        <v>1670</v>
      </c>
      <c r="P625" s="167">
        <v>80000</v>
      </c>
      <c r="Q625" s="167">
        <v>0</v>
      </c>
      <c r="R625" s="167">
        <v>0</v>
      </c>
      <c r="S625" s="167">
        <f t="shared" si="199"/>
        <v>80000</v>
      </c>
      <c r="T625" s="167">
        <f t="shared" si="189"/>
        <v>82.457225314368173</v>
      </c>
      <c r="U625" s="167">
        <v>82.457225314368173</v>
      </c>
      <c r="V625" s="149">
        <f t="shared" si="192"/>
        <v>0</v>
      </c>
      <c r="W625" s="149">
        <f t="shared" si="201"/>
        <v>82.457225314368173</v>
      </c>
      <c r="X625" s="149">
        <v>0</v>
      </c>
      <c r="Y625" s="368">
        <v>0</v>
      </c>
      <c r="Z625" s="368">
        <v>0</v>
      </c>
      <c r="AA625" s="368">
        <v>0</v>
      </c>
      <c r="AB625" s="368">
        <v>0</v>
      </c>
      <c r="AC625" s="368">
        <v>0</v>
      </c>
      <c r="AD625" s="368">
        <v>0</v>
      </c>
      <c r="AE625" s="368">
        <v>0</v>
      </c>
      <c r="AF625" s="396">
        <v>0</v>
      </c>
      <c r="AG625" s="368">
        <v>0</v>
      </c>
      <c r="AH625" s="396">
        <v>0</v>
      </c>
      <c r="AI625" s="368">
        <v>0</v>
      </c>
      <c r="AJ625" s="396">
        <v>0</v>
      </c>
      <c r="AK625" s="368">
        <v>0</v>
      </c>
      <c r="AL625" s="368">
        <v>0</v>
      </c>
      <c r="AM625" s="368">
        <v>0</v>
      </c>
      <c r="AN625" s="368"/>
      <c r="AO625" s="368">
        <v>0</v>
      </c>
    </row>
    <row r="626" spans="1:41" s="152" customFormat="1" ht="36" customHeight="1" x14ac:dyDescent="0.9">
      <c r="A626" s="152">
        <v>1</v>
      </c>
      <c r="B626" s="90">
        <f>SUBTOTAL(103,$A$554:A626)</f>
        <v>73</v>
      </c>
      <c r="C626" s="89" t="s">
        <v>577</v>
      </c>
      <c r="D626" s="163" t="s">
        <v>318</v>
      </c>
      <c r="E626" s="163"/>
      <c r="F626" s="168" t="s">
        <v>315</v>
      </c>
      <c r="G626" s="163" t="s">
        <v>356</v>
      </c>
      <c r="H626" s="163">
        <v>3</v>
      </c>
      <c r="I626" s="164">
        <v>2819.1</v>
      </c>
      <c r="J626" s="164">
        <v>2571.8000000000002</v>
      </c>
      <c r="K626" s="164">
        <v>1698</v>
      </c>
      <c r="L626" s="165">
        <v>109</v>
      </c>
      <c r="M626" s="163" t="s">
        <v>268</v>
      </c>
      <c r="N626" s="163" t="s">
        <v>272</v>
      </c>
      <c r="O626" s="166" t="s">
        <v>1088</v>
      </c>
      <c r="P626" s="167">
        <v>100000</v>
      </c>
      <c r="Q626" s="167">
        <v>0</v>
      </c>
      <c r="R626" s="167">
        <v>0</v>
      </c>
      <c r="S626" s="167">
        <f t="shared" si="199"/>
        <v>100000</v>
      </c>
      <c r="T626" s="167">
        <f t="shared" si="189"/>
        <v>35.472313859033029</v>
      </c>
      <c r="U626" s="167">
        <v>35.472313859033029</v>
      </c>
      <c r="V626" s="149">
        <f t="shared" si="192"/>
        <v>0</v>
      </c>
      <c r="W626" s="149">
        <f t="shared" si="201"/>
        <v>35.472313859033029</v>
      </c>
      <c r="X626" s="149">
        <v>0</v>
      </c>
      <c r="Y626" s="368">
        <v>0</v>
      </c>
      <c r="Z626" s="368">
        <v>0</v>
      </c>
      <c r="AA626" s="368">
        <v>0</v>
      </c>
      <c r="AB626" s="368">
        <v>0</v>
      </c>
      <c r="AC626" s="368">
        <v>0</v>
      </c>
      <c r="AD626" s="368">
        <v>0</v>
      </c>
      <c r="AE626" s="368">
        <v>0</v>
      </c>
      <c r="AF626" s="396">
        <v>0</v>
      </c>
      <c r="AG626" s="368">
        <v>0</v>
      </c>
      <c r="AH626" s="396">
        <v>0</v>
      </c>
      <c r="AI626" s="368">
        <v>0</v>
      </c>
      <c r="AJ626" s="396">
        <v>0</v>
      </c>
      <c r="AK626" s="368">
        <v>0</v>
      </c>
      <c r="AL626" s="368">
        <v>0</v>
      </c>
      <c r="AM626" s="368">
        <v>0</v>
      </c>
      <c r="AN626" s="368"/>
      <c r="AO626" s="368">
        <v>0</v>
      </c>
    </row>
    <row r="627" spans="1:41" s="152" customFormat="1" ht="36" customHeight="1" x14ac:dyDescent="0.9">
      <c r="A627" s="152">
        <v>1</v>
      </c>
      <c r="B627" s="90">
        <f>SUBTOTAL(103,$A$554:A627)</f>
        <v>74</v>
      </c>
      <c r="C627" s="89" t="s">
        <v>578</v>
      </c>
      <c r="D627" s="163" t="s">
        <v>318</v>
      </c>
      <c r="E627" s="163"/>
      <c r="F627" s="168" t="s">
        <v>315</v>
      </c>
      <c r="G627" s="163" t="s">
        <v>356</v>
      </c>
      <c r="H627" s="163">
        <v>5</v>
      </c>
      <c r="I627" s="164">
        <v>5771.6</v>
      </c>
      <c r="J627" s="164">
        <v>4780.3999999999996</v>
      </c>
      <c r="K627" s="164">
        <v>4455.8999999999996</v>
      </c>
      <c r="L627" s="165">
        <v>241</v>
      </c>
      <c r="M627" s="163" t="s">
        <v>268</v>
      </c>
      <c r="N627" s="163" t="s">
        <v>272</v>
      </c>
      <c r="O627" s="166" t="s">
        <v>1088</v>
      </c>
      <c r="P627" s="167">
        <v>100000</v>
      </c>
      <c r="Q627" s="167">
        <v>0</v>
      </c>
      <c r="R627" s="167">
        <v>0</v>
      </c>
      <c r="S627" s="167">
        <f t="shared" si="199"/>
        <v>100000</v>
      </c>
      <c r="T627" s="167">
        <f t="shared" si="189"/>
        <v>17.326218033127727</v>
      </c>
      <c r="U627" s="167">
        <v>17.326218033127727</v>
      </c>
      <c r="V627" s="149">
        <f t="shared" si="192"/>
        <v>0</v>
      </c>
      <c r="W627" s="149">
        <f t="shared" si="201"/>
        <v>17.326218033127727</v>
      </c>
      <c r="X627" s="149">
        <v>0</v>
      </c>
      <c r="Y627" s="368">
        <v>0</v>
      </c>
      <c r="Z627" s="368">
        <v>0</v>
      </c>
      <c r="AA627" s="368">
        <v>0</v>
      </c>
      <c r="AB627" s="368">
        <v>0</v>
      </c>
      <c r="AC627" s="368">
        <v>0</v>
      </c>
      <c r="AD627" s="368">
        <v>0</v>
      </c>
      <c r="AE627" s="368">
        <v>0</v>
      </c>
      <c r="AF627" s="396">
        <v>0</v>
      </c>
      <c r="AG627" s="368">
        <v>0</v>
      </c>
      <c r="AH627" s="396">
        <v>0</v>
      </c>
      <c r="AI627" s="368">
        <v>0</v>
      </c>
      <c r="AJ627" s="396">
        <v>0</v>
      </c>
      <c r="AK627" s="368">
        <v>0</v>
      </c>
      <c r="AL627" s="368">
        <v>0</v>
      </c>
      <c r="AM627" s="368">
        <v>0</v>
      </c>
      <c r="AN627" s="368"/>
      <c r="AO627" s="368">
        <v>0</v>
      </c>
    </row>
    <row r="628" spans="1:41" s="152" customFormat="1" ht="36" customHeight="1" x14ac:dyDescent="0.9">
      <c r="A628" s="152">
        <v>1</v>
      </c>
      <c r="B628" s="90">
        <f>SUBTOTAL(103,$A$554:A628)</f>
        <v>75</v>
      </c>
      <c r="C628" s="89" t="s">
        <v>579</v>
      </c>
      <c r="D628" s="163" t="s">
        <v>357</v>
      </c>
      <c r="E628" s="163"/>
      <c r="F628" s="168" t="s">
        <v>270</v>
      </c>
      <c r="G628" s="163" t="s">
        <v>362</v>
      </c>
      <c r="H628" s="163">
        <v>1</v>
      </c>
      <c r="I628" s="164">
        <v>2826.2</v>
      </c>
      <c r="J628" s="164">
        <v>2772.3</v>
      </c>
      <c r="K628" s="164">
        <v>1324.2</v>
      </c>
      <c r="L628" s="165">
        <v>97</v>
      </c>
      <c r="M628" s="163" t="s">
        <v>268</v>
      </c>
      <c r="N628" s="163" t="s">
        <v>272</v>
      </c>
      <c r="O628" s="166" t="s">
        <v>1088</v>
      </c>
      <c r="P628" s="167">
        <v>100000</v>
      </c>
      <c r="Q628" s="167">
        <v>0</v>
      </c>
      <c r="R628" s="167">
        <v>0</v>
      </c>
      <c r="S628" s="167">
        <f t="shared" si="199"/>
        <v>100000</v>
      </c>
      <c r="T628" s="167">
        <f t="shared" si="189"/>
        <v>35.38320005661312</v>
      </c>
      <c r="U628" s="167">
        <v>35.38320005661312</v>
      </c>
      <c r="V628" s="149">
        <f t="shared" si="192"/>
        <v>0</v>
      </c>
      <c r="W628" s="149">
        <f t="shared" si="201"/>
        <v>35.38320005661312</v>
      </c>
      <c r="X628" s="149">
        <v>0</v>
      </c>
      <c r="Y628" s="368">
        <v>0</v>
      </c>
      <c r="Z628" s="368">
        <v>0</v>
      </c>
      <c r="AA628" s="368">
        <v>0</v>
      </c>
      <c r="AB628" s="368">
        <v>0</v>
      </c>
      <c r="AC628" s="368">
        <v>0</v>
      </c>
      <c r="AD628" s="368">
        <v>0</v>
      </c>
      <c r="AE628" s="368">
        <v>0</v>
      </c>
      <c r="AF628" s="396">
        <v>0</v>
      </c>
      <c r="AG628" s="368">
        <v>0</v>
      </c>
      <c r="AH628" s="396">
        <v>0</v>
      </c>
      <c r="AI628" s="368">
        <v>0</v>
      </c>
      <c r="AJ628" s="396">
        <v>0</v>
      </c>
      <c r="AK628" s="368">
        <v>0</v>
      </c>
      <c r="AL628" s="368">
        <v>0</v>
      </c>
      <c r="AM628" s="368">
        <v>0</v>
      </c>
      <c r="AN628" s="368"/>
      <c r="AO628" s="368">
        <v>0</v>
      </c>
    </row>
    <row r="629" spans="1:41" s="152" customFormat="1" ht="36" customHeight="1" x14ac:dyDescent="0.9">
      <c r="A629" s="152">
        <v>1</v>
      </c>
      <c r="B629" s="90">
        <f>SUBTOTAL(103,$A$554:A629)</f>
        <v>76</v>
      </c>
      <c r="C629" s="89" t="s">
        <v>580</v>
      </c>
      <c r="D629" s="163" t="s">
        <v>321</v>
      </c>
      <c r="E629" s="163"/>
      <c r="F629" s="168" t="s">
        <v>315</v>
      </c>
      <c r="G629" s="163" t="s">
        <v>356</v>
      </c>
      <c r="H629" s="163">
        <v>3</v>
      </c>
      <c r="I629" s="164">
        <v>2495.6</v>
      </c>
      <c r="J629" s="164">
        <v>2297</v>
      </c>
      <c r="K629" s="164">
        <v>2070.8000000000002</v>
      </c>
      <c r="L629" s="165">
        <v>94</v>
      </c>
      <c r="M629" s="163" t="s">
        <v>268</v>
      </c>
      <c r="N629" s="163" t="s">
        <v>272</v>
      </c>
      <c r="O629" s="166" t="s">
        <v>1673</v>
      </c>
      <c r="P629" s="167">
        <v>100000</v>
      </c>
      <c r="Q629" s="167">
        <v>0</v>
      </c>
      <c r="R629" s="167">
        <v>0</v>
      </c>
      <c r="S629" s="167">
        <f t="shared" si="199"/>
        <v>100000</v>
      </c>
      <c r="T629" s="167">
        <f t="shared" si="189"/>
        <v>40.070524122455524</v>
      </c>
      <c r="U629" s="167">
        <v>40.070524122455524</v>
      </c>
      <c r="V629" s="149">
        <f t="shared" si="192"/>
        <v>0</v>
      </c>
      <c r="W629" s="149">
        <f t="shared" si="201"/>
        <v>40.070524122455524</v>
      </c>
      <c r="X629" s="149">
        <v>0</v>
      </c>
      <c r="Y629" s="368">
        <v>0</v>
      </c>
      <c r="Z629" s="368">
        <v>0</v>
      </c>
      <c r="AA629" s="368">
        <v>0</v>
      </c>
      <c r="AB629" s="368">
        <v>0</v>
      </c>
      <c r="AC629" s="368">
        <v>0</v>
      </c>
      <c r="AD629" s="368">
        <v>0</v>
      </c>
      <c r="AE629" s="368">
        <v>0</v>
      </c>
      <c r="AF629" s="396">
        <v>0</v>
      </c>
      <c r="AG629" s="368">
        <v>0</v>
      </c>
      <c r="AH629" s="396">
        <v>0</v>
      </c>
      <c r="AI629" s="368">
        <v>0</v>
      </c>
      <c r="AJ629" s="396">
        <v>0</v>
      </c>
      <c r="AK629" s="368">
        <v>0</v>
      </c>
      <c r="AL629" s="368">
        <v>0</v>
      </c>
      <c r="AM629" s="368">
        <v>0</v>
      </c>
      <c r="AN629" s="368"/>
      <c r="AO629" s="368">
        <v>0</v>
      </c>
    </row>
    <row r="630" spans="1:41" s="152" customFormat="1" ht="36" customHeight="1" x14ac:dyDescent="0.9">
      <c r="A630" s="152">
        <v>1</v>
      </c>
      <c r="B630" s="90">
        <f>SUBTOTAL(103,$A$554:A630)</f>
        <v>77</v>
      </c>
      <c r="C630" s="89" t="s">
        <v>1652</v>
      </c>
      <c r="D630" s="163">
        <v>1986</v>
      </c>
      <c r="E630" s="163"/>
      <c r="F630" s="168" t="s">
        <v>315</v>
      </c>
      <c r="G630" s="163">
        <v>9</v>
      </c>
      <c r="H630" s="163">
        <v>2</v>
      </c>
      <c r="I630" s="164">
        <v>4291.79</v>
      </c>
      <c r="J630" s="164">
        <v>3870.3</v>
      </c>
      <c r="K630" s="164">
        <v>3608.2</v>
      </c>
      <c r="L630" s="165">
        <v>180</v>
      </c>
      <c r="M630" s="163" t="s">
        <v>268</v>
      </c>
      <c r="N630" s="163" t="s">
        <v>272</v>
      </c>
      <c r="O630" s="166" t="s">
        <v>1399</v>
      </c>
      <c r="P630" s="167">
        <v>100001.92</v>
      </c>
      <c r="Q630" s="167">
        <v>0</v>
      </c>
      <c r="R630" s="167">
        <v>0</v>
      </c>
      <c r="S630" s="167">
        <f t="shared" si="199"/>
        <v>100001.92</v>
      </c>
      <c r="T630" s="167">
        <f t="shared" si="189"/>
        <v>23.300748638679899</v>
      </c>
      <c r="U630" s="167">
        <v>23.300748638679899</v>
      </c>
      <c r="V630" s="149">
        <f t="shared" si="192"/>
        <v>0</v>
      </c>
      <c r="W630" s="149">
        <f t="shared" si="201"/>
        <v>23.300748638679899</v>
      </c>
      <c r="X630" s="149">
        <v>0</v>
      </c>
      <c r="Y630" s="368">
        <v>0</v>
      </c>
      <c r="Z630" s="368">
        <v>0</v>
      </c>
      <c r="AA630" s="368">
        <v>0</v>
      </c>
      <c r="AB630" s="368">
        <v>0</v>
      </c>
      <c r="AC630" s="368">
        <v>0</v>
      </c>
      <c r="AD630" s="368">
        <v>0</v>
      </c>
      <c r="AE630" s="368">
        <v>0</v>
      </c>
      <c r="AF630" s="396">
        <v>0</v>
      </c>
      <c r="AG630" s="368">
        <v>0</v>
      </c>
      <c r="AH630" s="396">
        <v>0</v>
      </c>
      <c r="AI630" s="368">
        <v>0</v>
      </c>
      <c r="AJ630" s="396">
        <v>0</v>
      </c>
      <c r="AK630" s="368">
        <v>0</v>
      </c>
      <c r="AL630" s="368">
        <v>0</v>
      </c>
      <c r="AM630" s="368">
        <v>0</v>
      </c>
      <c r="AN630" s="368"/>
      <c r="AO630" s="368">
        <v>0</v>
      </c>
    </row>
    <row r="631" spans="1:41" s="152" customFormat="1" ht="36" customHeight="1" x14ac:dyDescent="0.9">
      <c r="A631" s="152">
        <v>1</v>
      </c>
      <c r="B631" s="90">
        <f>SUBTOTAL(103,$A$554:A631)</f>
        <v>78</v>
      </c>
      <c r="C631" s="89" t="s">
        <v>581</v>
      </c>
      <c r="D631" s="163" t="s">
        <v>374</v>
      </c>
      <c r="E631" s="163"/>
      <c r="F631" s="168" t="s">
        <v>270</v>
      </c>
      <c r="G631" s="163" t="s">
        <v>362</v>
      </c>
      <c r="H631" s="163">
        <v>1</v>
      </c>
      <c r="I631" s="164">
        <v>6352.8</v>
      </c>
      <c r="J631" s="164">
        <v>4687.3999999999996</v>
      </c>
      <c r="K631" s="164">
        <v>2543.4</v>
      </c>
      <c r="L631" s="165">
        <v>211</v>
      </c>
      <c r="M631" s="163" t="s">
        <v>268</v>
      </c>
      <c r="N631" s="163" t="s">
        <v>272</v>
      </c>
      <c r="O631" s="166" t="s">
        <v>1104</v>
      </c>
      <c r="P631" s="167">
        <v>100000</v>
      </c>
      <c r="Q631" s="167">
        <v>0</v>
      </c>
      <c r="R631" s="167">
        <v>0</v>
      </c>
      <c r="S631" s="167">
        <f t="shared" si="199"/>
        <v>100000</v>
      </c>
      <c r="T631" s="167">
        <f t="shared" si="189"/>
        <v>15.741090542752801</v>
      </c>
      <c r="U631" s="167">
        <v>15.741090542752801</v>
      </c>
      <c r="V631" s="149">
        <f t="shared" si="192"/>
        <v>0</v>
      </c>
      <c r="W631" s="149">
        <f t="shared" si="201"/>
        <v>15.741090542752801</v>
      </c>
      <c r="X631" s="149">
        <v>0</v>
      </c>
      <c r="Y631" s="368">
        <v>0</v>
      </c>
      <c r="Z631" s="368">
        <v>0</v>
      </c>
      <c r="AA631" s="368">
        <v>0</v>
      </c>
      <c r="AB631" s="368">
        <v>0</v>
      </c>
      <c r="AC631" s="368">
        <v>0</v>
      </c>
      <c r="AD631" s="368">
        <v>0</v>
      </c>
      <c r="AE631" s="368">
        <v>0</v>
      </c>
      <c r="AF631" s="396">
        <v>0</v>
      </c>
      <c r="AG631" s="368">
        <v>0</v>
      </c>
      <c r="AH631" s="396">
        <v>0</v>
      </c>
      <c r="AI631" s="368">
        <v>0</v>
      </c>
      <c r="AJ631" s="396">
        <v>0</v>
      </c>
      <c r="AK631" s="368">
        <v>0</v>
      </c>
      <c r="AL631" s="368">
        <v>0</v>
      </c>
      <c r="AM631" s="368">
        <v>0</v>
      </c>
      <c r="AN631" s="368"/>
      <c r="AO631" s="368">
        <v>0</v>
      </c>
    </row>
    <row r="632" spans="1:41" s="152" customFormat="1" ht="36" customHeight="1" x14ac:dyDescent="0.9">
      <c r="A632" s="152">
        <v>1</v>
      </c>
      <c r="B632" s="90">
        <f>SUBTOTAL(103,$A$554:A632)</f>
        <v>79</v>
      </c>
      <c r="C632" s="89" t="s">
        <v>1653</v>
      </c>
      <c r="D632" s="163">
        <v>1986</v>
      </c>
      <c r="E632" s="163"/>
      <c r="F632" s="168" t="s">
        <v>270</v>
      </c>
      <c r="G632" s="163">
        <v>5</v>
      </c>
      <c r="H632" s="163">
        <v>6</v>
      </c>
      <c r="I632" s="164">
        <v>4921.8</v>
      </c>
      <c r="J632" s="164">
        <v>3740</v>
      </c>
      <c r="K632" s="164">
        <v>3478.1</v>
      </c>
      <c r="L632" s="165">
        <v>200</v>
      </c>
      <c r="M632" s="163" t="s">
        <v>268</v>
      </c>
      <c r="N632" s="163" t="s">
        <v>272</v>
      </c>
      <c r="O632" s="166" t="s">
        <v>1104</v>
      </c>
      <c r="P632" s="167">
        <v>100000</v>
      </c>
      <c r="Q632" s="167">
        <v>0</v>
      </c>
      <c r="R632" s="167">
        <v>0</v>
      </c>
      <c r="S632" s="167">
        <f t="shared" si="199"/>
        <v>100000</v>
      </c>
      <c r="T632" s="167">
        <f t="shared" si="189"/>
        <v>20.317769921573408</v>
      </c>
      <c r="U632" s="167">
        <v>20.317769921573408</v>
      </c>
      <c r="V632" s="149">
        <f t="shared" si="192"/>
        <v>0</v>
      </c>
      <c r="W632" s="149">
        <f t="shared" si="201"/>
        <v>20.317769921573408</v>
      </c>
      <c r="X632" s="149">
        <v>0</v>
      </c>
      <c r="Y632" s="368">
        <v>0</v>
      </c>
      <c r="Z632" s="368">
        <v>0</v>
      </c>
      <c r="AA632" s="368">
        <v>0</v>
      </c>
      <c r="AB632" s="368">
        <v>0</v>
      </c>
      <c r="AC632" s="368">
        <v>0</v>
      </c>
      <c r="AD632" s="368">
        <v>0</v>
      </c>
      <c r="AE632" s="368">
        <v>0</v>
      </c>
      <c r="AF632" s="396">
        <v>0</v>
      </c>
      <c r="AG632" s="368">
        <v>0</v>
      </c>
      <c r="AH632" s="396">
        <v>0</v>
      </c>
      <c r="AI632" s="368">
        <v>0</v>
      </c>
      <c r="AJ632" s="396">
        <v>0</v>
      </c>
      <c r="AK632" s="368">
        <v>0</v>
      </c>
      <c r="AL632" s="368">
        <v>0</v>
      </c>
      <c r="AM632" s="368">
        <v>0</v>
      </c>
      <c r="AN632" s="368"/>
      <c r="AO632" s="368">
        <v>0</v>
      </c>
    </row>
    <row r="633" spans="1:41" s="152" customFormat="1" ht="36" customHeight="1" x14ac:dyDescent="0.9">
      <c r="A633" s="152">
        <v>1</v>
      </c>
      <c r="B633" s="90">
        <f>SUBTOTAL(103,$A$554:A633)</f>
        <v>80</v>
      </c>
      <c r="C633" s="89" t="s">
        <v>582</v>
      </c>
      <c r="D633" s="163" t="s">
        <v>375</v>
      </c>
      <c r="E633" s="163"/>
      <c r="F633" s="168" t="s">
        <v>315</v>
      </c>
      <c r="G633" s="163" t="s">
        <v>356</v>
      </c>
      <c r="H633" s="163">
        <v>4</v>
      </c>
      <c r="I633" s="164">
        <v>4042.4</v>
      </c>
      <c r="J633" s="164">
        <v>3045.4</v>
      </c>
      <c r="K633" s="164">
        <v>2978.7</v>
      </c>
      <c r="L633" s="165">
        <v>118</v>
      </c>
      <c r="M633" s="163" t="s">
        <v>268</v>
      </c>
      <c r="N633" s="163" t="s">
        <v>272</v>
      </c>
      <c r="O633" s="166" t="s">
        <v>1337</v>
      </c>
      <c r="P633" s="167">
        <v>100000</v>
      </c>
      <c r="Q633" s="167">
        <v>0</v>
      </c>
      <c r="R633" s="167">
        <v>0</v>
      </c>
      <c r="S633" s="167">
        <f t="shared" si="199"/>
        <v>100000</v>
      </c>
      <c r="T633" s="167">
        <f t="shared" si="189"/>
        <v>24.737779536908768</v>
      </c>
      <c r="U633" s="167">
        <v>24.737779536908768</v>
      </c>
      <c r="V633" s="149">
        <f t="shared" si="192"/>
        <v>0</v>
      </c>
      <c r="W633" s="149">
        <f t="shared" si="201"/>
        <v>24.737779536908768</v>
      </c>
      <c r="X633" s="149">
        <v>0</v>
      </c>
      <c r="Y633" s="368">
        <v>0</v>
      </c>
      <c r="Z633" s="368">
        <v>0</v>
      </c>
      <c r="AA633" s="368">
        <v>0</v>
      </c>
      <c r="AB633" s="368">
        <v>0</v>
      </c>
      <c r="AC633" s="368">
        <v>0</v>
      </c>
      <c r="AD633" s="368">
        <v>0</v>
      </c>
      <c r="AE633" s="368">
        <v>0</v>
      </c>
      <c r="AF633" s="396">
        <v>0</v>
      </c>
      <c r="AG633" s="368">
        <v>0</v>
      </c>
      <c r="AH633" s="396">
        <v>0</v>
      </c>
      <c r="AI633" s="368">
        <v>0</v>
      </c>
      <c r="AJ633" s="396">
        <v>0</v>
      </c>
      <c r="AK633" s="368">
        <v>0</v>
      </c>
      <c r="AL633" s="368">
        <v>0</v>
      </c>
      <c r="AM633" s="368">
        <v>0</v>
      </c>
      <c r="AN633" s="368"/>
      <c r="AO633" s="368">
        <v>0</v>
      </c>
    </row>
    <row r="634" spans="1:41" s="152" customFormat="1" ht="36" customHeight="1" x14ac:dyDescent="0.9">
      <c r="A634" s="152">
        <v>1</v>
      </c>
      <c r="B634" s="90">
        <f>SUBTOTAL(103,$A$554:A634)</f>
        <v>81</v>
      </c>
      <c r="C634" s="89" t="s">
        <v>583</v>
      </c>
      <c r="D634" s="163">
        <v>1971</v>
      </c>
      <c r="E634" s="163"/>
      <c r="F634" s="168" t="s">
        <v>270</v>
      </c>
      <c r="G634" s="163">
        <v>5</v>
      </c>
      <c r="H634" s="163">
        <v>5</v>
      </c>
      <c r="I634" s="164">
        <v>4541.8</v>
      </c>
      <c r="J634" s="164">
        <v>4541.8</v>
      </c>
      <c r="K634" s="164">
        <v>4403.2</v>
      </c>
      <c r="L634" s="165">
        <v>250</v>
      </c>
      <c r="M634" s="163" t="s">
        <v>268</v>
      </c>
      <c r="N634" s="163" t="s">
        <v>272</v>
      </c>
      <c r="O634" s="166" t="s">
        <v>1400</v>
      </c>
      <c r="P634" s="167">
        <v>100000</v>
      </c>
      <c r="Q634" s="167">
        <v>0</v>
      </c>
      <c r="R634" s="167">
        <v>0</v>
      </c>
      <c r="S634" s="167">
        <f t="shared" si="199"/>
        <v>100000</v>
      </c>
      <c r="T634" s="167">
        <f t="shared" si="189"/>
        <v>22.017702232595006</v>
      </c>
      <c r="U634" s="167">
        <v>22.017702232595006</v>
      </c>
      <c r="V634" s="149">
        <f t="shared" si="192"/>
        <v>0</v>
      </c>
      <c r="W634" s="149">
        <f t="shared" si="201"/>
        <v>22.017702232595006</v>
      </c>
      <c r="X634" s="149">
        <v>0</v>
      </c>
      <c r="Y634" s="368">
        <v>0</v>
      </c>
      <c r="Z634" s="368">
        <v>0</v>
      </c>
      <c r="AA634" s="368">
        <v>0</v>
      </c>
      <c r="AB634" s="368">
        <v>0</v>
      </c>
      <c r="AC634" s="368">
        <v>0</v>
      </c>
      <c r="AD634" s="368">
        <v>0</v>
      </c>
      <c r="AE634" s="368">
        <v>0</v>
      </c>
      <c r="AF634" s="396">
        <v>0</v>
      </c>
      <c r="AG634" s="368">
        <v>0</v>
      </c>
      <c r="AH634" s="396">
        <v>0</v>
      </c>
      <c r="AI634" s="368">
        <v>0</v>
      </c>
      <c r="AJ634" s="396">
        <v>0</v>
      </c>
      <c r="AK634" s="368">
        <v>0</v>
      </c>
      <c r="AL634" s="368">
        <v>0</v>
      </c>
      <c r="AM634" s="368">
        <v>0</v>
      </c>
      <c r="AN634" s="368"/>
      <c r="AO634" s="368">
        <v>0</v>
      </c>
    </row>
    <row r="635" spans="1:41" s="152" customFormat="1" ht="36" customHeight="1" x14ac:dyDescent="0.9">
      <c r="A635" s="152">
        <v>1</v>
      </c>
      <c r="B635" s="90">
        <f>SUBTOTAL(103,$A$554:A635)</f>
        <v>82</v>
      </c>
      <c r="C635" s="89" t="s">
        <v>584</v>
      </c>
      <c r="D635" s="163" t="s">
        <v>313</v>
      </c>
      <c r="E635" s="163"/>
      <c r="F635" s="168" t="s">
        <v>315</v>
      </c>
      <c r="G635" s="163" t="s">
        <v>356</v>
      </c>
      <c r="H635" s="163">
        <v>6</v>
      </c>
      <c r="I635" s="164">
        <v>6071.1</v>
      </c>
      <c r="J635" s="164">
        <v>4547.3999999999996</v>
      </c>
      <c r="K635" s="164">
        <v>4155.2</v>
      </c>
      <c r="L635" s="165">
        <v>204</v>
      </c>
      <c r="M635" s="163" t="s">
        <v>268</v>
      </c>
      <c r="N635" s="163" t="s">
        <v>272</v>
      </c>
      <c r="O635" s="166" t="s">
        <v>1337</v>
      </c>
      <c r="P635" s="167">
        <v>100000</v>
      </c>
      <c r="Q635" s="167">
        <v>0</v>
      </c>
      <c r="R635" s="167">
        <v>0</v>
      </c>
      <c r="S635" s="167">
        <f t="shared" si="199"/>
        <v>100000</v>
      </c>
      <c r="T635" s="167">
        <f t="shared" si="189"/>
        <v>16.471479633015434</v>
      </c>
      <c r="U635" s="167">
        <v>16.471479633015434</v>
      </c>
      <c r="V635" s="149">
        <f t="shared" si="192"/>
        <v>0</v>
      </c>
      <c r="W635" s="149">
        <f t="shared" si="201"/>
        <v>16.471479633015434</v>
      </c>
      <c r="X635" s="149">
        <v>0</v>
      </c>
      <c r="Y635" s="368">
        <v>0</v>
      </c>
      <c r="Z635" s="368">
        <v>0</v>
      </c>
      <c r="AA635" s="368">
        <v>0</v>
      </c>
      <c r="AB635" s="368">
        <v>0</v>
      </c>
      <c r="AC635" s="368">
        <v>0</v>
      </c>
      <c r="AD635" s="368">
        <v>0</v>
      </c>
      <c r="AE635" s="368">
        <v>0</v>
      </c>
      <c r="AF635" s="396">
        <v>0</v>
      </c>
      <c r="AG635" s="368">
        <v>0</v>
      </c>
      <c r="AH635" s="396">
        <v>0</v>
      </c>
      <c r="AI635" s="368">
        <v>0</v>
      </c>
      <c r="AJ635" s="396">
        <v>0</v>
      </c>
      <c r="AK635" s="368">
        <v>0</v>
      </c>
      <c r="AL635" s="368">
        <v>0</v>
      </c>
      <c r="AM635" s="368">
        <v>0</v>
      </c>
      <c r="AN635" s="368"/>
      <c r="AO635" s="368">
        <v>0</v>
      </c>
    </row>
    <row r="636" spans="1:41" s="152" customFormat="1" ht="36" customHeight="1" x14ac:dyDescent="0.9">
      <c r="A636" s="152">
        <v>1</v>
      </c>
      <c r="B636" s="90">
        <f>SUBTOTAL(103,$A$554:A636)</f>
        <v>83</v>
      </c>
      <c r="C636" s="89" t="s">
        <v>585</v>
      </c>
      <c r="D636" s="163" t="s">
        <v>373</v>
      </c>
      <c r="E636" s="163"/>
      <c r="F636" s="168" t="s">
        <v>315</v>
      </c>
      <c r="G636" s="163" t="s">
        <v>376</v>
      </c>
      <c r="H636" s="163">
        <v>2</v>
      </c>
      <c r="I636" s="164">
        <v>2963</v>
      </c>
      <c r="J636" s="164">
        <v>2175.9</v>
      </c>
      <c r="K636" s="164">
        <v>2084.1</v>
      </c>
      <c r="L636" s="165">
        <v>123</v>
      </c>
      <c r="M636" s="163" t="s">
        <v>268</v>
      </c>
      <c r="N636" s="163" t="s">
        <v>272</v>
      </c>
      <c r="O636" s="166" t="s">
        <v>1337</v>
      </c>
      <c r="P636" s="167">
        <v>100000</v>
      </c>
      <c r="Q636" s="167">
        <v>0</v>
      </c>
      <c r="R636" s="167">
        <v>0</v>
      </c>
      <c r="S636" s="167">
        <f t="shared" si="199"/>
        <v>100000</v>
      </c>
      <c r="T636" s="167">
        <f t="shared" si="189"/>
        <v>33.74957813027337</v>
      </c>
      <c r="U636" s="167">
        <v>33.74957813027337</v>
      </c>
      <c r="V636" s="149">
        <f t="shared" si="192"/>
        <v>0</v>
      </c>
      <c r="W636" s="149">
        <f t="shared" si="201"/>
        <v>33.74957813027337</v>
      </c>
      <c r="X636" s="149">
        <v>0</v>
      </c>
      <c r="Y636" s="368">
        <v>0</v>
      </c>
      <c r="Z636" s="368">
        <v>0</v>
      </c>
      <c r="AA636" s="368">
        <v>0</v>
      </c>
      <c r="AB636" s="368">
        <v>0</v>
      </c>
      <c r="AC636" s="368">
        <v>0</v>
      </c>
      <c r="AD636" s="368">
        <v>0</v>
      </c>
      <c r="AE636" s="368">
        <v>0</v>
      </c>
      <c r="AF636" s="396">
        <v>0</v>
      </c>
      <c r="AG636" s="368">
        <v>0</v>
      </c>
      <c r="AH636" s="396">
        <v>0</v>
      </c>
      <c r="AI636" s="368">
        <v>0</v>
      </c>
      <c r="AJ636" s="396">
        <v>0</v>
      </c>
      <c r="AK636" s="368">
        <v>0</v>
      </c>
      <c r="AL636" s="368">
        <v>0</v>
      </c>
      <c r="AM636" s="368">
        <v>0</v>
      </c>
      <c r="AN636" s="368"/>
      <c r="AO636" s="368">
        <v>0</v>
      </c>
    </row>
    <row r="637" spans="1:41" s="152" customFormat="1" ht="36" customHeight="1" x14ac:dyDescent="0.9">
      <c r="A637" s="152">
        <v>1</v>
      </c>
      <c r="B637" s="90">
        <f>SUBTOTAL(103,$A$554:A637)</f>
        <v>84</v>
      </c>
      <c r="C637" s="89" t="s">
        <v>586</v>
      </c>
      <c r="D637" s="163" t="s">
        <v>317</v>
      </c>
      <c r="E637" s="163"/>
      <c r="F637" s="168" t="s">
        <v>315</v>
      </c>
      <c r="G637" s="163" t="s">
        <v>376</v>
      </c>
      <c r="H637" s="163">
        <v>2</v>
      </c>
      <c r="I637" s="164">
        <v>2482.1</v>
      </c>
      <c r="J637" s="164">
        <v>2181.5500000000002</v>
      </c>
      <c r="K637" s="164">
        <v>1858.6</v>
      </c>
      <c r="L637" s="165">
        <v>96</v>
      </c>
      <c r="M637" s="163" t="s">
        <v>268</v>
      </c>
      <c r="N637" s="163" t="s">
        <v>272</v>
      </c>
      <c r="O637" s="166" t="s">
        <v>1398</v>
      </c>
      <c r="P637" s="167">
        <v>99900</v>
      </c>
      <c r="Q637" s="167">
        <v>0</v>
      </c>
      <c r="R637" s="167">
        <v>0</v>
      </c>
      <c r="S637" s="167">
        <f t="shared" si="199"/>
        <v>99900</v>
      </c>
      <c r="T637" s="167">
        <f t="shared" si="189"/>
        <v>40.248176946940092</v>
      </c>
      <c r="U637" s="167">
        <v>40.248176946940092</v>
      </c>
      <c r="V637" s="149">
        <f t="shared" si="192"/>
        <v>0</v>
      </c>
      <c r="W637" s="149">
        <f t="shared" si="201"/>
        <v>40.248176946940092</v>
      </c>
      <c r="X637" s="149">
        <v>0</v>
      </c>
      <c r="Y637" s="368">
        <v>0</v>
      </c>
      <c r="Z637" s="368">
        <v>0</v>
      </c>
      <c r="AA637" s="368">
        <v>0</v>
      </c>
      <c r="AB637" s="368">
        <v>0</v>
      </c>
      <c r="AC637" s="368">
        <v>0</v>
      </c>
      <c r="AD637" s="368">
        <v>0</v>
      </c>
      <c r="AE637" s="368">
        <v>0</v>
      </c>
      <c r="AF637" s="396">
        <v>0</v>
      </c>
      <c r="AG637" s="368">
        <v>0</v>
      </c>
      <c r="AH637" s="396">
        <v>0</v>
      </c>
      <c r="AI637" s="368">
        <v>0</v>
      </c>
      <c r="AJ637" s="396">
        <v>0</v>
      </c>
      <c r="AK637" s="368">
        <v>0</v>
      </c>
      <c r="AL637" s="368">
        <v>0</v>
      </c>
      <c r="AM637" s="368">
        <v>0</v>
      </c>
      <c r="AN637" s="368"/>
      <c r="AO637" s="368">
        <v>0</v>
      </c>
    </row>
    <row r="638" spans="1:41" s="152" customFormat="1" ht="36" customHeight="1" x14ac:dyDescent="0.9">
      <c r="A638" s="152">
        <v>1</v>
      </c>
      <c r="B638" s="90">
        <f>SUBTOTAL(103,$A$554:A638)</f>
        <v>85</v>
      </c>
      <c r="C638" s="89" t="s">
        <v>1654</v>
      </c>
      <c r="D638" s="163">
        <v>1962</v>
      </c>
      <c r="E638" s="163"/>
      <c r="F638" s="168" t="s">
        <v>270</v>
      </c>
      <c r="G638" s="163">
        <v>4</v>
      </c>
      <c r="H638" s="163">
        <v>3</v>
      </c>
      <c r="I638" s="164">
        <v>2169.3000000000002</v>
      </c>
      <c r="J638" s="164">
        <v>1836.7</v>
      </c>
      <c r="K638" s="164">
        <v>1836.7</v>
      </c>
      <c r="L638" s="165">
        <v>110</v>
      </c>
      <c r="M638" s="163" t="s">
        <v>268</v>
      </c>
      <c r="N638" s="163" t="s">
        <v>272</v>
      </c>
      <c r="O638" s="166" t="s">
        <v>1104</v>
      </c>
      <c r="P638" s="167">
        <v>100000</v>
      </c>
      <c r="Q638" s="167">
        <v>0</v>
      </c>
      <c r="R638" s="167">
        <v>0</v>
      </c>
      <c r="S638" s="167">
        <f t="shared" si="199"/>
        <v>100000</v>
      </c>
      <c r="T638" s="167">
        <f t="shared" si="189"/>
        <v>46.097819573134188</v>
      </c>
      <c r="U638" s="167">
        <v>46.097819573134188</v>
      </c>
      <c r="V638" s="149">
        <f t="shared" si="192"/>
        <v>0</v>
      </c>
      <c r="W638" s="149">
        <f t="shared" si="201"/>
        <v>46.097819573134188</v>
      </c>
      <c r="X638" s="149">
        <v>0</v>
      </c>
      <c r="Y638" s="368">
        <v>0</v>
      </c>
      <c r="Z638" s="368">
        <v>0</v>
      </c>
      <c r="AA638" s="368">
        <v>0</v>
      </c>
      <c r="AB638" s="368">
        <v>0</v>
      </c>
      <c r="AC638" s="368">
        <v>0</v>
      </c>
      <c r="AD638" s="368">
        <v>0</v>
      </c>
      <c r="AE638" s="368">
        <v>0</v>
      </c>
      <c r="AF638" s="396">
        <v>0</v>
      </c>
      <c r="AG638" s="368">
        <v>0</v>
      </c>
      <c r="AH638" s="396">
        <v>0</v>
      </c>
      <c r="AI638" s="368">
        <v>0</v>
      </c>
      <c r="AJ638" s="396">
        <v>0</v>
      </c>
      <c r="AK638" s="368">
        <v>0</v>
      </c>
      <c r="AL638" s="368">
        <v>0</v>
      </c>
      <c r="AM638" s="368">
        <v>0</v>
      </c>
      <c r="AN638" s="368"/>
      <c r="AO638" s="368">
        <v>0</v>
      </c>
    </row>
    <row r="639" spans="1:41" s="152" customFormat="1" ht="36" customHeight="1" x14ac:dyDescent="0.9">
      <c r="A639" s="152">
        <v>1</v>
      </c>
      <c r="B639" s="90">
        <f>SUBTOTAL(103,$A$554:A639)</f>
        <v>86</v>
      </c>
      <c r="C639" s="89" t="s">
        <v>588</v>
      </c>
      <c r="D639" s="163" t="s">
        <v>378</v>
      </c>
      <c r="E639" s="163"/>
      <c r="F639" s="168" t="s">
        <v>270</v>
      </c>
      <c r="G639" s="163" t="s">
        <v>316</v>
      </c>
      <c r="H639" s="163">
        <v>1</v>
      </c>
      <c r="I639" s="164">
        <v>1637</v>
      </c>
      <c r="J639" s="164">
        <v>983.6</v>
      </c>
      <c r="K639" s="164">
        <v>768.5</v>
      </c>
      <c r="L639" s="165">
        <v>71</v>
      </c>
      <c r="M639" s="163" t="s">
        <v>268</v>
      </c>
      <c r="N639" s="163" t="s">
        <v>272</v>
      </c>
      <c r="O639" s="166" t="s">
        <v>1398</v>
      </c>
      <c r="P639" s="167">
        <v>100000</v>
      </c>
      <c r="Q639" s="167">
        <v>0</v>
      </c>
      <c r="R639" s="167">
        <v>0</v>
      </c>
      <c r="S639" s="167">
        <f t="shared" si="199"/>
        <v>100000</v>
      </c>
      <c r="T639" s="167">
        <f t="shared" ref="T639:T702" si="202">P639/I639</f>
        <v>61.087354917532068</v>
      </c>
      <c r="U639" s="167">
        <v>61.087354917532068</v>
      </c>
      <c r="V639" s="149">
        <f t="shared" si="192"/>
        <v>0</v>
      </c>
      <c r="W639" s="149">
        <f t="shared" si="201"/>
        <v>61.087354917532068</v>
      </c>
      <c r="X639" s="149">
        <v>0</v>
      </c>
      <c r="Y639" s="368">
        <v>0</v>
      </c>
      <c r="Z639" s="368">
        <v>0</v>
      </c>
      <c r="AA639" s="368">
        <v>0</v>
      </c>
      <c r="AB639" s="368">
        <v>0</v>
      </c>
      <c r="AC639" s="368">
        <v>0</v>
      </c>
      <c r="AD639" s="368">
        <v>0</v>
      </c>
      <c r="AE639" s="368">
        <v>0</v>
      </c>
      <c r="AF639" s="396">
        <v>0</v>
      </c>
      <c r="AG639" s="368">
        <v>0</v>
      </c>
      <c r="AH639" s="396">
        <v>0</v>
      </c>
      <c r="AI639" s="368">
        <v>0</v>
      </c>
      <c r="AJ639" s="396">
        <v>0</v>
      </c>
      <c r="AK639" s="368">
        <v>0</v>
      </c>
      <c r="AL639" s="368">
        <v>0</v>
      </c>
      <c r="AM639" s="368">
        <v>0</v>
      </c>
      <c r="AN639" s="368"/>
      <c r="AO639" s="368">
        <v>0</v>
      </c>
    </row>
    <row r="640" spans="1:41" s="152" customFormat="1" ht="36" customHeight="1" x14ac:dyDescent="0.9">
      <c r="A640" s="152">
        <v>1</v>
      </c>
      <c r="B640" s="90">
        <f>SUBTOTAL(103,$A$554:A640)</f>
        <v>87</v>
      </c>
      <c r="C640" s="89" t="s">
        <v>589</v>
      </c>
      <c r="D640" s="163" t="s">
        <v>314</v>
      </c>
      <c r="E640" s="163"/>
      <c r="F640" s="168" t="s">
        <v>315</v>
      </c>
      <c r="G640" s="163" t="s">
        <v>356</v>
      </c>
      <c r="H640" s="163">
        <v>3</v>
      </c>
      <c r="I640" s="164">
        <v>2249.1</v>
      </c>
      <c r="J640" s="164">
        <v>2046.7</v>
      </c>
      <c r="K640" s="164">
        <v>2046.7</v>
      </c>
      <c r="L640" s="165">
        <v>97</v>
      </c>
      <c r="M640" s="163" t="s">
        <v>268</v>
      </c>
      <c r="N640" s="163" t="s">
        <v>272</v>
      </c>
      <c r="O640" s="166" t="s">
        <v>1399</v>
      </c>
      <c r="P640" s="167">
        <v>100000</v>
      </c>
      <c r="Q640" s="167">
        <v>0</v>
      </c>
      <c r="R640" s="167">
        <v>0</v>
      </c>
      <c r="S640" s="167">
        <f t="shared" si="199"/>
        <v>100000</v>
      </c>
      <c r="T640" s="167">
        <f t="shared" si="202"/>
        <v>44.462229336178915</v>
      </c>
      <c r="U640" s="167">
        <v>44.462229336178915</v>
      </c>
      <c r="V640" s="149">
        <f t="shared" si="192"/>
        <v>0</v>
      </c>
      <c r="W640" s="149">
        <f t="shared" si="201"/>
        <v>44.462229336178915</v>
      </c>
      <c r="X640" s="149">
        <v>0</v>
      </c>
      <c r="Y640" s="368">
        <v>0</v>
      </c>
      <c r="Z640" s="368">
        <v>0</v>
      </c>
      <c r="AA640" s="368">
        <v>0</v>
      </c>
      <c r="AB640" s="368">
        <v>0</v>
      </c>
      <c r="AC640" s="368">
        <v>0</v>
      </c>
      <c r="AD640" s="368">
        <v>0</v>
      </c>
      <c r="AE640" s="368">
        <v>0</v>
      </c>
      <c r="AF640" s="396">
        <v>0</v>
      </c>
      <c r="AG640" s="368">
        <v>0</v>
      </c>
      <c r="AH640" s="396">
        <v>0</v>
      </c>
      <c r="AI640" s="368">
        <v>0</v>
      </c>
      <c r="AJ640" s="396">
        <v>0</v>
      </c>
      <c r="AK640" s="368">
        <v>0</v>
      </c>
      <c r="AL640" s="368">
        <v>0</v>
      </c>
      <c r="AM640" s="368">
        <v>0</v>
      </c>
      <c r="AN640" s="368"/>
      <c r="AO640" s="368">
        <v>0</v>
      </c>
    </row>
    <row r="641" spans="1:41" s="152" customFormat="1" ht="36" customHeight="1" x14ac:dyDescent="0.9">
      <c r="A641" s="152">
        <v>1</v>
      </c>
      <c r="B641" s="90">
        <f>SUBTOTAL(103,$A$554:A641)</f>
        <v>88</v>
      </c>
      <c r="C641" s="89" t="s">
        <v>590</v>
      </c>
      <c r="D641" s="163" t="s">
        <v>314</v>
      </c>
      <c r="E641" s="163"/>
      <c r="F641" s="168" t="s">
        <v>270</v>
      </c>
      <c r="G641" s="163" t="s">
        <v>356</v>
      </c>
      <c r="H641" s="163">
        <v>1</v>
      </c>
      <c r="I641" s="164">
        <v>867.9</v>
      </c>
      <c r="J641" s="164">
        <v>809.2</v>
      </c>
      <c r="K641" s="164">
        <v>766.2</v>
      </c>
      <c r="L641" s="165">
        <v>36</v>
      </c>
      <c r="M641" s="163" t="s">
        <v>268</v>
      </c>
      <c r="N641" s="163" t="s">
        <v>272</v>
      </c>
      <c r="O641" s="166" t="s">
        <v>1412</v>
      </c>
      <c r="P641" s="167">
        <v>100000</v>
      </c>
      <c r="Q641" s="167">
        <v>0</v>
      </c>
      <c r="R641" s="167">
        <v>0</v>
      </c>
      <c r="S641" s="167">
        <f t="shared" si="199"/>
        <v>100000</v>
      </c>
      <c r="T641" s="167">
        <f t="shared" si="202"/>
        <v>115.22064754003918</v>
      </c>
      <c r="U641" s="167">
        <v>115.22064754003918</v>
      </c>
      <c r="V641" s="149">
        <f t="shared" si="192"/>
        <v>0</v>
      </c>
      <c r="W641" s="149">
        <f t="shared" si="201"/>
        <v>115.22064754003918</v>
      </c>
      <c r="X641" s="149">
        <v>0</v>
      </c>
      <c r="Y641" s="368">
        <v>0</v>
      </c>
      <c r="Z641" s="368">
        <v>0</v>
      </c>
      <c r="AA641" s="368">
        <v>0</v>
      </c>
      <c r="AB641" s="368">
        <v>0</v>
      </c>
      <c r="AC641" s="368">
        <v>0</v>
      </c>
      <c r="AD641" s="368">
        <v>0</v>
      </c>
      <c r="AE641" s="368">
        <v>0</v>
      </c>
      <c r="AF641" s="396">
        <v>0</v>
      </c>
      <c r="AG641" s="368">
        <v>0</v>
      </c>
      <c r="AH641" s="396">
        <v>0</v>
      </c>
      <c r="AI641" s="368">
        <v>0</v>
      </c>
      <c r="AJ641" s="396">
        <v>0</v>
      </c>
      <c r="AK641" s="368">
        <v>0</v>
      </c>
      <c r="AL641" s="368">
        <v>0</v>
      </c>
      <c r="AM641" s="368">
        <v>0</v>
      </c>
      <c r="AN641" s="368"/>
      <c r="AO641" s="368">
        <v>0</v>
      </c>
    </row>
    <row r="642" spans="1:41" s="152" customFormat="1" ht="36" customHeight="1" x14ac:dyDescent="0.9">
      <c r="A642" s="152">
        <v>1</v>
      </c>
      <c r="B642" s="90">
        <f>SUBTOTAL(103,$A$554:A642)</f>
        <v>89</v>
      </c>
      <c r="C642" s="89" t="s">
        <v>591</v>
      </c>
      <c r="D642" s="163" t="s">
        <v>379</v>
      </c>
      <c r="E642" s="163"/>
      <c r="F642" s="168" t="s">
        <v>315</v>
      </c>
      <c r="G642" s="163" t="s">
        <v>356</v>
      </c>
      <c r="H642" s="163">
        <v>3</v>
      </c>
      <c r="I642" s="164">
        <v>2653.8</v>
      </c>
      <c r="J642" s="164">
        <v>2443.1</v>
      </c>
      <c r="K642" s="164">
        <v>2354.1</v>
      </c>
      <c r="L642" s="165">
        <v>102</v>
      </c>
      <c r="M642" s="163" t="s">
        <v>268</v>
      </c>
      <c r="N642" s="163" t="s">
        <v>272</v>
      </c>
      <c r="O642" s="166" t="s">
        <v>1088</v>
      </c>
      <c r="P642" s="167">
        <v>100000</v>
      </c>
      <c r="Q642" s="167">
        <v>0</v>
      </c>
      <c r="R642" s="167">
        <v>0</v>
      </c>
      <c r="S642" s="167">
        <f t="shared" si="199"/>
        <v>100000</v>
      </c>
      <c r="T642" s="167">
        <f t="shared" si="202"/>
        <v>37.681814756198655</v>
      </c>
      <c r="U642" s="167">
        <v>37.681814756198655</v>
      </c>
      <c r="V642" s="149">
        <f t="shared" si="192"/>
        <v>0</v>
      </c>
      <c r="W642" s="149">
        <f t="shared" si="201"/>
        <v>37.681814756198655</v>
      </c>
      <c r="X642" s="149">
        <v>0</v>
      </c>
      <c r="Y642" s="368">
        <v>0</v>
      </c>
      <c r="Z642" s="368">
        <v>0</v>
      </c>
      <c r="AA642" s="368">
        <v>0</v>
      </c>
      <c r="AB642" s="368">
        <v>0</v>
      </c>
      <c r="AC642" s="368">
        <v>0</v>
      </c>
      <c r="AD642" s="368">
        <v>0</v>
      </c>
      <c r="AE642" s="368">
        <v>0</v>
      </c>
      <c r="AF642" s="396">
        <v>0</v>
      </c>
      <c r="AG642" s="368">
        <v>0</v>
      </c>
      <c r="AH642" s="396">
        <v>0</v>
      </c>
      <c r="AI642" s="368">
        <v>0</v>
      </c>
      <c r="AJ642" s="396">
        <v>0</v>
      </c>
      <c r="AK642" s="368">
        <v>0</v>
      </c>
      <c r="AL642" s="368">
        <v>0</v>
      </c>
      <c r="AM642" s="368">
        <v>0</v>
      </c>
      <c r="AN642" s="368"/>
      <c r="AO642" s="368">
        <v>0</v>
      </c>
    </row>
    <row r="643" spans="1:41" s="152" customFormat="1" ht="36" customHeight="1" x14ac:dyDescent="0.9">
      <c r="A643" s="152">
        <v>1</v>
      </c>
      <c r="B643" s="90">
        <f>SUBTOTAL(103,$A$554:A643)</f>
        <v>90</v>
      </c>
      <c r="C643" s="89" t="s">
        <v>592</v>
      </c>
      <c r="D643" s="163" t="s">
        <v>379</v>
      </c>
      <c r="E643" s="163"/>
      <c r="F643" s="168" t="s">
        <v>315</v>
      </c>
      <c r="G643" s="163" t="s">
        <v>356</v>
      </c>
      <c r="H643" s="163">
        <v>3</v>
      </c>
      <c r="I643" s="164">
        <v>2632.8</v>
      </c>
      <c r="J643" s="164">
        <v>2351.9</v>
      </c>
      <c r="K643" s="164">
        <v>2335.8000000000002</v>
      </c>
      <c r="L643" s="165">
        <v>107</v>
      </c>
      <c r="M643" s="163" t="s">
        <v>268</v>
      </c>
      <c r="N643" s="163" t="s">
        <v>272</v>
      </c>
      <c r="O643" s="166" t="s">
        <v>1088</v>
      </c>
      <c r="P643" s="167">
        <v>100000</v>
      </c>
      <c r="Q643" s="167">
        <v>0</v>
      </c>
      <c r="R643" s="167">
        <v>0</v>
      </c>
      <c r="S643" s="167">
        <f t="shared" si="199"/>
        <v>100000</v>
      </c>
      <c r="T643" s="167">
        <f t="shared" si="202"/>
        <v>37.982376177453659</v>
      </c>
      <c r="U643" s="167">
        <v>37.982376177453659</v>
      </c>
      <c r="V643" s="149">
        <f t="shared" si="192"/>
        <v>0</v>
      </c>
      <c r="W643" s="149">
        <f t="shared" si="201"/>
        <v>37.982376177453659</v>
      </c>
      <c r="X643" s="149">
        <v>0</v>
      </c>
      <c r="Y643" s="368">
        <v>0</v>
      </c>
      <c r="Z643" s="368">
        <v>0</v>
      </c>
      <c r="AA643" s="368">
        <v>0</v>
      </c>
      <c r="AB643" s="368">
        <v>0</v>
      </c>
      <c r="AC643" s="368">
        <v>0</v>
      </c>
      <c r="AD643" s="368">
        <v>0</v>
      </c>
      <c r="AE643" s="368">
        <v>0</v>
      </c>
      <c r="AF643" s="396">
        <v>0</v>
      </c>
      <c r="AG643" s="368">
        <v>0</v>
      </c>
      <c r="AH643" s="396">
        <v>0</v>
      </c>
      <c r="AI643" s="368">
        <v>0</v>
      </c>
      <c r="AJ643" s="396">
        <v>0</v>
      </c>
      <c r="AK643" s="368">
        <v>0</v>
      </c>
      <c r="AL643" s="368">
        <v>0</v>
      </c>
      <c r="AM643" s="368">
        <v>0</v>
      </c>
      <c r="AN643" s="368"/>
      <c r="AO643" s="368">
        <v>0</v>
      </c>
    </row>
    <row r="644" spans="1:41" s="152" customFormat="1" ht="36" customHeight="1" x14ac:dyDescent="0.9">
      <c r="A644" s="152">
        <v>1</v>
      </c>
      <c r="B644" s="90">
        <f>SUBTOTAL(103,$A$554:A644)</f>
        <v>91</v>
      </c>
      <c r="C644" s="89" t="s">
        <v>593</v>
      </c>
      <c r="D644" s="163" t="s">
        <v>314</v>
      </c>
      <c r="E644" s="163"/>
      <c r="F644" s="168" t="s">
        <v>270</v>
      </c>
      <c r="G644" s="163" t="s">
        <v>362</v>
      </c>
      <c r="H644" s="163">
        <v>1</v>
      </c>
      <c r="I644" s="164">
        <v>3626.2</v>
      </c>
      <c r="J644" s="164">
        <v>3322.8</v>
      </c>
      <c r="K644" s="164">
        <v>3152.1</v>
      </c>
      <c r="L644" s="165">
        <v>152</v>
      </c>
      <c r="M644" s="163" t="s">
        <v>268</v>
      </c>
      <c r="N644" s="163" t="s">
        <v>272</v>
      </c>
      <c r="O644" s="166" t="s">
        <v>1088</v>
      </c>
      <c r="P644" s="167">
        <v>100000</v>
      </c>
      <c r="Q644" s="167">
        <v>0</v>
      </c>
      <c r="R644" s="167">
        <v>0</v>
      </c>
      <c r="S644" s="167">
        <f t="shared" si="199"/>
        <v>100000</v>
      </c>
      <c r="T644" s="167">
        <f t="shared" si="202"/>
        <v>27.577077932822238</v>
      </c>
      <c r="U644" s="167">
        <v>27.577077932822238</v>
      </c>
      <c r="V644" s="149">
        <f t="shared" si="192"/>
        <v>0</v>
      </c>
      <c r="W644" s="149">
        <f t="shared" si="201"/>
        <v>27.577077932822238</v>
      </c>
      <c r="X644" s="149">
        <v>0</v>
      </c>
      <c r="Y644" s="368">
        <v>0</v>
      </c>
      <c r="Z644" s="368">
        <v>0</v>
      </c>
      <c r="AA644" s="368">
        <v>0</v>
      </c>
      <c r="AB644" s="368">
        <v>0</v>
      </c>
      <c r="AC644" s="368">
        <v>0</v>
      </c>
      <c r="AD644" s="368">
        <v>0</v>
      </c>
      <c r="AE644" s="368">
        <v>0</v>
      </c>
      <c r="AF644" s="396">
        <v>0</v>
      </c>
      <c r="AG644" s="368">
        <v>0</v>
      </c>
      <c r="AH644" s="396">
        <v>0</v>
      </c>
      <c r="AI644" s="368">
        <v>0</v>
      </c>
      <c r="AJ644" s="396">
        <v>0</v>
      </c>
      <c r="AK644" s="368">
        <v>0</v>
      </c>
      <c r="AL644" s="368">
        <v>0</v>
      </c>
      <c r="AM644" s="368">
        <v>0</v>
      </c>
      <c r="AN644" s="368"/>
      <c r="AO644" s="368">
        <v>0</v>
      </c>
    </row>
    <row r="645" spans="1:41" s="152" customFormat="1" ht="36" customHeight="1" x14ac:dyDescent="0.9">
      <c r="A645" s="152">
        <v>1</v>
      </c>
      <c r="B645" s="90">
        <f>SUBTOTAL(103,$A$554:A645)</f>
        <v>92</v>
      </c>
      <c r="C645" s="89" t="s">
        <v>594</v>
      </c>
      <c r="D645" s="163" t="s">
        <v>380</v>
      </c>
      <c r="E645" s="163"/>
      <c r="F645" s="168" t="s">
        <v>315</v>
      </c>
      <c r="G645" s="163" t="s">
        <v>356</v>
      </c>
      <c r="H645" s="163">
        <v>4</v>
      </c>
      <c r="I645" s="164">
        <v>3861</v>
      </c>
      <c r="J645" s="164">
        <v>3604.2</v>
      </c>
      <c r="K645" s="164">
        <v>3552.1</v>
      </c>
      <c r="L645" s="165">
        <v>165</v>
      </c>
      <c r="M645" s="163" t="s">
        <v>268</v>
      </c>
      <c r="N645" s="163" t="s">
        <v>272</v>
      </c>
      <c r="O645" s="166" t="s">
        <v>1088</v>
      </c>
      <c r="P645" s="167">
        <v>100000</v>
      </c>
      <c r="Q645" s="167">
        <v>0</v>
      </c>
      <c r="R645" s="167">
        <v>0</v>
      </c>
      <c r="S645" s="167">
        <f t="shared" si="199"/>
        <v>100000</v>
      </c>
      <c r="T645" s="167">
        <f t="shared" si="202"/>
        <v>25.900025900025899</v>
      </c>
      <c r="U645" s="167">
        <v>25.900025900025899</v>
      </c>
      <c r="V645" s="149">
        <f t="shared" si="192"/>
        <v>0</v>
      </c>
      <c r="W645" s="149">
        <f t="shared" si="201"/>
        <v>25.900025900025899</v>
      </c>
      <c r="X645" s="149">
        <v>0</v>
      </c>
      <c r="Y645" s="368">
        <v>0</v>
      </c>
      <c r="Z645" s="368">
        <v>0</v>
      </c>
      <c r="AA645" s="368">
        <v>0</v>
      </c>
      <c r="AB645" s="368">
        <v>0</v>
      </c>
      <c r="AC645" s="368">
        <v>0</v>
      </c>
      <c r="AD645" s="368">
        <v>0</v>
      </c>
      <c r="AE645" s="368">
        <v>0</v>
      </c>
      <c r="AF645" s="396">
        <v>0</v>
      </c>
      <c r="AG645" s="368">
        <v>0</v>
      </c>
      <c r="AH645" s="396">
        <v>0</v>
      </c>
      <c r="AI645" s="368">
        <v>0</v>
      </c>
      <c r="AJ645" s="396">
        <v>0</v>
      </c>
      <c r="AK645" s="368">
        <v>0</v>
      </c>
      <c r="AL645" s="368">
        <v>0</v>
      </c>
      <c r="AM645" s="368">
        <v>0</v>
      </c>
      <c r="AN645" s="368"/>
      <c r="AO645" s="368">
        <v>0</v>
      </c>
    </row>
    <row r="646" spans="1:41" s="152" customFormat="1" ht="36" customHeight="1" x14ac:dyDescent="0.9">
      <c r="A646" s="152">
        <v>1</v>
      </c>
      <c r="B646" s="90">
        <f>SUBTOTAL(103,$A$554:A646)</f>
        <v>93</v>
      </c>
      <c r="C646" s="89" t="s">
        <v>595</v>
      </c>
      <c r="D646" s="163" t="s">
        <v>381</v>
      </c>
      <c r="E646" s="163"/>
      <c r="F646" s="168" t="s">
        <v>270</v>
      </c>
      <c r="G646" s="163" t="s">
        <v>362</v>
      </c>
      <c r="H646" s="163">
        <v>1</v>
      </c>
      <c r="I646" s="164">
        <v>1800.4</v>
      </c>
      <c r="J646" s="164">
        <v>1643.1</v>
      </c>
      <c r="K646" s="164">
        <v>1043.0999999999999</v>
      </c>
      <c r="L646" s="165">
        <v>59</v>
      </c>
      <c r="M646" s="163" t="s">
        <v>268</v>
      </c>
      <c r="N646" s="163" t="s">
        <v>272</v>
      </c>
      <c r="O646" s="166" t="s">
        <v>1670</v>
      </c>
      <c r="P646" s="167">
        <v>100000</v>
      </c>
      <c r="Q646" s="167">
        <v>0</v>
      </c>
      <c r="R646" s="167">
        <v>0</v>
      </c>
      <c r="S646" s="167">
        <f t="shared" si="199"/>
        <v>100000</v>
      </c>
      <c r="T646" s="167">
        <f t="shared" si="202"/>
        <v>55.543212619417908</v>
      </c>
      <c r="U646" s="167">
        <v>55.543212619417908</v>
      </c>
      <c r="V646" s="149">
        <f t="shared" si="192"/>
        <v>0</v>
      </c>
      <c r="W646" s="149">
        <f t="shared" si="201"/>
        <v>55.543212619417908</v>
      </c>
      <c r="X646" s="149">
        <v>0</v>
      </c>
      <c r="Y646" s="368">
        <v>0</v>
      </c>
      <c r="Z646" s="368">
        <v>0</v>
      </c>
      <c r="AA646" s="368">
        <v>0</v>
      </c>
      <c r="AB646" s="368">
        <v>0</v>
      </c>
      <c r="AC646" s="368">
        <v>0</v>
      </c>
      <c r="AD646" s="368">
        <v>0</v>
      </c>
      <c r="AE646" s="368">
        <v>0</v>
      </c>
      <c r="AF646" s="396">
        <v>0</v>
      </c>
      <c r="AG646" s="368">
        <v>0</v>
      </c>
      <c r="AH646" s="396">
        <v>0</v>
      </c>
      <c r="AI646" s="368">
        <v>0</v>
      </c>
      <c r="AJ646" s="396">
        <v>0</v>
      </c>
      <c r="AK646" s="368">
        <v>0</v>
      </c>
      <c r="AL646" s="368">
        <v>0</v>
      </c>
      <c r="AM646" s="368">
        <v>0</v>
      </c>
      <c r="AN646" s="368"/>
      <c r="AO646" s="368">
        <v>0</v>
      </c>
    </row>
    <row r="647" spans="1:41" s="152" customFormat="1" ht="36" customHeight="1" x14ac:dyDescent="0.9">
      <c r="A647" s="152">
        <v>1</v>
      </c>
      <c r="B647" s="90">
        <f>SUBTOTAL(103,$A$554:A647)</f>
        <v>94</v>
      </c>
      <c r="C647" s="89" t="s">
        <v>596</v>
      </c>
      <c r="D647" s="163">
        <v>1962</v>
      </c>
      <c r="E647" s="163"/>
      <c r="F647" s="168" t="s">
        <v>270</v>
      </c>
      <c r="G647" s="163">
        <v>5</v>
      </c>
      <c r="H647" s="163">
        <v>4</v>
      </c>
      <c r="I647" s="164">
        <v>4073.9</v>
      </c>
      <c r="J647" s="164">
        <v>3133.8</v>
      </c>
      <c r="K647" s="164">
        <v>2004.3</v>
      </c>
      <c r="L647" s="165">
        <v>154</v>
      </c>
      <c r="M647" s="163" t="s">
        <v>268</v>
      </c>
      <c r="N647" s="163" t="s">
        <v>272</v>
      </c>
      <c r="O647" s="166" t="s">
        <v>1104</v>
      </c>
      <c r="P647" s="167">
        <v>100000</v>
      </c>
      <c r="Q647" s="167">
        <v>0</v>
      </c>
      <c r="R647" s="167">
        <v>0</v>
      </c>
      <c r="S647" s="167">
        <f t="shared" si="199"/>
        <v>100000</v>
      </c>
      <c r="T647" s="167">
        <f t="shared" si="202"/>
        <v>24.546503350597707</v>
      </c>
      <c r="U647" s="167">
        <v>24.546503350597707</v>
      </c>
      <c r="V647" s="149">
        <f t="shared" si="192"/>
        <v>0</v>
      </c>
      <c r="W647" s="149">
        <f t="shared" si="201"/>
        <v>24.546503350597707</v>
      </c>
      <c r="X647" s="149">
        <v>0</v>
      </c>
      <c r="Y647" s="368">
        <v>0</v>
      </c>
      <c r="Z647" s="368">
        <v>0</v>
      </c>
      <c r="AA647" s="368">
        <v>0</v>
      </c>
      <c r="AB647" s="368">
        <v>0</v>
      </c>
      <c r="AC647" s="368">
        <v>0</v>
      </c>
      <c r="AD647" s="368">
        <v>0</v>
      </c>
      <c r="AE647" s="368">
        <v>0</v>
      </c>
      <c r="AF647" s="396">
        <v>0</v>
      </c>
      <c r="AG647" s="368">
        <v>0</v>
      </c>
      <c r="AH647" s="396">
        <v>0</v>
      </c>
      <c r="AI647" s="368">
        <v>0</v>
      </c>
      <c r="AJ647" s="396">
        <v>0</v>
      </c>
      <c r="AK647" s="368">
        <v>0</v>
      </c>
      <c r="AL647" s="368">
        <v>0</v>
      </c>
      <c r="AM647" s="368">
        <v>0</v>
      </c>
      <c r="AN647" s="368"/>
      <c r="AO647" s="368">
        <v>0</v>
      </c>
    </row>
    <row r="648" spans="1:41" s="152" customFormat="1" ht="36" customHeight="1" x14ac:dyDescent="0.9">
      <c r="A648" s="152">
        <v>1</v>
      </c>
      <c r="B648" s="90">
        <f>SUBTOTAL(103,$A$554:A648)</f>
        <v>95</v>
      </c>
      <c r="C648" s="89" t="s">
        <v>1655</v>
      </c>
      <c r="D648" s="163">
        <v>1962</v>
      </c>
      <c r="E648" s="163"/>
      <c r="F648" s="168" t="s">
        <v>270</v>
      </c>
      <c r="G648" s="163">
        <v>4</v>
      </c>
      <c r="H648" s="163">
        <v>3</v>
      </c>
      <c r="I648" s="164">
        <v>2132.1</v>
      </c>
      <c r="J648" s="164">
        <v>1746.6</v>
      </c>
      <c r="K648" s="164">
        <v>1691.5</v>
      </c>
      <c r="L648" s="165">
        <v>107</v>
      </c>
      <c r="M648" s="163" t="s">
        <v>268</v>
      </c>
      <c r="N648" s="163" t="s">
        <v>272</v>
      </c>
      <c r="O648" s="166" t="s">
        <v>1104</v>
      </c>
      <c r="P648" s="167">
        <v>100000</v>
      </c>
      <c r="Q648" s="167">
        <v>0</v>
      </c>
      <c r="R648" s="167">
        <v>0</v>
      </c>
      <c r="S648" s="167">
        <f t="shared" si="199"/>
        <v>100000</v>
      </c>
      <c r="T648" s="167">
        <f t="shared" si="202"/>
        <v>46.902115285399375</v>
      </c>
      <c r="U648" s="167">
        <v>46.902115285399375</v>
      </c>
      <c r="V648" s="149">
        <f t="shared" si="192"/>
        <v>0</v>
      </c>
      <c r="W648" s="149">
        <f t="shared" si="201"/>
        <v>46.902115285399375</v>
      </c>
      <c r="X648" s="149">
        <v>0</v>
      </c>
      <c r="Y648" s="368">
        <v>0</v>
      </c>
      <c r="Z648" s="368">
        <v>0</v>
      </c>
      <c r="AA648" s="368">
        <v>0</v>
      </c>
      <c r="AB648" s="368">
        <v>0</v>
      </c>
      <c r="AC648" s="368">
        <v>0</v>
      </c>
      <c r="AD648" s="368">
        <v>0</v>
      </c>
      <c r="AE648" s="368">
        <v>0</v>
      </c>
      <c r="AF648" s="396">
        <v>0</v>
      </c>
      <c r="AG648" s="368">
        <v>0</v>
      </c>
      <c r="AH648" s="396">
        <v>0</v>
      </c>
      <c r="AI648" s="368">
        <v>0</v>
      </c>
      <c r="AJ648" s="396">
        <v>0</v>
      </c>
      <c r="AK648" s="368">
        <v>0</v>
      </c>
      <c r="AL648" s="368">
        <v>0</v>
      </c>
      <c r="AM648" s="368">
        <v>0</v>
      </c>
      <c r="AN648" s="368"/>
      <c r="AO648" s="368">
        <v>0</v>
      </c>
    </row>
    <row r="649" spans="1:41" s="152" customFormat="1" ht="36" customHeight="1" x14ac:dyDescent="0.9">
      <c r="A649" s="152">
        <v>1</v>
      </c>
      <c r="B649" s="90">
        <f>SUBTOTAL(103,$A$554:A649)</f>
        <v>96</v>
      </c>
      <c r="C649" s="89" t="s">
        <v>1656</v>
      </c>
      <c r="D649" s="163">
        <v>1961</v>
      </c>
      <c r="E649" s="163"/>
      <c r="F649" s="168" t="s">
        <v>270</v>
      </c>
      <c r="G649" s="163">
        <v>5</v>
      </c>
      <c r="H649" s="163">
        <v>4</v>
      </c>
      <c r="I649" s="164">
        <v>3214.5</v>
      </c>
      <c r="J649" s="164">
        <v>2566.5</v>
      </c>
      <c r="K649" s="164">
        <v>2416.1999999999998</v>
      </c>
      <c r="L649" s="165">
        <v>167</v>
      </c>
      <c r="M649" s="163" t="s">
        <v>268</v>
      </c>
      <c r="N649" s="163" t="s">
        <v>272</v>
      </c>
      <c r="O649" s="166" t="s">
        <v>1104</v>
      </c>
      <c r="P649" s="167">
        <v>100000</v>
      </c>
      <c r="Q649" s="167">
        <v>0</v>
      </c>
      <c r="R649" s="167">
        <v>0</v>
      </c>
      <c r="S649" s="167">
        <f t="shared" si="199"/>
        <v>100000</v>
      </c>
      <c r="T649" s="167">
        <f t="shared" si="202"/>
        <v>31.109037175299424</v>
      </c>
      <c r="U649" s="167">
        <v>31.109037175299424</v>
      </c>
      <c r="V649" s="149">
        <f t="shared" si="192"/>
        <v>0</v>
      </c>
      <c r="W649" s="149">
        <f t="shared" si="201"/>
        <v>31.109037175299424</v>
      </c>
      <c r="X649" s="149">
        <v>0</v>
      </c>
      <c r="Y649" s="368">
        <v>0</v>
      </c>
      <c r="Z649" s="368">
        <v>0</v>
      </c>
      <c r="AA649" s="368">
        <v>0</v>
      </c>
      <c r="AB649" s="368">
        <v>0</v>
      </c>
      <c r="AC649" s="368">
        <v>0</v>
      </c>
      <c r="AD649" s="368">
        <v>0</v>
      </c>
      <c r="AE649" s="368">
        <v>0</v>
      </c>
      <c r="AF649" s="396">
        <v>0</v>
      </c>
      <c r="AG649" s="368">
        <v>0</v>
      </c>
      <c r="AH649" s="396">
        <v>0</v>
      </c>
      <c r="AI649" s="368">
        <v>0</v>
      </c>
      <c r="AJ649" s="396">
        <v>0</v>
      </c>
      <c r="AK649" s="368">
        <v>0</v>
      </c>
      <c r="AL649" s="368">
        <v>0</v>
      </c>
      <c r="AM649" s="368">
        <v>0</v>
      </c>
      <c r="AN649" s="368"/>
      <c r="AO649" s="368">
        <v>0</v>
      </c>
    </row>
    <row r="650" spans="1:41" s="152" customFormat="1" ht="36" customHeight="1" x14ac:dyDescent="0.9">
      <c r="A650" s="152">
        <v>1</v>
      </c>
      <c r="B650" s="90">
        <f>SUBTOTAL(103,$A$554:A650)</f>
        <v>97</v>
      </c>
      <c r="C650" s="89" t="s">
        <v>597</v>
      </c>
      <c r="D650" s="163" t="s">
        <v>365</v>
      </c>
      <c r="E650" s="163"/>
      <c r="F650" s="168" t="s">
        <v>315</v>
      </c>
      <c r="G650" s="163" t="s">
        <v>356</v>
      </c>
      <c r="H650" s="163">
        <v>4</v>
      </c>
      <c r="I650" s="164">
        <v>4425.6000000000004</v>
      </c>
      <c r="J650" s="164">
        <v>3128.2</v>
      </c>
      <c r="K650" s="164">
        <v>1799.3</v>
      </c>
      <c r="L650" s="165">
        <v>137</v>
      </c>
      <c r="M650" s="163" t="s">
        <v>268</v>
      </c>
      <c r="N650" s="163" t="s">
        <v>272</v>
      </c>
      <c r="O650" s="166" t="s">
        <v>1104</v>
      </c>
      <c r="P650" s="167">
        <v>100000</v>
      </c>
      <c r="Q650" s="167">
        <v>0</v>
      </c>
      <c r="R650" s="167">
        <v>0</v>
      </c>
      <c r="S650" s="167">
        <f t="shared" si="199"/>
        <v>100000</v>
      </c>
      <c r="T650" s="167">
        <f t="shared" si="202"/>
        <v>22.595806218365869</v>
      </c>
      <c r="U650" s="167">
        <v>22.595806218365869</v>
      </c>
      <c r="V650" s="149">
        <f t="shared" si="192"/>
        <v>0</v>
      </c>
      <c r="W650" s="149">
        <f t="shared" si="201"/>
        <v>22.595806218365869</v>
      </c>
      <c r="X650" s="149">
        <v>0</v>
      </c>
      <c r="Y650" s="368">
        <v>0</v>
      </c>
      <c r="Z650" s="368">
        <v>0</v>
      </c>
      <c r="AA650" s="368">
        <v>0</v>
      </c>
      <c r="AB650" s="368">
        <v>0</v>
      </c>
      <c r="AC650" s="368">
        <v>0</v>
      </c>
      <c r="AD650" s="368">
        <v>0</v>
      </c>
      <c r="AE650" s="368">
        <v>0</v>
      </c>
      <c r="AF650" s="396">
        <v>0</v>
      </c>
      <c r="AG650" s="368">
        <v>0</v>
      </c>
      <c r="AH650" s="396">
        <v>0</v>
      </c>
      <c r="AI650" s="368">
        <v>0</v>
      </c>
      <c r="AJ650" s="396">
        <v>0</v>
      </c>
      <c r="AK650" s="368">
        <v>0</v>
      </c>
      <c r="AL650" s="368">
        <v>0</v>
      </c>
      <c r="AM650" s="368">
        <v>0</v>
      </c>
      <c r="AN650" s="368"/>
      <c r="AO650" s="368">
        <v>0</v>
      </c>
    </row>
    <row r="651" spans="1:41" s="152" customFormat="1" ht="36" customHeight="1" x14ac:dyDescent="0.9">
      <c r="A651" s="152">
        <v>1</v>
      </c>
      <c r="B651" s="90">
        <f>SUBTOTAL(103,$A$554:A651)</f>
        <v>98</v>
      </c>
      <c r="C651" s="89" t="s">
        <v>598</v>
      </c>
      <c r="D651" s="163" t="s">
        <v>375</v>
      </c>
      <c r="E651" s="163"/>
      <c r="F651" s="168" t="s">
        <v>315</v>
      </c>
      <c r="G651" s="163" t="s">
        <v>356</v>
      </c>
      <c r="H651" s="163">
        <v>3</v>
      </c>
      <c r="I651" s="164">
        <v>2899.7</v>
      </c>
      <c r="J651" s="164">
        <v>2636.4</v>
      </c>
      <c r="K651" s="164">
        <v>2071.8000000000002</v>
      </c>
      <c r="L651" s="165">
        <v>83</v>
      </c>
      <c r="M651" s="163" t="s">
        <v>268</v>
      </c>
      <c r="N651" s="163" t="s">
        <v>272</v>
      </c>
      <c r="O651" s="166" t="s">
        <v>1088</v>
      </c>
      <c r="P651" s="167">
        <v>100000</v>
      </c>
      <c r="Q651" s="167">
        <v>0</v>
      </c>
      <c r="R651" s="167">
        <v>0</v>
      </c>
      <c r="S651" s="167">
        <f t="shared" si="199"/>
        <v>100000</v>
      </c>
      <c r="T651" s="167">
        <f t="shared" si="202"/>
        <v>34.486326171672935</v>
      </c>
      <c r="U651" s="167">
        <v>34.486326171672935</v>
      </c>
      <c r="V651" s="149">
        <f t="shared" si="192"/>
        <v>0</v>
      </c>
      <c r="W651" s="149">
        <f t="shared" si="201"/>
        <v>34.486326171672935</v>
      </c>
      <c r="X651" s="149">
        <v>0</v>
      </c>
      <c r="Y651" s="368">
        <v>0</v>
      </c>
      <c r="Z651" s="368">
        <v>0</v>
      </c>
      <c r="AA651" s="368">
        <v>0</v>
      </c>
      <c r="AB651" s="368">
        <v>0</v>
      </c>
      <c r="AC651" s="368">
        <v>0</v>
      </c>
      <c r="AD651" s="368">
        <v>0</v>
      </c>
      <c r="AE651" s="368">
        <v>0</v>
      </c>
      <c r="AF651" s="396">
        <v>0</v>
      </c>
      <c r="AG651" s="368">
        <v>0</v>
      </c>
      <c r="AH651" s="396">
        <v>0</v>
      </c>
      <c r="AI651" s="368">
        <v>0</v>
      </c>
      <c r="AJ651" s="396">
        <v>0</v>
      </c>
      <c r="AK651" s="368">
        <v>0</v>
      </c>
      <c r="AL651" s="368">
        <v>0</v>
      </c>
      <c r="AM651" s="368">
        <v>0</v>
      </c>
      <c r="AN651" s="368"/>
      <c r="AO651" s="368">
        <v>0</v>
      </c>
    </row>
    <row r="652" spans="1:41" s="152" customFormat="1" ht="36" customHeight="1" x14ac:dyDescent="0.9">
      <c r="A652" s="152">
        <v>1</v>
      </c>
      <c r="B652" s="90">
        <f>SUBTOTAL(103,$A$554:A652)</f>
        <v>99</v>
      </c>
      <c r="C652" s="89" t="s">
        <v>599</v>
      </c>
      <c r="D652" s="163">
        <v>1959</v>
      </c>
      <c r="E652" s="163"/>
      <c r="F652" s="168" t="s">
        <v>270</v>
      </c>
      <c r="G652" s="163">
        <v>5</v>
      </c>
      <c r="H652" s="163">
        <v>3</v>
      </c>
      <c r="I652" s="164">
        <v>5255.6</v>
      </c>
      <c r="J652" s="164">
        <v>3803.1</v>
      </c>
      <c r="K652" s="164">
        <v>2288.9</v>
      </c>
      <c r="L652" s="165">
        <v>136</v>
      </c>
      <c r="M652" s="163" t="s">
        <v>268</v>
      </c>
      <c r="N652" s="163" t="s">
        <v>272</v>
      </c>
      <c r="O652" s="166" t="s">
        <v>1104</v>
      </c>
      <c r="P652" s="167">
        <v>100000</v>
      </c>
      <c r="Q652" s="167">
        <v>0</v>
      </c>
      <c r="R652" s="167">
        <v>0</v>
      </c>
      <c r="S652" s="167">
        <f t="shared" si="199"/>
        <v>100000</v>
      </c>
      <c r="T652" s="167">
        <f t="shared" si="202"/>
        <v>19.027323236167135</v>
      </c>
      <c r="U652" s="167">
        <v>19.027323236167135</v>
      </c>
      <c r="V652" s="149">
        <f t="shared" si="192"/>
        <v>0</v>
      </c>
      <c r="W652" s="149">
        <f t="shared" si="201"/>
        <v>19.027323236167135</v>
      </c>
      <c r="X652" s="149">
        <v>0</v>
      </c>
      <c r="Y652" s="368">
        <v>0</v>
      </c>
      <c r="Z652" s="368">
        <v>0</v>
      </c>
      <c r="AA652" s="368">
        <v>0</v>
      </c>
      <c r="AB652" s="368">
        <v>0</v>
      </c>
      <c r="AC652" s="368">
        <v>0</v>
      </c>
      <c r="AD652" s="368">
        <v>0</v>
      </c>
      <c r="AE652" s="368">
        <v>0</v>
      </c>
      <c r="AF652" s="396">
        <v>0</v>
      </c>
      <c r="AG652" s="368">
        <v>0</v>
      </c>
      <c r="AH652" s="396">
        <v>0</v>
      </c>
      <c r="AI652" s="368">
        <v>0</v>
      </c>
      <c r="AJ652" s="396">
        <v>0</v>
      </c>
      <c r="AK652" s="368">
        <v>0</v>
      </c>
      <c r="AL652" s="368">
        <v>0</v>
      </c>
      <c r="AM652" s="368">
        <v>0</v>
      </c>
      <c r="AN652" s="368"/>
      <c r="AO652" s="368">
        <v>0</v>
      </c>
    </row>
    <row r="653" spans="1:41" s="152" customFormat="1" ht="36" customHeight="1" x14ac:dyDescent="0.9">
      <c r="A653" s="152">
        <v>1</v>
      </c>
      <c r="B653" s="90">
        <f>SUBTOTAL(103,$A$554:A653)</f>
        <v>100</v>
      </c>
      <c r="C653" s="89" t="s">
        <v>600</v>
      </c>
      <c r="D653" s="163" t="s">
        <v>366</v>
      </c>
      <c r="E653" s="163"/>
      <c r="F653" s="168" t="s">
        <v>270</v>
      </c>
      <c r="G653" s="163" t="s">
        <v>356</v>
      </c>
      <c r="H653" s="163">
        <v>3</v>
      </c>
      <c r="I653" s="164">
        <v>2923.9</v>
      </c>
      <c r="J653" s="164">
        <v>2704.4</v>
      </c>
      <c r="K653" s="164">
        <v>1930.7</v>
      </c>
      <c r="L653" s="165">
        <v>105</v>
      </c>
      <c r="M653" s="163" t="s">
        <v>268</v>
      </c>
      <c r="N653" s="163" t="s">
        <v>272</v>
      </c>
      <c r="O653" s="166" t="s">
        <v>1673</v>
      </c>
      <c r="P653" s="167">
        <v>100000</v>
      </c>
      <c r="Q653" s="167">
        <v>0</v>
      </c>
      <c r="R653" s="167">
        <v>0</v>
      </c>
      <c r="S653" s="167">
        <f t="shared" si="199"/>
        <v>100000</v>
      </c>
      <c r="T653" s="167">
        <f t="shared" si="202"/>
        <v>34.200896063476861</v>
      </c>
      <c r="U653" s="167">
        <v>34.200896063476861</v>
      </c>
      <c r="V653" s="149">
        <f t="shared" si="192"/>
        <v>0</v>
      </c>
      <c r="W653" s="149">
        <f t="shared" si="201"/>
        <v>34.200896063476861</v>
      </c>
      <c r="X653" s="149">
        <v>0</v>
      </c>
      <c r="Y653" s="368">
        <v>0</v>
      </c>
      <c r="Z653" s="368">
        <v>0</v>
      </c>
      <c r="AA653" s="368">
        <v>0</v>
      </c>
      <c r="AB653" s="368">
        <v>0</v>
      </c>
      <c r="AC653" s="368">
        <v>0</v>
      </c>
      <c r="AD653" s="368">
        <v>0</v>
      </c>
      <c r="AE653" s="368">
        <v>0</v>
      </c>
      <c r="AF653" s="396">
        <v>0</v>
      </c>
      <c r="AG653" s="368">
        <v>0</v>
      </c>
      <c r="AH653" s="396">
        <v>0</v>
      </c>
      <c r="AI653" s="368">
        <v>0</v>
      </c>
      <c r="AJ653" s="396">
        <v>0</v>
      </c>
      <c r="AK653" s="368">
        <v>0</v>
      </c>
      <c r="AL653" s="368">
        <v>0</v>
      </c>
      <c r="AM653" s="368">
        <v>0</v>
      </c>
      <c r="AN653" s="368"/>
      <c r="AO653" s="368">
        <v>0</v>
      </c>
    </row>
    <row r="654" spans="1:41" s="152" customFormat="1" ht="36" customHeight="1" x14ac:dyDescent="0.9">
      <c r="A654" s="152">
        <v>1</v>
      </c>
      <c r="B654" s="90">
        <f>SUBTOTAL(103,$A$554:A654)</f>
        <v>101</v>
      </c>
      <c r="C654" s="89" t="s">
        <v>1723</v>
      </c>
      <c r="D654" s="163" t="s">
        <v>317</v>
      </c>
      <c r="E654" s="163"/>
      <c r="F654" s="168" t="s">
        <v>315</v>
      </c>
      <c r="G654" s="163" t="s">
        <v>356</v>
      </c>
      <c r="H654" s="163">
        <v>5</v>
      </c>
      <c r="I654" s="164">
        <v>4700.6000000000004</v>
      </c>
      <c r="J654" s="164">
        <v>3460</v>
      </c>
      <c r="K654" s="164">
        <v>3460</v>
      </c>
      <c r="L654" s="165">
        <v>133</v>
      </c>
      <c r="M654" s="163" t="s">
        <v>268</v>
      </c>
      <c r="N654" s="163" t="s">
        <v>272</v>
      </c>
      <c r="O654" s="166" t="s">
        <v>1674</v>
      </c>
      <c r="P654" s="167">
        <v>100000</v>
      </c>
      <c r="Q654" s="167">
        <v>0</v>
      </c>
      <c r="R654" s="167">
        <v>0</v>
      </c>
      <c r="S654" s="167">
        <f t="shared" si="199"/>
        <v>100000</v>
      </c>
      <c r="T654" s="167">
        <f t="shared" si="202"/>
        <v>21.273879930221671</v>
      </c>
      <c r="U654" s="167">
        <v>21.273879930221671</v>
      </c>
      <c r="V654" s="149">
        <f t="shared" si="192"/>
        <v>0</v>
      </c>
      <c r="W654" s="149">
        <f t="shared" si="201"/>
        <v>21.273879930221671</v>
      </c>
      <c r="X654" s="149">
        <v>0</v>
      </c>
      <c r="Y654" s="368">
        <v>0</v>
      </c>
      <c r="Z654" s="368">
        <v>0</v>
      </c>
      <c r="AA654" s="368">
        <v>0</v>
      </c>
      <c r="AB654" s="368">
        <v>0</v>
      </c>
      <c r="AC654" s="368">
        <v>0</v>
      </c>
      <c r="AD654" s="368">
        <v>0</v>
      </c>
      <c r="AE654" s="368">
        <v>0</v>
      </c>
      <c r="AF654" s="396">
        <v>0</v>
      </c>
      <c r="AG654" s="368">
        <v>0</v>
      </c>
      <c r="AH654" s="396">
        <v>0</v>
      </c>
      <c r="AI654" s="368">
        <v>0</v>
      </c>
      <c r="AJ654" s="396">
        <v>0</v>
      </c>
      <c r="AK654" s="368">
        <v>0</v>
      </c>
      <c r="AL654" s="368">
        <v>0</v>
      </c>
      <c r="AM654" s="368">
        <v>0</v>
      </c>
      <c r="AN654" s="368"/>
      <c r="AO654" s="368">
        <v>0</v>
      </c>
    </row>
    <row r="655" spans="1:41" s="152" customFormat="1" ht="36" customHeight="1" x14ac:dyDescent="0.9">
      <c r="A655" s="152">
        <v>1</v>
      </c>
      <c r="B655" s="90">
        <f>SUBTOTAL(103,$A$554:A655)</f>
        <v>102</v>
      </c>
      <c r="C655" s="89" t="s">
        <v>1724</v>
      </c>
      <c r="D655" s="163" t="s">
        <v>314</v>
      </c>
      <c r="E655" s="163"/>
      <c r="F655" s="168" t="s">
        <v>270</v>
      </c>
      <c r="G655" s="163" t="s">
        <v>356</v>
      </c>
      <c r="H655" s="163">
        <v>4</v>
      </c>
      <c r="I655" s="164">
        <v>2288.5</v>
      </c>
      <c r="J655" s="164">
        <v>2288.5</v>
      </c>
      <c r="K655" s="164">
        <v>2288.5</v>
      </c>
      <c r="L655" s="165">
        <v>98</v>
      </c>
      <c r="M655" s="163" t="s">
        <v>268</v>
      </c>
      <c r="N655" s="163" t="s">
        <v>272</v>
      </c>
      <c r="O655" s="166" t="s">
        <v>1661</v>
      </c>
      <c r="P655" s="167">
        <v>100000</v>
      </c>
      <c r="Q655" s="167">
        <v>0</v>
      </c>
      <c r="R655" s="167">
        <v>0</v>
      </c>
      <c r="S655" s="167">
        <f t="shared" si="199"/>
        <v>100000</v>
      </c>
      <c r="T655" s="167">
        <f t="shared" si="202"/>
        <v>43.696744592527857</v>
      </c>
      <c r="U655" s="167">
        <v>43.696744592527857</v>
      </c>
      <c r="V655" s="149">
        <f t="shared" si="192"/>
        <v>0</v>
      </c>
      <c r="W655" s="149">
        <f t="shared" si="201"/>
        <v>43.696744592527857</v>
      </c>
      <c r="X655" s="149">
        <v>0</v>
      </c>
      <c r="Y655" s="368">
        <v>0</v>
      </c>
      <c r="Z655" s="368">
        <v>0</v>
      </c>
      <c r="AA655" s="368">
        <v>0</v>
      </c>
      <c r="AB655" s="368">
        <v>0</v>
      </c>
      <c r="AC655" s="368">
        <v>0</v>
      </c>
      <c r="AD655" s="368">
        <v>0</v>
      </c>
      <c r="AE655" s="368">
        <v>0</v>
      </c>
      <c r="AF655" s="396">
        <v>0</v>
      </c>
      <c r="AG655" s="368">
        <v>0</v>
      </c>
      <c r="AH655" s="396">
        <v>0</v>
      </c>
      <c r="AI655" s="368">
        <v>0</v>
      </c>
      <c r="AJ655" s="396">
        <v>0</v>
      </c>
      <c r="AK655" s="368">
        <v>0</v>
      </c>
      <c r="AL655" s="368">
        <v>0</v>
      </c>
      <c r="AM655" s="368">
        <v>0</v>
      </c>
      <c r="AN655" s="368"/>
      <c r="AO655" s="368">
        <v>0</v>
      </c>
    </row>
    <row r="656" spans="1:41" s="152" customFormat="1" ht="36" customHeight="1" x14ac:dyDescent="0.9">
      <c r="A656" s="152">
        <v>1</v>
      </c>
      <c r="B656" s="90">
        <f>SUBTOTAL(103,$A$554:A656)</f>
        <v>103</v>
      </c>
      <c r="C656" s="89" t="s">
        <v>601</v>
      </c>
      <c r="D656" s="163">
        <v>1961</v>
      </c>
      <c r="E656" s="163"/>
      <c r="F656" s="168" t="s">
        <v>270</v>
      </c>
      <c r="G656" s="163">
        <v>5</v>
      </c>
      <c r="H656" s="163">
        <v>2</v>
      </c>
      <c r="I656" s="164">
        <v>1703.9</v>
      </c>
      <c r="J656" s="164">
        <v>1558.5</v>
      </c>
      <c r="K656" s="164">
        <v>1516.4</v>
      </c>
      <c r="L656" s="165">
        <v>58</v>
      </c>
      <c r="M656" s="163" t="s">
        <v>268</v>
      </c>
      <c r="N656" s="163" t="s">
        <v>272</v>
      </c>
      <c r="O656" s="166" t="s">
        <v>1412</v>
      </c>
      <c r="P656" s="167">
        <v>120000.25</v>
      </c>
      <c r="Q656" s="167">
        <v>0</v>
      </c>
      <c r="R656" s="167">
        <v>0</v>
      </c>
      <c r="S656" s="167">
        <f t="shared" si="199"/>
        <v>120000.25</v>
      </c>
      <c r="T656" s="167">
        <f t="shared" si="202"/>
        <v>70.426814953929224</v>
      </c>
      <c r="U656" s="167">
        <v>70.426814953929224</v>
      </c>
      <c r="V656" s="149">
        <f t="shared" si="192"/>
        <v>0</v>
      </c>
      <c r="W656" s="149">
        <f t="shared" si="201"/>
        <v>70.426814953929224</v>
      </c>
      <c r="X656" s="149">
        <v>0</v>
      </c>
      <c r="Y656" s="368">
        <v>0</v>
      </c>
      <c r="Z656" s="368">
        <v>0</v>
      </c>
      <c r="AA656" s="368">
        <v>0</v>
      </c>
      <c r="AB656" s="368">
        <v>0</v>
      </c>
      <c r="AC656" s="368">
        <v>0</v>
      </c>
      <c r="AD656" s="368">
        <v>0</v>
      </c>
      <c r="AE656" s="368">
        <v>0</v>
      </c>
      <c r="AF656" s="396">
        <v>0</v>
      </c>
      <c r="AG656" s="368">
        <v>0</v>
      </c>
      <c r="AH656" s="396">
        <v>0</v>
      </c>
      <c r="AI656" s="368">
        <v>0</v>
      </c>
      <c r="AJ656" s="396">
        <v>0</v>
      </c>
      <c r="AK656" s="368">
        <v>0</v>
      </c>
      <c r="AL656" s="368">
        <v>0</v>
      </c>
      <c r="AM656" s="368">
        <v>0</v>
      </c>
      <c r="AN656" s="368"/>
      <c r="AO656" s="368">
        <v>0</v>
      </c>
    </row>
    <row r="657" spans="1:41" s="152" customFormat="1" ht="36" customHeight="1" x14ac:dyDescent="0.9">
      <c r="A657" s="152">
        <v>1</v>
      </c>
      <c r="B657" s="90">
        <f>SUBTOTAL(103,$A$554:A657)</f>
        <v>104</v>
      </c>
      <c r="C657" s="89" t="s">
        <v>602</v>
      </c>
      <c r="D657" s="163" t="s">
        <v>382</v>
      </c>
      <c r="E657" s="163"/>
      <c r="F657" s="168" t="s">
        <v>315</v>
      </c>
      <c r="G657" s="163" t="s">
        <v>356</v>
      </c>
      <c r="H657" s="163">
        <v>3</v>
      </c>
      <c r="I657" s="164">
        <v>2065.4</v>
      </c>
      <c r="J657" s="164">
        <v>1169.5</v>
      </c>
      <c r="K657" s="164">
        <v>1169.5</v>
      </c>
      <c r="L657" s="165">
        <v>91</v>
      </c>
      <c r="M657" s="163" t="s">
        <v>268</v>
      </c>
      <c r="N657" s="163" t="s">
        <v>272</v>
      </c>
      <c r="O657" s="166" t="s">
        <v>1668</v>
      </c>
      <c r="P657" s="167">
        <v>100000</v>
      </c>
      <c r="Q657" s="167">
        <v>0</v>
      </c>
      <c r="R657" s="167">
        <v>0</v>
      </c>
      <c r="S657" s="167">
        <f t="shared" si="199"/>
        <v>100000</v>
      </c>
      <c r="T657" s="167">
        <f t="shared" si="202"/>
        <v>48.416771569671731</v>
      </c>
      <c r="U657" s="167">
        <v>48.416771569671731</v>
      </c>
      <c r="V657" s="149">
        <f t="shared" si="192"/>
        <v>0</v>
      </c>
      <c r="W657" s="149">
        <f t="shared" si="201"/>
        <v>48.416771569671731</v>
      </c>
      <c r="X657" s="149">
        <v>0</v>
      </c>
      <c r="Y657" s="368">
        <v>0</v>
      </c>
      <c r="Z657" s="368">
        <v>0</v>
      </c>
      <c r="AA657" s="368">
        <v>0</v>
      </c>
      <c r="AB657" s="368">
        <v>0</v>
      </c>
      <c r="AC657" s="368">
        <v>0</v>
      </c>
      <c r="AD657" s="368">
        <v>0</v>
      </c>
      <c r="AE657" s="368">
        <v>0</v>
      </c>
      <c r="AF657" s="396">
        <v>0</v>
      </c>
      <c r="AG657" s="368">
        <v>0</v>
      </c>
      <c r="AH657" s="396">
        <v>0</v>
      </c>
      <c r="AI657" s="368">
        <v>0</v>
      </c>
      <c r="AJ657" s="396">
        <v>0</v>
      </c>
      <c r="AK657" s="368">
        <v>0</v>
      </c>
      <c r="AL657" s="368">
        <v>0</v>
      </c>
      <c r="AM657" s="368">
        <v>0</v>
      </c>
      <c r="AN657" s="368"/>
      <c r="AO657" s="368">
        <v>0</v>
      </c>
    </row>
    <row r="658" spans="1:41" s="152" customFormat="1" ht="36" customHeight="1" x14ac:dyDescent="0.9">
      <c r="A658" s="152">
        <v>1</v>
      </c>
      <c r="B658" s="90">
        <f>SUBTOTAL(103,$A$554:A658)</f>
        <v>105</v>
      </c>
      <c r="C658" s="89" t="s">
        <v>603</v>
      </c>
      <c r="D658" s="163">
        <v>1972</v>
      </c>
      <c r="E658" s="163"/>
      <c r="F658" s="168" t="s">
        <v>270</v>
      </c>
      <c r="G658" s="163">
        <v>9</v>
      </c>
      <c r="H658" s="163">
        <v>1</v>
      </c>
      <c r="I658" s="164">
        <v>1896.4</v>
      </c>
      <c r="J658" s="164">
        <v>1896.4</v>
      </c>
      <c r="K658" s="164">
        <v>1859.1</v>
      </c>
      <c r="L658" s="165">
        <v>135</v>
      </c>
      <c r="M658" s="163" t="s">
        <v>268</v>
      </c>
      <c r="N658" s="163" t="s">
        <v>272</v>
      </c>
      <c r="O658" s="166" t="s">
        <v>1400</v>
      </c>
      <c r="P658" s="167">
        <v>100000</v>
      </c>
      <c r="Q658" s="167">
        <v>0</v>
      </c>
      <c r="R658" s="167">
        <v>0</v>
      </c>
      <c r="S658" s="167">
        <f t="shared" si="199"/>
        <v>100000</v>
      </c>
      <c r="T658" s="167">
        <f t="shared" si="202"/>
        <v>52.731491246572453</v>
      </c>
      <c r="U658" s="167">
        <v>52.731491246572453</v>
      </c>
      <c r="V658" s="149">
        <f t="shared" si="192"/>
        <v>0</v>
      </c>
      <c r="W658" s="149">
        <f t="shared" si="201"/>
        <v>52.731491246572453</v>
      </c>
      <c r="X658" s="149">
        <v>0</v>
      </c>
      <c r="Y658" s="368">
        <v>0</v>
      </c>
      <c r="Z658" s="368">
        <v>0</v>
      </c>
      <c r="AA658" s="368">
        <v>0</v>
      </c>
      <c r="AB658" s="368">
        <v>0</v>
      </c>
      <c r="AC658" s="368">
        <v>0</v>
      </c>
      <c r="AD658" s="368">
        <v>0</v>
      </c>
      <c r="AE658" s="368">
        <v>0</v>
      </c>
      <c r="AF658" s="396">
        <v>0</v>
      </c>
      <c r="AG658" s="368">
        <v>0</v>
      </c>
      <c r="AH658" s="396">
        <v>0</v>
      </c>
      <c r="AI658" s="368">
        <v>0</v>
      </c>
      <c r="AJ658" s="396">
        <v>0</v>
      </c>
      <c r="AK658" s="368">
        <v>0</v>
      </c>
      <c r="AL658" s="368">
        <v>0</v>
      </c>
      <c r="AM658" s="368">
        <v>0</v>
      </c>
      <c r="AN658" s="368"/>
      <c r="AO658" s="368">
        <v>0</v>
      </c>
    </row>
    <row r="659" spans="1:41" s="152" customFormat="1" ht="36" customHeight="1" x14ac:dyDescent="0.9">
      <c r="A659" s="152">
        <v>1</v>
      </c>
      <c r="B659" s="90">
        <f>SUBTOTAL(103,$A$554:A659)</f>
        <v>106</v>
      </c>
      <c r="C659" s="89" t="s">
        <v>604</v>
      </c>
      <c r="D659" s="163" t="s">
        <v>320</v>
      </c>
      <c r="E659" s="163"/>
      <c r="F659" s="168" t="s">
        <v>315</v>
      </c>
      <c r="G659" s="163" t="s">
        <v>356</v>
      </c>
      <c r="H659" s="163">
        <v>4</v>
      </c>
      <c r="I659" s="164">
        <v>3873.3</v>
      </c>
      <c r="J659" s="164">
        <v>3605.48</v>
      </c>
      <c r="K659" s="164">
        <v>3540.2</v>
      </c>
      <c r="L659" s="165">
        <v>165</v>
      </c>
      <c r="M659" s="163" t="s">
        <v>268</v>
      </c>
      <c r="N659" s="163" t="s">
        <v>272</v>
      </c>
      <c r="O659" s="166" t="s">
        <v>1088</v>
      </c>
      <c r="P659" s="167">
        <v>100000</v>
      </c>
      <c r="Q659" s="167">
        <v>0</v>
      </c>
      <c r="R659" s="167">
        <v>0</v>
      </c>
      <c r="S659" s="167">
        <f t="shared" si="199"/>
        <v>100000</v>
      </c>
      <c r="T659" s="167">
        <f t="shared" si="202"/>
        <v>25.817778122014818</v>
      </c>
      <c r="U659" s="167">
        <v>25.817778122014818</v>
      </c>
      <c r="V659" s="149">
        <f t="shared" si="192"/>
        <v>0</v>
      </c>
      <c r="W659" s="149">
        <f t="shared" si="201"/>
        <v>25.817778122014818</v>
      </c>
      <c r="X659" s="149">
        <v>0</v>
      </c>
      <c r="Y659" s="368">
        <v>0</v>
      </c>
      <c r="Z659" s="368">
        <v>0</v>
      </c>
      <c r="AA659" s="368">
        <v>0</v>
      </c>
      <c r="AB659" s="368">
        <v>0</v>
      </c>
      <c r="AC659" s="368">
        <v>0</v>
      </c>
      <c r="AD659" s="368">
        <v>0</v>
      </c>
      <c r="AE659" s="368">
        <v>0</v>
      </c>
      <c r="AF659" s="396">
        <v>0</v>
      </c>
      <c r="AG659" s="368">
        <v>0</v>
      </c>
      <c r="AH659" s="396">
        <v>0</v>
      </c>
      <c r="AI659" s="368">
        <v>0</v>
      </c>
      <c r="AJ659" s="396">
        <v>0</v>
      </c>
      <c r="AK659" s="368">
        <v>0</v>
      </c>
      <c r="AL659" s="368">
        <v>0</v>
      </c>
      <c r="AM659" s="368">
        <v>0</v>
      </c>
      <c r="AN659" s="368"/>
      <c r="AO659" s="368">
        <v>0</v>
      </c>
    </row>
    <row r="660" spans="1:41" s="152" customFormat="1" ht="36" customHeight="1" x14ac:dyDescent="0.9">
      <c r="A660" s="152">
        <v>1</v>
      </c>
      <c r="B660" s="90">
        <f>SUBTOTAL(103,$A$554:A660)</f>
        <v>107</v>
      </c>
      <c r="C660" s="89" t="s">
        <v>605</v>
      </c>
      <c r="D660" s="163" t="s">
        <v>383</v>
      </c>
      <c r="E660" s="163"/>
      <c r="F660" s="168" t="s">
        <v>315</v>
      </c>
      <c r="G660" s="163" t="s">
        <v>356</v>
      </c>
      <c r="H660" s="163">
        <v>4</v>
      </c>
      <c r="I660" s="164">
        <v>3881.3</v>
      </c>
      <c r="J660" s="164">
        <v>3615.9</v>
      </c>
      <c r="K660" s="164">
        <v>3551.2</v>
      </c>
      <c r="L660" s="165">
        <v>182</v>
      </c>
      <c r="M660" s="163" t="s">
        <v>268</v>
      </c>
      <c r="N660" s="163" t="s">
        <v>272</v>
      </c>
      <c r="O660" s="166" t="s">
        <v>1088</v>
      </c>
      <c r="P660" s="167">
        <v>100000</v>
      </c>
      <c r="Q660" s="167">
        <v>0</v>
      </c>
      <c r="R660" s="167">
        <v>0</v>
      </c>
      <c r="S660" s="167">
        <f t="shared" si="199"/>
        <v>100000</v>
      </c>
      <c r="T660" s="167">
        <f t="shared" si="202"/>
        <v>25.764563419472857</v>
      </c>
      <c r="U660" s="167">
        <v>25.764563419472857</v>
      </c>
      <c r="V660" s="149">
        <f t="shared" si="192"/>
        <v>0</v>
      </c>
      <c r="W660" s="149">
        <f t="shared" si="201"/>
        <v>25.764563419472857</v>
      </c>
      <c r="X660" s="149">
        <v>0</v>
      </c>
      <c r="Y660" s="368">
        <v>0</v>
      </c>
      <c r="Z660" s="368">
        <v>0</v>
      </c>
      <c r="AA660" s="368">
        <v>0</v>
      </c>
      <c r="AB660" s="368">
        <v>0</v>
      </c>
      <c r="AC660" s="368">
        <v>0</v>
      </c>
      <c r="AD660" s="368">
        <v>0</v>
      </c>
      <c r="AE660" s="368">
        <v>0</v>
      </c>
      <c r="AF660" s="396">
        <v>0</v>
      </c>
      <c r="AG660" s="368">
        <v>0</v>
      </c>
      <c r="AH660" s="396">
        <v>0</v>
      </c>
      <c r="AI660" s="368">
        <v>0</v>
      </c>
      <c r="AJ660" s="396">
        <v>0</v>
      </c>
      <c r="AK660" s="368">
        <v>0</v>
      </c>
      <c r="AL660" s="368">
        <v>0</v>
      </c>
      <c r="AM660" s="368">
        <v>0</v>
      </c>
      <c r="AN660" s="368"/>
      <c r="AO660" s="368">
        <v>0</v>
      </c>
    </row>
    <row r="661" spans="1:41" s="152" customFormat="1" ht="36" customHeight="1" x14ac:dyDescent="0.9">
      <c r="A661" s="152">
        <v>1</v>
      </c>
      <c r="B661" s="90">
        <f>SUBTOTAL(103,$A$554:A661)</f>
        <v>108</v>
      </c>
      <c r="C661" s="89" t="s">
        <v>606</v>
      </c>
      <c r="D661" s="163" t="s">
        <v>355</v>
      </c>
      <c r="E661" s="163"/>
      <c r="F661" s="168" t="s">
        <v>270</v>
      </c>
      <c r="G661" s="163" t="s">
        <v>362</v>
      </c>
      <c r="H661" s="163">
        <v>1</v>
      </c>
      <c r="I661" s="164">
        <v>1835.8</v>
      </c>
      <c r="J661" s="164">
        <v>1835.8</v>
      </c>
      <c r="K661" s="164">
        <v>1783.4</v>
      </c>
      <c r="L661" s="165">
        <v>76</v>
      </c>
      <c r="M661" s="163" t="s">
        <v>268</v>
      </c>
      <c r="N661" s="163" t="s">
        <v>272</v>
      </c>
      <c r="O661" s="166" t="s">
        <v>1661</v>
      </c>
      <c r="P661" s="167">
        <v>100000</v>
      </c>
      <c r="Q661" s="167">
        <v>0</v>
      </c>
      <c r="R661" s="167">
        <v>0</v>
      </c>
      <c r="S661" s="167">
        <f t="shared" si="199"/>
        <v>100000</v>
      </c>
      <c r="T661" s="167">
        <f t="shared" si="202"/>
        <v>54.472164723826126</v>
      </c>
      <c r="U661" s="167">
        <v>54.472164723826126</v>
      </c>
      <c r="V661" s="149">
        <f t="shared" ref="V661:V683" si="203">U661-T661</f>
        <v>0</v>
      </c>
      <c r="W661" s="149">
        <f t="shared" si="201"/>
        <v>54.472164723826126</v>
      </c>
      <c r="X661" s="149">
        <v>0</v>
      </c>
      <c r="Y661" s="368">
        <v>0</v>
      </c>
      <c r="Z661" s="368">
        <v>0</v>
      </c>
      <c r="AA661" s="368">
        <v>0</v>
      </c>
      <c r="AB661" s="368">
        <v>0</v>
      </c>
      <c r="AC661" s="368">
        <v>0</v>
      </c>
      <c r="AD661" s="368">
        <v>0</v>
      </c>
      <c r="AE661" s="368">
        <v>0</v>
      </c>
      <c r="AF661" s="396">
        <v>0</v>
      </c>
      <c r="AG661" s="368">
        <v>0</v>
      </c>
      <c r="AH661" s="396">
        <v>0</v>
      </c>
      <c r="AI661" s="368">
        <v>0</v>
      </c>
      <c r="AJ661" s="396">
        <v>0</v>
      </c>
      <c r="AK661" s="368">
        <v>0</v>
      </c>
      <c r="AL661" s="368">
        <v>0</v>
      </c>
      <c r="AM661" s="368">
        <v>0</v>
      </c>
      <c r="AN661" s="368"/>
      <c r="AO661" s="368">
        <v>0</v>
      </c>
    </row>
    <row r="662" spans="1:41" s="152" customFormat="1" ht="36" customHeight="1" x14ac:dyDescent="0.9">
      <c r="A662" s="152">
        <v>1</v>
      </c>
      <c r="B662" s="90">
        <f>SUBTOTAL(103,$A$554:A662)</f>
        <v>109</v>
      </c>
      <c r="C662" s="89" t="s">
        <v>607</v>
      </c>
      <c r="D662" s="163" t="s">
        <v>384</v>
      </c>
      <c r="E662" s="163"/>
      <c r="F662" s="168" t="s">
        <v>315</v>
      </c>
      <c r="G662" s="163" t="s">
        <v>356</v>
      </c>
      <c r="H662" s="163">
        <v>4</v>
      </c>
      <c r="I662" s="164">
        <v>3888.9</v>
      </c>
      <c r="J662" s="164">
        <v>3557.1</v>
      </c>
      <c r="K662" s="164">
        <v>3511.4</v>
      </c>
      <c r="L662" s="165">
        <v>169</v>
      </c>
      <c r="M662" s="163" t="s">
        <v>268</v>
      </c>
      <c r="N662" s="163" t="s">
        <v>272</v>
      </c>
      <c r="O662" s="166" t="s">
        <v>1088</v>
      </c>
      <c r="P662" s="167">
        <v>100000</v>
      </c>
      <c r="Q662" s="167">
        <v>0</v>
      </c>
      <c r="R662" s="167">
        <v>0</v>
      </c>
      <c r="S662" s="167">
        <f t="shared" si="199"/>
        <v>100000</v>
      </c>
      <c r="T662" s="167">
        <f t="shared" si="202"/>
        <v>25.71421224510787</v>
      </c>
      <c r="U662" s="167">
        <v>25.71421224510787</v>
      </c>
      <c r="V662" s="149">
        <f t="shared" si="203"/>
        <v>0</v>
      </c>
      <c r="W662" s="149">
        <f t="shared" si="201"/>
        <v>25.71421224510787</v>
      </c>
      <c r="X662" s="149">
        <v>0</v>
      </c>
      <c r="Y662" s="368">
        <v>0</v>
      </c>
      <c r="Z662" s="368">
        <v>0</v>
      </c>
      <c r="AA662" s="368">
        <v>0</v>
      </c>
      <c r="AB662" s="368">
        <v>0</v>
      </c>
      <c r="AC662" s="368">
        <v>0</v>
      </c>
      <c r="AD662" s="368">
        <v>0</v>
      </c>
      <c r="AE662" s="368">
        <v>0</v>
      </c>
      <c r="AF662" s="396">
        <v>0</v>
      </c>
      <c r="AG662" s="368">
        <v>0</v>
      </c>
      <c r="AH662" s="396">
        <v>0</v>
      </c>
      <c r="AI662" s="368">
        <v>0</v>
      </c>
      <c r="AJ662" s="396">
        <v>0</v>
      </c>
      <c r="AK662" s="368">
        <v>0</v>
      </c>
      <c r="AL662" s="368">
        <v>0</v>
      </c>
      <c r="AM662" s="368">
        <v>0</v>
      </c>
      <c r="AN662" s="368"/>
      <c r="AO662" s="368">
        <v>0</v>
      </c>
    </row>
    <row r="663" spans="1:41" s="152" customFormat="1" ht="36" customHeight="1" x14ac:dyDescent="0.9">
      <c r="A663" s="152">
        <v>1</v>
      </c>
      <c r="B663" s="90">
        <f>SUBTOTAL(103,$A$554:A663)</f>
        <v>110</v>
      </c>
      <c r="C663" s="89" t="s">
        <v>608</v>
      </c>
      <c r="D663" s="163" t="s">
        <v>379</v>
      </c>
      <c r="E663" s="163"/>
      <c r="F663" s="168" t="s">
        <v>270</v>
      </c>
      <c r="G663" s="163" t="s">
        <v>356</v>
      </c>
      <c r="H663" s="163">
        <v>3</v>
      </c>
      <c r="I663" s="164">
        <v>2600.9</v>
      </c>
      <c r="J663" s="164">
        <v>2217.3000000000002</v>
      </c>
      <c r="K663" s="164">
        <v>2217.3000000000002</v>
      </c>
      <c r="L663" s="165">
        <v>72</v>
      </c>
      <c r="M663" s="163" t="s">
        <v>268</v>
      </c>
      <c r="N663" s="163" t="s">
        <v>272</v>
      </c>
      <c r="O663" s="166" t="s">
        <v>1398</v>
      </c>
      <c r="P663" s="167">
        <v>100000</v>
      </c>
      <c r="Q663" s="167">
        <v>0</v>
      </c>
      <c r="R663" s="167">
        <v>0</v>
      </c>
      <c r="S663" s="167">
        <f t="shared" si="199"/>
        <v>100000</v>
      </c>
      <c r="T663" s="167">
        <f t="shared" si="202"/>
        <v>38.448229459033413</v>
      </c>
      <c r="U663" s="167">
        <v>38.448229459033413</v>
      </c>
      <c r="V663" s="149">
        <f t="shared" si="203"/>
        <v>0</v>
      </c>
      <c r="W663" s="149">
        <f t="shared" si="201"/>
        <v>38.448229459033413</v>
      </c>
      <c r="X663" s="149">
        <v>0</v>
      </c>
      <c r="Y663" s="368">
        <v>0</v>
      </c>
      <c r="Z663" s="368">
        <v>0</v>
      </c>
      <c r="AA663" s="368">
        <v>0</v>
      </c>
      <c r="AB663" s="368">
        <v>0</v>
      </c>
      <c r="AC663" s="368">
        <v>0</v>
      </c>
      <c r="AD663" s="368">
        <v>0</v>
      </c>
      <c r="AE663" s="368">
        <v>0</v>
      </c>
      <c r="AF663" s="396">
        <v>0</v>
      </c>
      <c r="AG663" s="368">
        <v>0</v>
      </c>
      <c r="AH663" s="396">
        <v>0</v>
      </c>
      <c r="AI663" s="368">
        <v>0</v>
      </c>
      <c r="AJ663" s="396">
        <v>0</v>
      </c>
      <c r="AK663" s="368">
        <v>0</v>
      </c>
      <c r="AL663" s="368">
        <v>0</v>
      </c>
      <c r="AM663" s="368">
        <v>0</v>
      </c>
      <c r="AN663" s="368"/>
      <c r="AO663" s="368">
        <v>0</v>
      </c>
    </row>
    <row r="664" spans="1:41" s="152" customFormat="1" ht="36" customHeight="1" x14ac:dyDescent="0.9">
      <c r="A664" s="152">
        <v>1</v>
      </c>
      <c r="B664" s="90">
        <f>SUBTOTAL(103,$A$554:A664)</f>
        <v>111</v>
      </c>
      <c r="C664" s="89" t="s">
        <v>609</v>
      </c>
      <c r="D664" s="163" t="s">
        <v>374</v>
      </c>
      <c r="E664" s="163"/>
      <c r="F664" s="168" t="s">
        <v>270</v>
      </c>
      <c r="G664" s="163" t="s">
        <v>356</v>
      </c>
      <c r="H664" s="163">
        <v>1</v>
      </c>
      <c r="I664" s="164">
        <v>1129.8</v>
      </c>
      <c r="J664" s="164">
        <v>1033.3</v>
      </c>
      <c r="K664" s="164">
        <v>841.7</v>
      </c>
      <c r="L664" s="165">
        <v>41</v>
      </c>
      <c r="M664" s="163" t="s">
        <v>268</v>
      </c>
      <c r="N664" s="163" t="s">
        <v>272</v>
      </c>
      <c r="O664" s="166" t="s">
        <v>1412</v>
      </c>
      <c r="P664" s="167">
        <v>70000</v>
      </c>
      <c r="Q664" s="167">
        <v>0</v>
      </c>
      <c r="R664" s="167">
        <v>0</v>
      </c>
      <c r="S664" s="167">
        <f t="shared" si="199"/>
        <v>70000</v>
      </c>
      <c r="T664" s="167">
        <f t="shared" si="202"/>
        <v>61.957868649318463</v>
      </c>
      <c r="U664" s="167">
        <v>61.957868649318463</v>
      </c>
      <c r="V664" s="149">
        <f t="shared" si="203"/>
        <v>0</v>
      </c>
      <c r="W664" s="149">
        <f t="shared" si="201"/>
        <v>61.957868649318463</v>
      </c>
      <c r="X664" s="149">
        <v>0</v>
      </c>
      <c r="Y664" s="368">
        <v>0</v>
      </c>
      <c r="Z664" s="368">
        <v>0</v>
      </c>
      <c r="AA664" s="368">
        <v>0</v>
      </c>
      <c r="AB664" s="368">
        <v>0</v>
      </c>
      <c r="AC664" s="368">
        <v>0</v>
      </c>
      <c r="AD664" s="368">
        <v>0</v>
      </c>
      <c r="AE664" s="368">
        <v>0</v>
      </c>
      <c r="AF664" s="396">
        <v>0</v>
      </c>
      <c r="AG664" s="368">
        <v>0</v>
      </c>
      <c r="AH664" s="396">
        <v>0</v>
      </c>
      <c r="AI664" s="368">
        <v>0</v>
      </c>
      <c r="AJ664" s="396">
        <v>0</v>
      </c>
      <c r="AK664" s="368">
        <v>0</v>
      </c>
      <c r="AL664" s="368">
        <v>0</v>
      </c>
      <c r="AM664" s="368">
        <v>0</v>
      </c>
      <c r="AN664" s="368"/>
      <c r="AO664" s="368">
        <v>0</v>
      </c>
    </row>
    <row r="665" spans="1:41" s="152" customFormat="1" ht="36" customHeight="1" x14ac:dyDescent="0.9">
      <c r="A665" s="152">
        <v>1</v>
      </c>
      <c r="B665" s="90">
        <f>SUBTOTAL(103,$A$554:A665)</f>
        <v>112</v>
      </c>
      <c r="C665" s="89" t="s">
        <v>610</v>
      </c>
      <c r="D665" s="163" t="s">
        <v>313</v>
      </c>
      <c r="E665" s="163"/>
      <c r="F665" s="168" t="s">
        <v>315</v>
      </c>
      <c r="G665" s="163" t="s">
        <v>356</v>
      </c>
      <c r="H665" s="163">
        <v>4</v>
      </c>
      <c r="I665" s="164">
        <v>4027.5</v>
      </c>
      <c r="J665" s="164">
        <v>3035.5</v>
      </c>
      <c r="K665" s="164">
        <v>3037.2</v>
      </c>
      <c r="L665" s="165">
        <v>135</v>
      </c>
      <c r="M665" s="163" t="s">
        <v>268</v>
      </c>
      <c r="N665" s="163" t="s">
        <v>272</v>
      </c>
      <c r="O665" s="166" t="s">
        <v>1337</v>
      </c>
      <c r="P665" s="167">
        <v>100000</v>
      </c>
      <c r="Q665" s="167">
        <v>0</v>
      </c>
      <c r="R665" s="167">
        <v>0</v>
      </c>
      <c r="S665" s="167">
        <f t="shared" si="199"/>
        <v>100000</v>
      </c>
      <c r="T665" s="167">
        <f t="shared" si="202"/>
        <v>24.829298572315331</v>
      </c>
      <c r="U665" s="167">
        <v>24.829298572315331</v>
      </c>
      <c r="V665" s="149">
        <f t="shared" si="203"/>
        <v>0</v>
      </c>
      <c r="W665" s="149">
        <f t="shared" si="201"/>
        <v>24.829298572315331</v>
      </c>
      <c r="X665" s="149">
        <v>0</v>
      </c>
      <c r="Y665" s="368">
        <v>0</v>
      </c>
      <c r="Z665" s="368">
        <v>0</v>
      </c>
      <c r="AA665" s="368">
        <v>0</v>
      </c>
      <c r="AB665" s="368">
        <v>0</v>
      </c>
      <c r="AC665" s="368">
        <v>0</v>
      </c>
      <c r="AD665" s="368">
        <v>0</v>
      </c>
      <c r="AE665" s="368">
        <v>0</v>
      </c>
      <c r="AF665" s="396">
        <v>0</v>
      </c>
      <c r="AG665" s="368">
        <v>0</v>
      </c>
      <c r="AH665" s="396">
        <v>0</v>
      </c>
      <c r="AI665" s="368">
        <v>0</v>
      </c>
      <c r="AJ665" s="396">
        <v>0</v>
      </c>
      <c r="AK665" s="368">
        <v>0</v>
      </c>
      <c r="AL665" s="368">
        <v>0</v>
      </c>
      <c r="AM665" s="368">
        <v>0</v>
      </c>
      <c r="AN665" s="368"/>
      <c r="AO665" s="368">
        <v>0</v>
      </c>
    </row>
    <row r="666" spans="1:41" s="152" customFormat="1" ht="36" customHeight="1" x14ac:dyDescent="0.9">
      <c r="A666" s="152">
        <v>1</v>
      </c>
      <c r="B666" s="90">
        <f>SUBTOTAL(103,$A$554:A666)</f>
        <v>113</v>
      </c>
      <c r="C666" s="89" t="s">
        <v>1397</v>
      </c>
      <c r="D666" s="163">
        <v>1976</v>
      </c>
      <c r="E666" s="163"/>
      <c r="F666" s="168" t="s">
        <v>270</v>
      </c>
      <c r="G666" s="163">
        <v>5</v>
      </c>
      <c r="H666" s="163">
        <v>10</v>
      </c>
      <c r="I666" s="164">
        <v>8213.9</v>
      </c>
      <c r="J666" s="164">
        <v>7350.9</v>
      </c>
      <c r="K666" s="164">
        <v>6661.1</v>
      </c>
      <c r="L666" s="165">
        <v>418</v>
      </c>
      <c r="M666" s="163" t="s">
        <v>268</v>
      </c>
      <c r="N666" s="163" t="s">
        <v>272</v>
      </c>
      <c r="O666" s="166" t="s">
        <v>1414</v>
      </c>
      <c r="P666" s="167">
        <v>163844.70000000001</v>
      </c>
      <c r="Q666" s="167">
        <v>0</v>
      </c>
      <c r="R666" s="167">
        <v>0</v>
      </c>
      <c r="S666" s="167">
        <f t="shared" si="199"/>
        <v>163844.70000000001</v>
      </c>
      <c r="T666" s="167">
        <f t="shared" si="202"/>
        <v>19.947247957730191</v>
      </c>
      <c r="U666" s="167">
        <v>19.947247957730191</v>
      </c>
      <c r="V666" s="149">
        <f t="shared" si="203"/>
        <v>0</v>
      </c>
      <c r="W666" s="149">
        <f t="shared" si="201"/>
        <v>19.947247957730191</v>
      </c>
      <c r="X666" s="149">
        <v>0</v>
      </c>
      <c r="Y666" s="368">
        <v>0</v>
      </c>
      <c r="Z666" s="368">
        <v>0</v>
      </c>
      <c r="AA666" s="368">
        <v>0</v>
      </c>
      <c r="AB666" s="368">
        <v>0</v>
      </c>
      <c r="AC666" s="368">
        <v>0</v>
      </c>
      <c r="AD666" s="368">
        <v>0</v>
      </c>
      <c r="AE666" s="368">
        <v>0</v>
      </c>
      <c r="AF666" s="396">
        <v>0</v>
      </c>
      <c r="AG666" s="368">
        <v>0</v>
      </c>
      <c r="AH666" s="396">
        <v>0</v>
      </c>
      <c r="AI666" s="368">
        <v>0</v>
      </c>
      <c r="AJ666" s="396">
        <v>0</v>
      </c>
      <c r="AK666" s="368">
        <v>0</v>
      </c>
      <c r="AL666" s="368">
        <v>0</v>
      </c>
      <c r="AM666" s="368">
        <v>0</v>
      </c>
      <c r="AN666" s="368"/>
      <c r="AO666" s="368">
        <v>0</v>
      </c>
    </row>
    <row r="667" spans="1:41" s="152" customFormat="1" ht="36" customHeight="1" x14ac:dyDescent="0.9">
      <c r="A667" s="152">
        <v>1</v>
      </c>
      <c r="B667" s="90">
        <f>SUBTOTAL(103,$A$554:A667)</f>
        <v>114</v>
      </c>
      <c r="C667" s="89" t="s">
        <v>1657</v>
      </c>
      <c r="D667" s="163">
        <v>1970</v>
      </c>
      <c r="E667" s="163"/>
      <c r="F667" s="168" t="s">
        <v>270</v>
      </c>
      <c r="G667" s="163">
        <v>5</v>
      </c>
      <c r="H667" s="163">
        <v>6</v>
      </c>
      <c r="I667" s="164">
        <v>4831</v>
      </c>
      <c r="J667" s="164">
        <v>4434.8999999999996</v>
      </c>
      <c r="K667" s="164">
        <v>4190</v>
      </c>
      <c r="L667" s="165">
        <v>250</v>
      </c>
      <c r="M667" s="163" t="s">
        <v>268</v>
      </c>
      <c r="N667" s="163" t="s">
        <v>272</v>
      </c>
      <c r="O667" s="166" t="s">
        <v>1104</v>
      </c>
      <c r="P667" s="167">
        <v>150000</v>
      </c>
      <c r="Q667" s="167">
        <v>0</v>
      </c>
      <c r="R667" s="167">
        <v>0</v>
      </c>
      <c r="S667" s="167">
        <f t="shared" si="199"/>
        <v>150000</v>
      </c>
      <c r="T667" s="167">
        <f t="shared" si="202"/>
        <v>31.049472158973298</v>
      </c>
      <c r="U667" s="167">
        <v>31.049472158973298</v>
      </c>
      <c r="V667" s="149">
        <f t="shared" si="203"/>
        <v>0</v>
      </c>
      <c r="W667" s="149">
        <f t="shared" si="201"/>
        <v>31.049472158973298</v>
      </c>
      <c r="X667" s="149">
        <v>0</v>
      </c>
      <c r="Y667" s="368">
        <v>0</v>
      </c>
      <c r="Z667" s="368">
        <v>0</v>
      </c>
      <c r="AA667" s="368">
        <v>0</v>
      </c>
      <c r="AB667" s="368">
        <v>0</v>
      </c>
      <c r="AC667" s="368">
        <v>0</v>
      </c>
      <c r="AD667" s="368">
        <v>0</v>
      </c>
      <c r="AE667" s="368">
        <v>0</v>
      </c>
      <c r="AF667" s="396">
        <v>0</v>
      </c>
      <c r="AG667" s="368">
        <v>0</v>
      </c>
      <c r="AH667" s="396">
        <v>0</v>
      </c>
      <c r="AI667" s="368">
        <v>0</v>
      </c>
      <c r="AJ667" s="396">
        <v>0</v>
      </c>
      <c r="AK667" s="368">
        <v>0</v>
      </c>
      <c r="AL667" s="368">
        <v>0</v>
      </c>
      <c r="AM667" s="368">
        <v>0</v>
      </c>
      <c r="AN667" s="368"/>
      <c r="AO667" s="368">
        <v>0</v>
      </c>
    </row>
    <row r="668" spans="1:41" s="152" customFormat="1" ht="36" customHeight="1" x14ac:dyDescent="0.9">
      <c r="A668" s="152">
        <v>1</v>
      </c>
      <c r="B668" s="90">
        <f>SUBTOTAL(103,$A$554:A668)</f>
        <v>115</v>
      </c>
      <c r="C668" s="89" t="s">
        <v>1658</v>
      </c>
      <c r="D668" s="163">
        <v>1988</v>
      </c>
      <c r="E668" s="163"/>
      <c r="F668" s="168" t="s">
        <v>315</v>
      </c>
      <c r="G668" s="163">
        <v>5</v>
      </c>
      <c r="H668" s="163">
        <v>3</v>
      </c>
      <c r="I668" s="164">
        <v>2616.5</v>
      </c>
      <c r="J668" s="164">
        <v>2318.1999999999998</v>
      </c>
      <c r="K668" s="164">
        <v>2212.9</v>
      </c>
      <c r="L668" s="165">
        <v>110</v>
      </c>
      <c r="M668" s="163" t="s">
        <v>268</v>
      </c>
      <c r="N668" s="163" t="s">
        <v>272</v>
      </c>
      <c r="O668" s="166" t="s">
        <v>1104</v>
      </c>
      <c r="P668" s="167">
        <v>100000</v>
      </c>
      <c r="Q668" s="167">
        <v>0</v>
      </c>
      <c r="R668" s="167">
        <v>0</v>
      </c>
      <c r="S668" s="167">
        <f t="shared" si="199"/>
        <v>100000</v>
      </c>
      <c r="T668" s="167">
        <f t="shared" si="202"/>
        <v>38.218994840435698</v>
      </c>
      <c r="U668" s="167">
        <v>38.218994840435698</v>
      </c>
      <c r="V668" s="149">
        <f t="shared" si="203"/>
        <v>0</v>
      </c>
      <c r="W668" s="149">
        <f t="shared" si="201"/>
        <v>38.218994840435698</v>
      </c>
      <c r="X668" s="149">
        <v>0</v>
      </c>
      <c r="Y668" s="368">
        <v>0</v>
      </c>
      <c r="Z668" s="368">
        <v>0</v>
      </c>
      <c r="AA668" s="368">
        <v>0</v>
      </c>
      <c r="AB668" s="368">
        <v>0</v>
      </c>
      <c r="AC668" s="368">
        <v>0</v>
      </c>
      <c r="AD668" s="368">
        <v>0</v>
      </c>
      <c r="AE668" s="368">
        <v>0</v>
      </c>
      <c r="AF668" s="396">
        <v>0</v>
      </c>
      <c r="AG668" s="368">
        <v>0</v>
      </c>
      <c r="AH668" s="396">
        <v>0</v>
      </c>
      <c r="AI668" s="368">
        <v>0</v>
      </c>
      <c r="AJ668" s="396">
        <v>0</v>
      </c>
      <c r="AK668" s="368">
        <v>0</v>
      </c>
      <c r="AL668" s="368">
        <v>0</v>
      </c>
      <c r="AM668" s="368">
        <v>0</v>
      </c>
      <c r="AN668" s="368"/>
      <c r="AO668" s="368">
        <v>0</v>
      </c>
    </row>
    <row r="669" spans="1:41" s="152" customFormat="1" ht="36" customHeight="1" x14ac:dyDescent="0.9">
      <c r="A669" s="152">
        <v>1</v>
      </c>
      <c r="B669" s="90">
        <f>SUBTOTAL(103,$A$554:A669)</f>
        <v>116</v>
      </c>
      <c r="C669" s="89" t="s">
        <v>611</v>
      </c>
      <c r="D669" s="163" t="s">
        <v>327</v>
      </c>
      <c r="E669" s="163"/>
      <c r="F669" s="168" t="s">
        <v>315</v>
      </c>
      <c r="G669" s="163" t="s">
        <v>356</v>
      </c>
      <c r="H669" s="163">
        <v>4</v>
      </c>
      <c r="I669" s="164">
        <v>4258.1000000000004</v>
      </c>
      <c r="J669" s="164">
        <v>3136.3</v>
      </c>
      <c r="K669" s="164">
        <v>1795.5</v>
      </c>
      <c r="L669" s="165">
        <v>159</v>
      </c>
      <c r="M669" s="163" t="s">
        <v>268</v>
      </c>
      <c r="N669" s="163" t="s">
        <v>272</v>
      </c>
      <c r="O669" s="166" t="s">
        <v>1090</v>
      </c>
      <c r="P669" s="167">
        <v>100000</v>
      </c>
      <c r="Q669" s="167">
        <v>0</v>
      </c>
      <c r="R669" s="167">
        <v>0</v>
      </c>
      <c r="S669" s="167">
        <f t="shared" si="199"/>
        <v>100000</v>
      </c>
      <c r="T669" s="167">
        <f t="shared" si="202"/>
        <v>23.484652779408655</v>
      </c>
      <c r="U669" s="167">
        <v>23.484652779408655</v>
      </c>
      <c r="V669" s="149">
        <f t="shared" si="203"/>
        <v>0</v>
      </c>
      <c r="W669" s="149">
        <f t="shared" si="201"/>
        <v>23.484652779408655</v>
      </c>
      <c r="X669" s="149">
        <v>0</v>
      </c>
      <c r="Y669" s="368">
        <v>0</v>
      </c>
      <c r="Z669" s="368">
        <v>0</v>
      </c>
      <c r="AA669" s="368">
        <v>0</v>
      </c>
      <c r="AB669" s="368">
        <v>0</v>
      </c>
      <c r="AC669" s="368">
        <v>0</v>
      </c>
      <c r="AD669" s="368">
        <v>0</v>
      </c>
      <c r="AE669" s="368">
        <v>0</v>
      </c>
      <c r="AF669" s="396">
        <v>0</v>
      </c>
      <c r="AG669" s="368">
        <v>0</v>
      </c>
      <c r="AH669" s="396">
        <v>0</v>
      </c>
      <c r="AI669" s="368">
        <v>0</v>
      </c>
      <c r="AJ669" s="396">
        <v>0</v>
      </c>
      <c r="AK669" s="368">
        <v>0</v>
      </c>
      <c r="AL669" s="368">
        <v>0</v>
      </c>
      <c r="AM669" s="368">
        <v>0</v>
      </c>
      <c r="AN669" s="368"/>
      <c r="AO669" s="368">
        <v>0</v>
      </c>
    </row>
    <row r="670" spans="1:41" s="152" customFormat="1" ht="36" customHeight="1" x14ac:dyDescent="0.9">
      <c r="A670" s="152">
        <v>1</v>
      </c>
      <c r="B670" s="90">
        <f>SUBTOTAL(103,$A$554:A670)</f>
        <v>117</v>
      </c>
      <c r="C670" s="89" t="s">
        <v>1640</v>
      </c>
      <c r="D670" s="163">
        <v>1957</v>
      </c>
      <c r="E670" s="163"/>
      <c r="F670" s="168" t="s">
        <v>270</v>
      </c>
      <c r="G670" s="163">
        <v>3</v>
      </c>
      <c r="H670" s="163">
        <v>3</v>
      </c>
      <c r="I670" s="164">
        <v>1920.4</v>
      </c>
      <c r="J670" s="164">
        <v>1467.6</v>
      </c>
      <c r="K670" s="164">
        <v>1467.6</v>
      </c>
      <c r="L670" s="165">
        <v>62</v>
      </c>
      <c r="M670" s="163" t="s">
        <v>268</v>
      </c>
      <c r="N670" s="163" t="s">
        <v>272</v>
      </c>
      <c r="O670" s="166" t="s">
        <v>1613</v>
      </c>
      <c r="P670" s="167">
        <v>100000</v>
      </c>
      <c r="Q670" s="167">
        <v>0</v>
      </c>
      <c r="R670" s="167">
        <v>0</v>
      </c>
      <c r="S670" s="167">
        <f t="shared" si="199"/>
        <v>100000</v>
      </c>
      <c r="T670" s="167">
        <f t="shared" si="202"/>
        <v>52.072484898979376</v>
      </c>
      <c r="U670" s="167">
        <v>52.072484898979376</v>
      </c>
      <c r="V670" s="149">
        <f t="shared" si="203"/>
        <v>0</v>
      </c>
      <c r="W670" s="149">
        <f t="shared" si="201"/>
        <v>52.072484898979376</v>
      </c>
      <c r="X670" s="149">
        <v>0</v>
      </c>
      <c r="Y670" s="368">
        <v>0</v>
      </c>
      <c r="Z670" s="368">
        <v>0</v>
      </c>
      <c r="AA670" s="368">
        <v>0</v>
      </c>
      <c r="AB670" s="368">
        <v>0</v>
      </c>
      <c r="AC670" s="368">
        <v>0</v>
      </c>
      <c r="AD670" s="368">
        <v>0</v>
      </c>
      <c r="AE670" s="368">
        <v>0</v>
      </c>
      <c r="AF670" s="396">
        <v>0</v>
      </c>
      <c r="AG670" s="368">
        <v>0</v>
      </c>
      <c r="AH670" s="396">
        <v>0</v>
      </c>
      <c r="AI670" s="368">
        <v>0</v>
      </c>
      <c r="AJ670" s="396">
        <v>0</v>
      </c>
      <c r="AK670" s="368">
        <v>0</v>
      </c>
      <c r="AL670" s="368">
        <v>0</v>
      </c>
      <c r="AM670" s="368">
        <v>0</v>
      </c>
      <c r="AN670" s="368"/>
      <c r="AO670" s="368">
        <v>0</v>
      </c>
    </row>
    <row r="671" spans="1:41" s="152" customFormat="1" ht="36" customHeight="1" x14ac:dyDescent="0.9">
      <c r="A671" s="152">
        <v>1</v>
      </c>
      <c r="B671" s="90">
        <f>SUBTOTAL(103,$A$554:A671)</f>
        <v>118</v>
      </c>
      <c r="C671" s="89" t="s">
        <v>612</v>
      </c>
      <c r="D671" s="163">
        <v>1981</v>
      </c>
      <c r="E671" s="163"/>
      <c r="F671" s="168" t="s">
        <v>270</v>
      </c>
      <c r="G671" s="163">
        <v>2</v>
      </c>
      <c r="H671" s="163">
        <v>3</v>
      </c>
      <c r="I671" s="164">
        <v>940.2</v>
      </c>
      <c r="J671" s="164">
        <v>850.3</v>
      </c>
      <c r="K671" s="164">
        <v>850.3</v>
      </c>
      <c r="L671" s="165">
        <v>29</v>
      </c>
      <c r="M671" s="163" t="s">
        <v>268</v>
      </c>
      <c r="N671" s="163" t="s">
        <v>272</v>
      </c>
      <c r="O671" s="166" t="s">
        <v>1659</v>
      </c>
      <c r="P671" s="167">
        <v>100000</v>
      </c>
      <c r="Q671" s="167">
        <v>0</v>
      </c>
      <c r="R671" s="167">
        <v>0</v>
      </c>
      <c r="S671" s="167">
        <f t="shared" si="199"/>
        <v>100000</v>
      </c>
      <c r="T671" s="167">
        <f t="shared" si="202"/>
        <v>106.36034886194426</v>
      </c>
      <c r="U671" s="167">
        <v>106.36034886194426</v>
      </c>
      <c r="V671" s="149">
        <f t="shared" si="203"/>
        <v>0</v>
      </c>
      <c r="W671" s="149">
        <f t="shared" si="201"/>
        <v>106.36034886194426</v>
      </c>
      <c r="X671" s="149">
        <v>0</v>
      </c>
      <c r="Y671" s="368">
        <v>0</v>
      </c>
      <c r="Z671" s="368">
        <v>0</v>
      </c>
      <c r="AA671" s="368">
        <v>0</v>
      </c>
      <c r="AB671" s="368">
        <v>0</v>
      </c>
      <c r="AC671" s="368">
        <v>0</v>
      </c>
      <c r="AD671" s="368">
        <v>0</v>
      </c>
      <c r="AE671" s="368">
        <v>0</v>
      </c>
      <c r="AF671" s="396">
        <v>0</v>
      </c>
      <c r="AG671" s="368">
        <v>0</v>
      </c>
      <c r="AH671" s="396">
        <v>0</v>
      </c>
      <c r="AI671" s="368">
        <v>0</v>
      </c>
      <c r="AJ671" s="396">
        <v>0</v>
      </c>
      <c r="AK671" s="368">
        <v>0</v>
      </c>
      <c r="AL671" s="368">
        <v>0</v>
      </c>
      <c r="AM671" s="368">
        <v>0</v>
      </c>
      <c r="AN671" s="368"/>
      <c r="AO671" s="368">
        <v>0</v>
      </c>
    </row>
    <row r="672" spans="1:41" s="152" customFormat="1" ht="36" customHeight="1" x14ac:dyDescent="0.9">
      <c r="A672" s="152">
        <v>1</v>
      </c>
      <c r="B672" s="90">
        <f>SUBTOTAL(103,$A$554:A672)</f>
        <v>119</v>
      </c>
      <c r="C672" s="89" t="s">
        <v>613</v>
      </c>
      <c r="D672" s="163">
        <v>1994</v>
      </c>
      <c r="E672" s="163"/>
      <c r="F672" s="168" t="s">
        <v>270</v>
      </c>
      <c r="G672" s="163">
        <v>3</v>
      </c>
      <c r="H672" s="163">
        <v>2</v>
      </c>
      <c r="I672" s="164">
        <v>1481.9</v>
      </c>
      <c r="J672" s="164">
        <v>1353.2</v>
      </c>
      <c r="K672" s="164">
        <v>1353.2</v>
      </c>
      <c r="L672" s="165">
        <v>72</v>
      </c>
      <c r="M672" s="163" t="s">
        <v>268</v>
      </c>
      <c r="N672" s="163" t="s">
        <v>272</v>
      </c>
      <c r="O672" s="166" t="s">
        <v>1659</v>
      </c>
      <c r="P672" s="167">
        <v>100000</v>
      </c>
      <c r="Q672" s="167">
        <v>0</v>
      </c>
      <c r="R672" s="167">
        <v>0</v>
      </c>
      <c r="S672" s="167">
        <f t="shared" si="199"/>
        <v>100000</v>
      </c>
      <c r="T672" s="167">
        <f t="shared" si="202"/>
        <v>67.480936635400496</v>
      </c>
      <c r="U672" s="167">
        <v>67.480936635400496</v>
      </c>
      <c r="V672" s="149">
        <f t="shared" si="203"/>
        <v>0</v>
      </c>
      <c r="W672" s="149">
        <f t="shared" si="201"/>
        <v>67.480936635400496</v>
      </c>
      <c r="X672" s="149">
        <v>0</v>
      </c>
      <c r="Y672" s="368">
        <v>0</v>
      </c>
      <c r="Z672" s="368">
        <v>0</v>
      </c>
      <c r="AA672" s="368">
        <v>0</v>
      </c>
      <c r="AB672" s="368">
        <v>0</v>
      </c>
      <c r="AC672" s="368">
        <v>0</v>
      </c>
      <c r="AD672" s="368">
        <v>0</v>
      </c>
      <c r="AE672" s="368">
        <v>0</v>
      </c>
      <c r="AF672" s="396">
        <v>0</v>
      </c>
      <c r="AG672" s="368">
        <v>0</v>
      </c>
      <c r="AH672" s="396">
        <v>0</v>
      </c>
      <c r="AI672" s="368">
        <v>0</v>
      </c>
      <c r="AJ672" s="396">
        <v>0</v>
      </c>
      <c r="AK672" s="368">
        <v>0</v>
      </c>
      <c r="AL672" s="368">
        <v>0</v>
      </c>
      <c r="AM672" s="368">
        <v>0</v>
      </c>
      <c r="AN672" s="368"/>
      <c r="AO672" s="368">
        <v>0</v>
      </c>
    </row>
    <row r="673" spans="1:41" s="152" customFormat="1" ht="36" customHeight="1" x14ac:dyDescent="0.9">
      <c r="A673" s="152">
        <v>1</v>
      </c>
      <c r="B673" s="90">
        <f>SUBTOTAL(103,$A$554:A673)</f>
        <v>120</v>
      </c>
      <c r="C673" s="89" t="s">
        <v>614</v>
      </c>
      <c r="D673" s="163" t="s">
        <v>355</v>
      </c>
      <c r="E673" s="163"/>
      <c r="F673" s="168" t="s">
        <v>315</v>
      </c>
      <c r="G673" s="163" t="s">
        <v>356</v>
      </c>
      <c r="H673" s="163">
        <v>4</v>
      </c>
      <c r="I673" s="164">
        <v>4064.4</v>
      </c>
      <c r="J673" s="164">
        <v>3058.6</v>
      </c>
      <c r="K673" s="164">
        <v>2912</v>
      </c>
      <c r="L673" s="165">
        <v>130</v>
      </c>
      <c r="M673" s="163" t="s">
        <v>268</v>
      </c>
      <c r="N673" s="163" t="s">
        <v>272</v>
      </c>
      <c r="O673" s="166" t="s">
        <v>1337</v>
      </c>
      <c r="P673" s="167">
        <v>100000</v>
      </c>
      <c r="Q673" s="167">
        <v>0</v>
      </c>
      <c r="R673" s="167">
        <v>0</v>
      </c>
      <c r="S673" s="167">
        <f t="shared" si="199"/>
        <v>100000</v>
      </c>
      <c r="T673" s="167">
        <f t="shared" si="202"/>
        <v>24.603877571105205</v>
      </c>
      <c r="U673" s="167">
        <v>24.603877571105205</v>
      </c>
      <c r="V673" s="149">
        <f t="shared" si="203"/>
        <v>0</v>
      </c>
      <c r="W673" s="149">
        <f t="shared" si="201"/>
        <v>24.603877571105205</v>
      </c>
      <c r="X673" s="149">
        <v>0</v>
      </c>
      <c r="Y673" s="368">
        <v>0</v>
      </c>
      <c r="Z673" s="368">
        <v>0</v>
      </c>
      <c r="AA673" s="368">
        <v>0</v>
      </c>
      <c r="AB673" s="368">
        <v>0</v>
      </c>
      <c r="AC673" s="368">
        <v>0</v>
      </c>
      <c r="AD673" s="368">
        <v>0</v>
      </c>
      <c r="AE673" s="368">
        <v>0</v>
      </c>
      <c r="AF673" s="396">
        <v>0</v>
      </c>
      <c r="AG673" s="368">
        <v>0</v>
      </c>
      <c r="AH673" s="396">
        <v>0</v>
      </c>
      <c r="AI673" s="368">
        <v>0</v>
      </c>
      <c r="AJ673" s="396">
        <v>0</v>
      </c>
      <c r="AK673" s="368">
        <v>0</v>
      </c>
      <c r="AL673" s="368">
        <v>0</v>
      </c>
      <c r="AM673" s="368">
        <v>0</v>
      </c>
      <c r="AN673" s="368"/>
      <c r="AO673" s="368">
        <v>0</v>
      </c>
    </row>
    <row r="674" spans="1:41" s="152" customFormat="1" ht="36" customHeight="1" x14ac:dyDescent="0.9">
      <c r="A674" s="152">
        <v>1</v>
      </c>
      <c r="B674" s="90">
        <f>SUBTOTAL(103,$A$554:A674)</f>
        <v>121</v>
      </c>
      <c r="C674" s="89" t="s">
        <v>615</v>
      </c>
      <c r="D674" s="163" t="s">
        <v>375</v>
      </c>
      <c r="E674" s="163"/>
      <c r="F674" s="168" t="s">
        <v>315</v>
      </c>
      <c r="G674" s="163" t="s">
        <v>356</v>
      </c>
      <c r="H674" s="163">
        <v>5</v>
      </c>
      <c r="I674" s="164">
        <v>5067.1000000000004</v>
      </c>
      <c r="J674" s="164">
        <v>3815.6</v>
      </c>
      <c r="K674" s="164">
        <v>3768.9</v>
      </c>
      <c r="L674" s="165">
        <v>158</v>
      </c>
      <c r="M674" s="163" t="s">
        <v>268</v>
      </c>
      <c r="N674" s="163" t="s">
        <v>272</v>
      </c>
      <c r="O674" s="166" t="s">
        <v>1337</v>
      </c>
      <c r="P674" s="167">
        <v>100000</v>
      </c>
      <c r="Q674" s="167">
        <v>0</v>
      </c>
      <c r="R674" s="167">
        <v>0</v>
      </c>
      <c r="S674" s="167">
        <f t="shared" si="199"/>
        <v>100000</v>
      </c>
      <c r="T674" s="167">
        <f t="shared" si="202"/>
        <v>19.735154230230307</v>
      </c>
      <c r="U674" s="167">
        <v>19.735154230230307</v>
      </c>
      <c r="V674" s="149">
        <f t="shared" si="203"/>
        <v>0</v>
      </c>
      <c r="W674" s="149">
        <f t="shared" si="201"/>
        <v>19.735154230230307</v>
      </c>
      <c r="X674" s="149">
        <v>0</v>
      </c>
      <c r="Y674" s="368">
        <v>0</v>
      </c>
      <c r="Z674" s="368">
        <v>0</v>
      </c>
      <c r="AA674" s="368">
        <v>0</v>
      </c>
      <c r="AB674" s="368">
        <v>0</v>
      </c>
      <c r="AC674" s="368">
        <v>0</v>
      </c>
      <c r="AD674" s="368">
        <v>0</v>
      </c>
      <c r="AE674" s="368">
        <v>0</v>
      </c>
      <c r="AF674" s="396">
        <v>0</v>
      </c>
      <c r="AG674" s="368">
        <v>0</v>
      </c>
      <c r="AH674" s="396">
        <v>0</v>
      </c>
      <c r="AI674" s="368">
        <v>0</v>
      </c>
      <c r="AJ674" s="396">
        <v>0</v>
      </c>
      <c r="AK674" s="368">
        <v>0</v>
      </c>
      <c r="AL674" s="368">
        <v>0</v>
      </c>
      <c r="AM674" s="368">
        <v>0</v>
      </c>
      <c r="AN674" s="368"/>
      <c r="AO674" s="368">
        <v>0</v>
      </c>
    </row>
    <row r="675" spans="1:41" s="152" customFormat="1" ht="36" customHeight="1" x14ac:dyDescent="0.9">
      <c r="A675" s="152">
        <v>1</v>
      </c>
      <c r="B675" s="90">
        <f>SUBTOTAL(103,$A$554:A675)</f>
        <v>122</v>
      </c>
      <c r="C675" s="89" t="s">
        <v>502</v>
      </c>
      <c r="D675" s="163">
        <v>1995</v>
      </c>
      <c r="E675" s="163"/>
      <c r="F675" s="168" t="s">
        <v>270</v>
      </c>
      <c r="G675" s="163">
        <v>9</v>
      </c>
      <c r="H675" s="163">
        <v>1</v>
      </c>
      <c r="I675" s="164">
        <v>6176.6</v>
      </c>
      <c r="J675" s="164">
        <v>4705.1000000000004</v>
      </c>
      <c r="K675" s="164">
        <v>4301.8999999999996</v>
      </c>
      <c r="L675" s="165">
        <v>360</v>
      </c>
      <c r="M675" s="163" t="s">
        <v>268</v>
      </c>
      <c r="N675" s="163" t="s">
        <v>272</v>
      </c>
      <c r="O675" s="166" t="s">
        <v>1088</v>
      </c>
      <c r="P675" s="167">
        <v>80000</v>
      </c>
      <c r="Q675" s="167">
        <v>0</v>
      </c>
      <c r="R675" s="167">
        <v>0</v>
      </c>
      <c r="S675" s="167">
        <f t="shared" si="199"/>
        <v>80000</v>
      </c>
      <c r="T675" s="167">
        <f t="shared" si="202"/>
        <v>12.952109574847002</v>
      </c>
      <c r="U675" s="167">
        <v>12.952109574847002</v>
      </c>
      <c r="V675" s="149">
        <f t="shared" si="203"/>
        <v>0</v>
      </c>
      <c r="W675" s="149">
        <f t="shared" si="201"/>
        <v>12.952109574847002</v>
      </c>
      <c r="X675" s="149">
        <v>0</v>
      </c>
      <c r="Y675" s="368">
        <v>0</v>
      </c>
      <c r="Z675" s="368">
        <v>0</v>
      </c>
      <c r="AA675" s="368">
        <v>0</v>
      </c>
      <c r="AB675" s="368">
        <v>0</v>
      </c>
      <c r="AC675" s="368">
        <v>0</v>
      </c>
      <c r="AD675" s="368">
        <v>0</v>
      </c>
      <c r="AE675" s="368">
        <v>0</v>
      </c>
      <c r="AF675" s="396">
        <v>0</v>
      </c>
      <c r="AG675" s="368">
        <v>0</v>
      </c>
      <c r="AH675" s="396">
        <v>0</v>
      </c>
      <c r="AI675" s="368">
        <v>0</v>
      </c>
      <c r="AJ675" s="396">
        <v>0</v>
      </c>
      <c r="AK675" s="368">
        <v>0</v>
      </c>
      <c r="AL675" s="368">
        <v>0</v>
      </c>
      <c r="AM675" s="368">
        <v>0</v>
      </c>
      <c r="AN675" s="368"/>
      <c r="AO675" s="368">
        <v>0</v>
      </c>
    </row>
    <row r="676" spans="1:41" s="152" customFormat="1" ht="36" customHeight="1" x14ac:dyDescent="0.9">
      <c r="A676" s="152">
        <v>1</v>
      </c>
      <c r="B676" s="90">
        <f>SUBTOTAL(103,$A$554:A676)</f>
        <v>123</v>
      </c>
      <c r="C676" s="89" t="s">
        <v>1083</v>
      </c>
      <c r="D676" s="163">
        <v>1990</v>
      </c>
      <c r="E676" s="163"/>
      <c r="F676" s="168" t="s">
        <v>270</v>
      </c>
      <c r="G676" s="163">
        <v>9</v>
      </c>
      <c r="H676" s="163">
        <v>4</v>
      </c>
      <c r="I676" s="164">
        <v>11085.8</v>
      </c>
      <c r="J676" s="164">
        <v>9319.2999999999993</v>
      </c>
      <c r="K676" s="164">
        <v>5667.8</v>
      </c>
      <c r="L676" s="165">
        <v>446</v>
      </c>
      <c r="M676" s="163" t="s">
        <v>268</v>
      </c>
      <c r="N676" s="163" t="s">
        <v>272</v>
      </c>
      <c r="O676" s="166" t="s">
        <v>1090</v>
      </c>
      <c r="P676" s="167">
        <v>100000</v>
      </c>
      <c r="Q676" s="167">
        <v>0</v>
      </c>
      <c r="R676" s="167">
        <v>0</v>
      </c>
      <c r="S676" s="167">
        <f t="shared" si="199"/>
        <v>100000</v>
      </c>
      <c r="T676" s="167">
        <f t="shared" si="202"/>
        <v>9.020548810189613</v>
      </c>
      <c r="U676" s="167">
        <v>9.020548810189613</v>
      </c>
      <c r="V676" s="149">
        <f t="shared" si="203"/>
        <v>0</v>
      </c>
      <c r="W676" s="149">
        <f t="shared" si="201"/>
        <v>9.020548810189613</v>
      </c>
      <c r="X676" s="149">
        <v>0</v>
      </c>
      <c r="Y676" s="368">
        <v>0</v>
      </c>
      <c r="Z676" s="368">
        <v>0</v>
      </c>
      <c r="AA676" s="368">
        <v>0</v>
      </c>
      <c r="AB676" s="368">
        <v>0</v>
      </c>
      <c r="AC676" s="368">
        <v>0</v>
      </c>
      <c r="AD676" s="368">
        <v>0</v>
      </c>
      <c r="AE676" s="368">
        <v>0</v>
      </c>
      <c r="AF676" s="396">
        <v>0</v>
      </c>
      <c r="AG676" s="368">
        <v>0</v>
      </c>
      <c r="AH676" s="396">
        <v>0</v>
      </c>
      <c r="AI676" s="368">
        <v>0</v>
      </c>
      <c r="AJ676" s="396">
        <v>0</v>
      </c>
      <c r="AK676" s="368">
        <v>0</v>
      </c>
      <c r="AL676" s="368">
        <v>0</v>
      </c>
      <c r="AM676" s="368">
        <v>0</v>
      </c>
      <c r="AN676" s="368"/>
      <c r="AO676" s="368">
        <v>0</v>
      </c>
    </row>
    <row r="677" spans="1:41" s="152" customFormat="1" ht="36" customHeight="1" x14ac:dyDescent="0.9">
      <c r="A677" s="152">
        <v>1</v>
      </c>
      <c r="B677" s="90">
        <f>SUBTOTAL(103,$A$554:A677)</f>
        <v>124</v>
      </c>
      <c r="C677" s="89" t="s">
        <v>1709</v>
      </c>
      <c r="D677" s="163">
        <v>1969</v>
      </c>
      <c r="E677" s="163"/>
      <c r="F677" s="168" t="s">
        <v>270</v>
      </c>
      <c r="G677" s="163">
        <v>5</v>
      </c>
      <c r="H677" s="163">
        <v>4</v>
      </c>
      <c r="I677" s="164">
        <v>3872</v>
      </c>
      <c r="J677" s="164">
        <v>3567.4</v>
      </c>
      <c r="K677" s="164">
        <v>3567.4</v>
      </c>
      <c r="L677" s="165">
        <v>111</v>
      </c>
      <c r="M677" s="163" t="s">
        <v>268</v>
      </c>
      <c r="N677" s="163" t="s">
        <v>272</v>
      </c>
      <c r="O677" s="166" t="s">
        <v>1715</v>
      </c>
      <c r="P677" s="167">
        <v>101500</v>
      </c>
      <c r="Q677" s="167">
        <v>0</v>
      </c>
      <c r="R677" s="167">
        <v>0</v>
      </c>
      <c r="S677" s="167">
        <f t="shared" si="199"/>
        <v>101500</v>
      </c>
      <c r="T677" s="167">
        <f t="shared" si="202"/>
        <v>26.21384297520661</v>
      </c>
      <c r="U677" s="167">
        <v>26.21384297520661</v>
      </c>
      <c r="V677" s="149">
        <f t="shared" si="203"/>
        <v>0</v>
      </c>
      <c r="W677" s="149">
        <f t="shared" si="201"/>
        <v>26.21384297520661</v>
      </c>
      <c r="X677" s="149">
        <v>0</v>
      </c>
      <c r="Y677" s="368">
        <v>0</v>
      </c>
      <c r="Z677" s="368">
        <v>0</v>
      </c>
      <c r="AA677" s="368">
        <v>0</v>
      </c>
      <c r="AB677" s="368">
        <v>0</v>
      </c>
      <c r="AC677" s="368">
        <v>0</v>
      </c>
      <c r="AD677" s="368">
        <v>0</v>
      </c>
      <c r="AE677" s="368">
        <v>0</v>
      </c>
      <c r="AF677" s="396">
        <v>0</v>
      </c>
      <c r="AG677" s="368">
        <v>0</v>
      </c>
      <c r="AH677" s="396">
        <v>0</v>
      </c>
      <c r="AI677" s="368">
        <v>0</v>
      </c>
      <c r="AJ677" s="396">
        <v>0</v>
      </c>
      <c r="AK677" s="368">
        <v>0</v>
      </c>
      <c r="AL677" s="368">
        <v>0</v>
      </c>
      <c r="AM677" s="368">
        <v>0</v>
      </c>
      <c r="AN677" s="368"/>
      <c r="AO677" s="368">
        <v>0</v>
      </c>
    </row>
    <row r="678" spans="1:41" s="152" customFormat="1" ht="36" customHeight="1" x14ac:dyDescent="0.9">
      <c r="A678" s="152">
        <v>1</v>
      </c>
      <c r="B678" s="90">
        <f>SUBTOTAL(103,$A$554:A678)</f>
        <v>125</v>
      </c>
      <c r="C678" s="89" t="s">
        <v>1710</v>
      </c>
      <c r="D678" s="163">
        <v>1967</v>
      </c>
      <c r="E678" s="163"/>
      <c r="F678" s="168" t="s">
        <v>322</v>
      </c>
      <c r="G678" s="163">
        <v>5</v>
      </c>
      <c r="H678" s="163">
        <v>5</v>
      </c>
      <c r="I678" s="164">
        <v>4508.5</v>
      </c>
      <c r="J678" s="164">
        <v>4509.3</v>
      </c>
      <c r="K678" s="164">
        <v>4452.8</v>
      </c>
      <c r="L678" s="165">
        <v>231</v>
      </c>
      <c r="M678" s="163" t="s">
        <v>268</v>
      </c>
      <c r="N678" s="163" t="s">
        <v>272</v>
      </c>
      <c r="O678" s="166" t="s">
        <v>1716</v>
      </c>
      <c r="P678" s="167">
        <v>100000</v>
      </c>
      <c r="Q678" s="167">
        <v>0</v>
      </c>
      <c r="R678" s="167">
        <v>0</v>
      </c>
      <c r="S678" s="167">
        <f t="shared" si="199"/>
        <v>100000</v>
      </c>
      <c r="T678" s="167">
        <f t="shared" si="202"/>
        <v>22.180326050792946</v>
      </c>
      <c r="U678" s="167">
        <v>22.180326050792946</v>
      </c>
      <c r="V678" s="149">
        <f t="shared" si="203"/>
        <v>0</v>
      </c>
      <c r="W678" s="149">
        <f t="shared" si="201"/>
        <v>22.180326050792946</v>
      </c>
      <c r="X678" s="149">
        <v>0</v>
      </c>
      <c r="Y678" s="368">
        <v>0</v>
      </c>
      <c r="Z678" s="368">
        <v>0</v>
      </c>
      <c r="AA678" s="368">
        <v>0</v>
      </c>
      <c r="AB678" s="368">
        <v>0</v>
      </c>
      <c r="AC678" s="368">
        <v>0</v>
      </c>
      <c r="AD678" s="368">
        <v>0</v>
      </c>
      <c r="AE678" s="368">
        <v>0</v>
      </c>
      <c r="AF678" s="396">
        <v>0</v>
      </c>
      <c r="AG678" s="368">
        <v>0</v>
      </c>
      <c r="AH678" s="396">
        <v>0</v>
      </c>
      <c r="AI678" s="368">
        <v>0</v>
      </c>
      <c r="AJ678" s="396">
        <v>0</v>
      </c>
      <c r="AK678" s="368">
        <v>0</v>
      </c>
      <c r="AL678" s="368">
        <v>0</v>
      </c>
      <c r="AM678" s="368">
        <v>0</v>
      </c>
      <c r="AN678" s="368"/>
      <c r="AO678" s="368">
        <v>0</v>
      </c>
    </row>
    <row r="679" spans="1:41" s="152" customFormat="1" ht="36" customHeight="1" x14ac:dyDescent="0.9">
      <c r="A679" s="152">
        <v>1</v>
      </c>
      <c r="B679" s="90">
        <f>SUBTOTAL(103,$A$554:A679)</f>
        <v>126</v>
      </c>
      <c r="C679" s="358" t="s">
        <v>547</v>
      </c>
      <c r="D679" s="355" t="s">
        <v>317</v>
      </c>
      <c r="E679" s="355"/>
      <c r="F679" s="357" t="s">
        <v>315</v>
      </c>
      <c r="G679" s="355" t="s">
        <v>362</v>
      </c>
      <c r="H679" s="355">
        <v>2</v>
      </c>
      <c r="I679" s="359">
        <v>4990.2</v>
      </c>
      <c r="J679" s="359">
        <v>3973.4</v>
      </c>
      <c r="K679" s="359">
        <v>3799.4</v>
      </c>
      <c r="L679" s="356">
        <v>180</v>
      </c>
      <c r="M679" s="355" t="s">
        <v>268</v>
      </c>
      <c r="N679" s="355" t="s">
        <v>272</v>
      </c>
      <c r="O679" s="354" t="s">
        <v>1337</v>
      </c>
      <c r="P679" s="353">
        <v>100000</v>
      </c>
      <c r="Q679" s="353">
        <v>0</v>
      </c>
      <c r="R679" s="353">
        <v>0</v>
      </c>
      <c r="S679" s="353">
        <f t="shared" si="199"/>
        <v>100000</v>
      </c>
      <c r="T679" s="167">
        <f t="shared" si="202"/>
        <v>20.039276982886459</v>
      </c>
      <c r="U679" s="167">
        <v>20.039276982886459</v>
      </c>
      <c r="V679" s="149">
        <f t="shared" si="203"/>
        <v>0</v>
      </c>
      <c r="W679" s="149">
        <f t="shared" si="201"/>
        <v>20.039276982886459</v>
      </c>
      <c r="X679" s="149">
        <v>0</v>
      </c>
      <c r="Y679" s="368">
        <v>0</v>
      </c>
      <c r="Z679" s="368">
        <v>0</v>
      </c>
      <c r="AA679" s="368">
        <v>0</v>
      </c>
      <c r="AB679" s="368">
        <v>0</v>
      </c>
      <c r="AC679" s="368">
        <v>0</v>
      </c>
      <c r="AD679" s="368">
        <v>0</v>
      </c>
      <c r="AE679" s="368">
        <v>0</v>
      </c>
      <c r="AF679" s="396">
        <v>0</v>
      </c>
      <c r="AG679" s="368">
        <v>0</v>
      </c>
      <c r="AH679" s="396">
        <v>0</v>
      </c>
      <c r="AI679" s="368">
        <v>0</v>
      </c>
      <c r="AJ679" s="396">
        <v>0</v>
      </c>
      <c r="AK679" s="368">
        <v>0</v>
      </c>
      <c r="AL679" s="368">
        <v>0</v>
      </c>
      <c r="AM679" s="368">
        <v>0</v>
      </c>
      <c r="AN679" s="368"/>
      <c r="AO679" s="368">
        <v>0</v>
      </c>
    </row>
    <row r="680" spans="1:41" s="152" customFormat="1" ht="36" customHeight="1" x14ac:dyDescent="0.9">
      <c r="A680" s="152">
        <v>1</v>
      </c>
      <c r="B680" s="90">
        <f>SUBTOTAL(103,$A$554:A680)</f>
        <v>127</v>
      </c>
      <c r="C680" s="358" t="s">
        <v>550</v>
      </c>
      <c r="D680" s="355" t="s">
        <v>319</v>
      </c>
      <c r="E680" s="355"/>
      <c r="F680" s="357" t="s">
        <v>270</v>
      </c>
      <c r="G680" s="355">
        <v>5</v>
      </c>
      <c r="H680" s="355">
        <v>4</v>
      </c>
      <c r="I680" s="359">
        <v>4873.3</v>
      </c>
      <c r="J680" s="359">
        <v>2941.2</v>
      </c>
      <c r="K680" s="359">
        <v>2775.3</v>
      </c>
      <c r="L680" s="356">
        <v>144</v>
      </c>
      <c r="M680" s="355" t="s">
        <v>268</v>
      </c>
      <c r="N680" s="355" t="s">
        <v>272</v>
      </c>
      <c r="O680" s="354" t="s">
        <v>1337</v>
      </c>
      <c r="P680" s="353">
        <v>97480</v>
      </c>
      <c r="Q680" s="353">
        <v>0</v>
      </c>
      <c r="R680" s="353">
        <v>0</v>
      </c>
      <c r="S680" s="353">
        <f t="shared" si="199"/>
        <v>97480</v>
      </c>
      <c r="T680" s="167">
        <f t="shared" si="202"/>
        <v>20.002872796667557</v>
      </c>
      <c r="U680" s="167">
        <v>20.002872796667557</v>
      </c>
      <c r="V680" s="149">
        <f t="shared" si="203"/>
        <v>0</v>
      </c>
      <c r="W680" s="149">
        <f t="shared" si="201"/>
        <v>20.002872796667557</v>
      </c>
      <c r="X680" s="149">
        <v>0</v>
      </c>
      <c r="Y680" s="368">
        <v>0</v>
      </c>
      <c r="Z680" s="368">
        <v>0</v>
      </c>
      <c r="AA680" s="368">
        <v>0</v>
      </c>
      <c r="AB680" s="368">
        <v>0</v>
      </c>
      <c r="AC680" s="368">
        <v>0</v>
      </c>
      <c r="AD680" s="368">
        <v>0</v>
      </c>
      <c r="AE680" s="368">
        <v>0</v>
      </c>
      <c r="AF680" s="396">
        <v>0</v>
      </c>
      <c r="AG680" s="368">
        <v>0</v>
      </c>
      <c r="AH680" s="396">
        <v>0</v>
      </c>
      <c r="AI680" s="368">
        <v>0</v>
      </c>
      <c r="AJ680" s="396">
        <v>0</v>
      </c>
      <c r="AK680" s="368">
        <v>0</v>
      </c>
      <c r="AL680" s="368">
        <v>0</v>
      </c>
      <c r="AM680" s="368">
        <v>0</v>
      </c>
      <c r="AN680" s="368"/>
      <c r="AO680" s="368">
        <v>0</v>
      </c>
    </row>
    <row r="681" spans="1:41" s="152" customFormat="1" ht="36" customHeight="1" x14ac:dyDescent="0.9">
      <c r="A681" s="152">
        <v>1</v>
      </c>
      <c r="B681" s="90">
        <f>SUBTOTAL(103,$A$554:A681)</f>
        <v>128</v>
      </c>
      <c r="C681" s="358" t="s">
        <v>534</v>
      </c>
      <c r="D681" s="355" t="s">
        <v>355</v>
      </c>
      <c r="E681" s="355"/>
      <c r="F681" s="357" t="s">
        <v>270</v>
      </c>
      <c r="G681" s="355" t="s">
        <v>356</v>
      </c>
      <c r="H681" s="355">
        <v>4</v>
      </c>
      <c r="I681" s="359">
        <v>3486.3</v>
      </c>
      <c r="J681" s="359">
        <v>3020.1</v>
      </c>
      <c r="K681" s="359">
        <v>2123</v>
      </c>
      <c r="L681" s="356">
        <v>136</v>
      </c>
      <c r="M681" s="355" t="s">
        <v>268</v>
      </c>
      <c r="N681" s="355" t="s">
        <v>272</v>
      </c>
      <c r="O681" s="354" t="s">
        <v>1088</v>
      </c>
      <c r="P681" s="353">
        <v>100000</v>
      </c>
      <c r="Q681" s="353">
        <v>0</v>
      </c>
      <c r="R681" s="353">
        <v>0</v>
      </c>
      <c r="S681" s="353">
        <f t="shared" si="199"/>
        <v>100000</v>
      </c>
      <c r="T681" s="167">
        <f t="shared" si="202"/>
        <v>28.683704787310326</v>
      </c>
      <c r="U681" s="167">
        <v>28.683704787310326</v>
      </c>
      <c r="V681" s="149">
        <f t="shared" si="203"/>
        <v>0</v>
      </c>
      <c r="W681" s="149">
        <f t="shared" si="201"/>
        <v>28.683704787310326</v>
      </c>
      <c r="X681" s="149">
        <v>0</v>
      </c>
      <c r="Y681" s="368">
        <v>0</v>
      </c>
      <c r="Z681" s="368">
        <v>0</v>
      </c>
      <c r="AA681" s="368">
        <v>0</v>
      </c>
      <c r="AB681" s="368">
        <v>0</v>
      </c>
      <c r="AC681" s="368">
        <v>0</v>
      </c>
      <c r="AD681" s="368">
        <v>0</v>
      </c>
      <c r="AE681" s="368">
        <v>0</v>
      </c>
      <c r="AF681" s="396">
        <v>0</v>
      </c>
      <c r="AG681" s="368">
        <v>0</v>
      </c>
      <c r="AH681" s="396">
        <v>0</v>
      </c>
      <c r="AI681" s="368">
        <v>0</v>
      </c>
      <c r="AJ681" s="396">
        <v>0</v>
      </c>
      <c r="AK681" s="368">
        <v>0</v>
      </c>
      <c r="AL681" s="368">
        <v>0</v>
      </c>
      <c r="AM681" s="368">
        <v>0</v>
      </c>
      <c r="AN681" s="368"/>
      <c r="AO681" s="368">
        <v>0</v>
      </c>
    </row>
    <row r="682" spans="1:41" s="152" customFormat="1" ht="36" customHeight="1" x14ac:dyDescent="0.9">
      <c r="A682" s="152">
        <v>1</v>
      </c>
      <c r="B682" s="90">
        <f>SUBTOTAL(103,$A$554:A682)</f>
        <v>129</v>
      </c>
      <c r="C682" s="358" t="s">
        <v>540</v>
      </c>
      <c r="D682" s="355" t="s">
        <v>309</v>
      </c>
      <c r="E682" s="355"/>
      <c r="F682" s="357" t="s">
        <v>315</v>
      </c>
      <c r="G682" s="355" t="s">
        <v>356</v>
      </c>
      <c r="H682" s="355">
        <v>5</v>
      </c>
      <c r="I682" s="359">
        <v>3875.8</v>
      </c>
      <c r="J682" s="359">
        <v>3540</v>
      </c>
      <c r="K682" s="359">
        <v>2482.6999999999998</v>
      </c>
      <c r="L682" s="356">
        <v>168</v>
      </c>
      <c r="M682" s="355" t="s">
        <v>268</v>
      </c>
      <c r="N682" s="355" t="s">
        <v>272</v>
      </c>
      <c r="O682" s="354" t="s">
        <v>1088</v>
      </c>
      <c r="P682" s="353">
        <v>100000</v>
      </c>
      <c r="Q682" s="353">
        <v>0</v>
      </c>
      <c r="R682" s="353">
        <v>0</v>
      </c>
      <c r="S682" s="353">
        <f t="shared" si="199"/>
        <v>100000</v>
      </c>
      <c r="T682" s="167">
        <f t="shared" si="202"/>
        <v>25.801124929046907</v>
      </c>
      <c r="U682" s="167">
        <v>25.801124929046907</v>
      </c>
      <c r="V682" s="149">
        <f t="shared" si="203"/>
        <v>0</v>
      </c>
      <c r="W682" s="149">
        <f t="shared" si="201"/>
        <v>25.801124929046907</v>
      </c>
      <c r="X682" s="149">
        <v>0</v>
      </c>
      <c r="Y682" s="368">
        <v>0</v>
      </c>
      <c r="Z682" s="368">
        <v>0</v>
      </c>
      <c r="AA682" s="368">
        <v>0</v>
      </c>
      <c r="AB682" s="368">
        <v>0</v>
      </c>
      <c r="AC682" s="368">
        <v>0</v>
      </c>
      <c r="AD682" s="368">
        <v>0</v>
      </c>
      <c r="AE682" s="368">
        <v>0</v>
      </c>
      <c r="AF682" s="396">
        <v>0</v>
      </c>
      <c r="AG682" s="368">
        <v>0</v>
      </c>
      <c r="AH682" s="396">
        <v>0</v>
      </c>
      <c r="AI682" s="368">
        <v>0</v>
      </c>
      <c r="AJ682" s="396">
        <v>0</v>
      </c>
      <c r="AK682" s="368">
        <v>0</v>
      </c>
      <c r="AL682" s="368">
        <v>0</v>
      </c>
      <c r="AM682" s="368">
        <v>0</v>
      </c>
      <c r="AN682" s="368"/>
      <c r="AO682" s="368">
        <v>0</v>
      </c>
    </row>
    <row r="683" spans="1:41" s="152" customFormat="1" ht="36" customHeight="1" x14ac:dyDescent="0.9">
      <c r="A683" s="152">
        <v>1</v>
      </c>
      <c r="B683" s="90">
        <f>SUBTOTAL(103,$A$554:A683)</f>
        <v>130</v>
      </c>
      <c r="C683" s="358" t="s">
        <v>558</v>
      </c>
      <c r="D683" s="355" t="s">
        <v>366</v>
      </c>
      <c r="E683" s="355"/>
      <c r="F683" s="357" t="s">
        <v>270</v>
      </c>
      <c r="G683" s="355" t="s">
        <v>356</v>
      </c>
      <c r="H683" s="355">
        <v>3</v>
      </c>
      <c r="I683" s="359">
        <v>2747.2</v>
      </c>
      <c r="J683" s="359">
        <v>2475.6</v>
      </c>
      <c r="K683" s="359">
        <v>2231</v>
      </c>
      <c r="L683" s="356">
        <v>93</v>
      </c>
      <c r="M683" s="355" t="s">
        <v>268</v>
      </c>
      <c r="N683" s="355" t="s">
        <v>272</v>
      </c>
      <c r="O683" s="354" t="s">
        <v>1089</v>
      </c>
      <c r="P683" s="353">
        <v>150000</v>
      </c>
      <c r="Q683" s="353">
        <v>0</v>
      </c>
      <c r="R683" s="353">
        <v>0</v>
      </c>
      <c r="S683" s="353">
        <f t="shared" si="199"/>
        <v>150000</v>
      </c>
      <c r="T683" s="167">
        <f t="shared" si="202"/>
        <v>54.601048340128131</v>
      </c>
      <c r="U683" s="167">
        <v>54.601048340128131</v>
      </c>
      <c r="V683" s="149">
        <f t="shared" si="203"/>
        <v>0</v>
      </c>
      <c r="W683" s="149">
        <f t="shared" si="201"/>
        <v>54.601048340128131</v>
      </c>
      <c r="X683" s="149">
        <v>0</v>
      </c>
      <c r="Y683" s="368">
        <v>0</v>
      </c>
      <c r="Z683" s="368">
        <v>0</v>
      </c>
      <c r="AA683" s="368">
        <v>0</v>
      </c>
      <c r="AB683" s="368">
        <v>0</v>
      </c>
      <c r="AC683" s="368">
        <v>0</v>
      </c>
      <c r="AD683" s="368">
        <v>0</v>
      </c>
      <c r="AE683" s="368">
        <v>0</v>
      </c>
      <c r="AF683" s="396">
        <v>0</v>
      </c>
      <c r="AG683" s="368">
        <v>0</v>
      </c>
      <c r="AH683" s="396">
        <v>0</v>
      </c>
      <c r="AI683" s="368">
        <v>0</v>
      </c>
      <c r="AJ683" s="396">
        <v>0</v>
      </c>
      <c r="AK683" s="368">
        <v>0</v>
      </c>
      <c r="AL683" s="368">
        <v>0</v>
      </c>
      <c r="AM683" s="368">
        <v>0</v>
      </c>
      <c r="AN683" s="368"/>
      <c r="AO683" s="368">
        <v>0</v>
      </c>
    </row>
    <row r="684" spans="1:41" s="152" customFormat="1" ht="36" customHeight="1" x14ac:dyDescent="0.9">
      <c r="B684" s="382" t="s">
        <v>769</v>
      </c>
      <c r="C684" s="388"/>
      <c r="D684" s="384" t="s">
        <v>903</v>
      </c>
      <c r="E684" s="163" t="s">
        <v>903</v>
      </c>
      <c r="F684" s="384" t="s">
        <v>903</v>
      </c>
      <c r="G684" s="384" t="s">
        <v>903</v>
      </c>
      <c r="H684" s="163" t="s">
        <v>903</v>
      </c>
      <c r="I684" s="386">
        <f>SUM(I685:I707)</f>
        <v>34239.9</v>
      </c>
      <c r="J684" s="164">
        <f>SUM(J685:J707)</f>
        <v>31306.799999999999</v>
      </c>
      <c r="K684" s="164">
        <f>SUM(K685:K707)</f>
        <v>26696.500000000004</v>
      </c>
      <c r="L684" s="165">
        <f>SUM(L685:L707)</f>
        <v>1299</v>
      </c>
      <c r="M684" s="163" t="s">
        <v>903</v>
      </c>
      <c r="N684" s="163" t="s">
        <v>903</v>
      </c>
      <c r="O684" s="166" t="s">
        <v>903</v>
      </c>
      <c r="P684" s="386">
        <v>71633775.410000011</v>
      </c>
      <c r="Q684" s="164">
        <f>SUM(Q685:Q707)</f>
        <v>0</v>
      </c>
      <c r="R684" s="164">
        <f>SUM(R685:R707)</f>
        <v>0</v>
      </c>
      <c r="S684" s="164">
        <f>SUM(S685:S707)</f>
        <v>71633775.410000011</v>
      </c>
      <c r="T684" s="387">
        <f t="shared" si="202"/>
        <v>2092.1140368400611</v>
      </c>
      <c r="U684" s="387">
        <f>MAX(U685:U707)</f>
        <v>8173.877705295472</v>
      </c>
      <c r="V684" s="149">
        <f t="shared" ref="V684:V724" si="204">U684-T684</f>
        <v>6081.7636684554109</v>
      </c>
      <c r="W684" s="149"/>
      <c r="X684" s="149"/>
      <c r="Y684" s="368"/>
      <c r="Z684" s="368"/>
      <c r="AA684" s="368"/>
      <c r="AB684" s="368"/>
      <c r="AC684" s="368"/>
      <c r="AD684" s="368"/>
      <c r="AE684" s="368"/>
      <c r="AF684" s="368"/>
      <c r="AG684" s="368"/>
      <c r="AH684" s="368"/>
      <c r="AI684" s="368"/>
      <c r="AJ684" s="368"/>
      <c r="AK684" s="368"/>
      <c r="AL684" s="368"/>
      <c r="AM684" s="368"/>
      <c r="AN684" s="368"/>
      <c r="AO684" s="368"/>
    </row>
    <row r="685" spans="1:41" s="152" customFormat="1" ht="36" customHeight="1" x14ac:dyDescent="0.9">
      <c r="A685" s="152">
        <v>1</v>
      </c>
      <c r="B685" s="90">
        <f>SUBTOTAL(103,$A$554:A685)</f>
        <v>131</v>
      </c>
      <c r="C685" s="89" t="s">
        <v>461</v>
      </c>
      <c r="D685" s="163">
        <v>1960</v>
      </c>
      <c r="E685" s="163"/>
      <c r="F685" s="168" t="s">
        <v>270</v>
      </c>
      <c r="G685" s="163">
        <v>2</v>
      </c>
      <c r="H685" s="163">
        <v>2</v>
      </c>
      <c r="I685" s="164">
        <v>683.2</v>
      </c>
      <c r="J685" s="164">
        <v>634.6</v>
      </c>
      <c r="K685" s="164">
        <v>388.3</v>
      </c>
      <c r="L685" s="165">
        <v>26</v>
      </c>
      <c r="M685" s="163" t="s">
        <v>268</v>
      </c>
      <c r="N685" s="163" t="s">
        <v>269</v>
      </c>
      <c r="O685" s="166" t="s">
        <v>271</v>
      </c>
      <c r="P685" s="167">
        <v>3616357.54</v>
      </c>
      <c r="Q685" s="167">
        <v>0</v>
      </c>
      <c r="R685" s="167">
        <v>0</v>
      </c>
      <c r="S685" s="167">
        <f t="shared" ref="S685:S707" si="205">P685-Q685-R685</f>
        <v>3616357.54</v>
      </c>
      <c r="T685" s="167">
        <f t="shared" si="202"/>
        <v>5293.2633782201401</v>
      </c>
      <c r="U685" s="167">
        <v>5669.9930020491793</v>
      </c>
      <c r="V685" s="149">
        <f t="shared" si="204"/>
        <v>376.72962382903916</v>
      </c>
      <c r="W685" s="149">
        <f t="shared" ref="W685:W706" si="206">X685+Y685+Z685+AA685+AB685+AD685+AF685+AH685+AJ685+AL685+AN685+AO685</f>
        <v>5669.9930020491793</v>
      </c>
      <c r="X685" s="149">
        <v>0</v>
      </c>
      <c r="Y685" s="368">
        <v>0</v>
      </c>
      <c r="Z685" s="368">
        <v>0</v>
      </c>
      <c r="AA685" s="368">
        <v>0</v>
      </c>
      <c r="AB685" s="368">
        <v>0</v>
      </c>
      <c r="AC685" s="368">
        <v>0</v>
      </c>
      <c r="AD685" s="368">
        <v>0</v>
      </c>
      <c r="AE685" s="368">
        <v>620.9</v>
      </c>
      <c r="AF685" s="396">
        <f>6238.91*AE685/I685</f>
        <v>5669.9930020491793</v>
      </c>
      <c r="AG685" s="368">
        <v>0</v>
      </c>
      <c r="AH685" s="396">
        <v>0</v>
      </c>
      <c r="AI685" s="368">
        <v>0</v>
      </c>
      <c r="AJ685" s="396">
        <v>0</v>
      </c>
      <c r="AK685" s="368">
        <v>0</v>
      </c>
      <c r="AL685" s="368">
        <v>0</v>
      </c>
      <c r="AM685" s="368">
        <v>0</v>
      </c>
      <c r="AN685" s="368"/>
      <c r="AO685" s="368">
        <v>0</v>
      </c>
    </row>
    <row r="686" spans="1:41" s="152" customFormat="1" ht="61.5" x14ac:dyDescent="0.9">
      <c r="A686" s="152">
        <v>1</v>
      </c>
      <c r="B686" s="90">
        <f>SUBTOTAL(103,$A$554:A686)</f>
        <v>132</v>
      </c>
      <c r="C686" s="89" t="s">
        <v>462</v>
      </c>
      <c r="D686" s="163">
        <v>1952</v>
      </c>
      <c r="E686" s="163">
        <v>2008</v>
      </c>
      <c r="F686" s="168" t="s">
        <v>270</v>
      </c>
      <c r="G686" s="163">
        <v>2</v>
      </c>
      <c r="H686" s="163">
        <v>1</v>
      </c>
      <c r="I686" s="164">
        <v>427.8</v>
      </c>
      <c r="J686" s="164">
        <v>392.1</v>
      </c>
      <c r="K686" s="164">
        <v>345.2</v>
      </c>
      <c r="L686" s="165">
        <v>21</v>
      </c>
      <c r="M686" s="163" t="s">
        <v>268</v>
      </c>
      <c r="N686" s="163" t="s">
        <v>272</v>
      </c>
      <c r="O686" s="166" t="s">
        <v>344</v>
      </c>
      <c r="P686" s="167">
        <v>1638422.64</v>
      </c>
      <c r="Q686" s="167">
        <v>0</v>
      </c>
      <c r="R686" s="167">
        <v>0</v>
      </c>
      <c r="S686" s="167">
        <f t="shared" si="205"/>
        <v>1638422.64</v>
      </c>
      <c r="T686" s="167">
        <f t="shared" si="202"/>
        <v>3829.8799438990177</v>
      </c>
      <c r="U686" s="167">
        <v>7634.5546143057509</v>
      </c>
      <c r="V686" s="149">
        <f t="shared" si="204"/>
        <v>3804.6746704067332</v>
      </c>
      <c r="W686" s="149">
        <f t="shared" si="206"/>
        <v>7634.5546143057509</v>
      </c>
      <c r="X686" s="149">
        <v>0</v>
      </c>
      <c r="Y686" s="368">
        <v>0</v>
      </c>
      <c r="Z686" s="368">
        <v>0</v>
      </c>
      <c r="AA686" s="368">
        <v>0</v>
      </c>
      <c r="AB686" s="368">
        <v>0</v>
      </c>
      <c r="AC686" s="368">
        <v>0</v>
      </c>
      <c r="AD686" s="368">
        <v>0</v>
      </c>
      <c r="AE686" s="368">
        <v>0</v>
      </c>
      <c r="AF686" s="396">
        <v>0</v>
      </c>
      <c r="AG686" s="368">
        <v>0</v>
      </c>
      <c r="AH686" s="396">
        <v>0</v>
      </c>
      <c r="AI686" s="368">
        <v>439.04</v>
      </c>
      <c r="AJ686" s="397">
        <f>7439.1*AI686/I686</f>
        <v>7634.5546143057509</v>
      </c>
      <c r="AK686" s="368">
        <v>0</v>
      </c>
      <c r="AL686" s="368">
        <v>0</v>
      </c>
      <c r="AM686" s="368">
        <v>0</v>
      </c>
      <c r="AN686" s="368"/>
      <c r="AO686" s="368">
        <v>0</v>
      </c>
    </row>
    <row r="687" spans="1:41" s="152" customFormat="1" ht="36" customHeight="1" x14ac:dyDescent="0.9">
      <c r="A687" s="152">
        <v>1</v>
      </c>
      <c r="B687" s="90">
        <f>SUBTOTAL(103,$A$554:A687)</f>
        <v>133</v>
      </c>
      <c r="C687" s="89" t="s">
        <v>463</v>
      </c>
      <c r="D687" s="163">
        <v>1963</v>
      </c>
      <c r="E687" s="163"/>
      <c r="F687" s="168" t="s">
        <v>270</v>
      </c>
      <c r="G687" s="163">
        <v>4</v>
      </c>
      <c r="H687" s="163">
        <v>3</v>
      </c>
      <c r="I687" s="164">
        <v>2171.1999999999998</v>
      </c>
      <c r="J687" s="164">
        <v>2025.5</v>
      </c>
      <c r="K687" s="164">
        <v>1927.8</v>
      </c>
      <c r="L687" s="165">
        <v>84</v>
      </c>
      <c r="M687" s="163" t="s">
        <v>268</v>
      </c>
      <c r="N687" s="163" t="s">
        <v>269</v>
      </c>
      <c r="O687" s="166" t="s">
        <v>271</v>
      </c>
      <c r="P687" s="167">
        <v>4857938</v>
      </c>
      <c r="Q687" s="167">
        <v>0</v>
      </c>
      <c r="R687" s="167">
        <v>0</v>
      </c>
      <c r="S687" s="167">
        <f t="shared" si="205"/>
        <v>4857938</v>
      </c>
      <c r="T687" s="167">
        <f t="shared" si="202"/>
        <v>2237.4438098747237</v>
      </c>
      <c r="U687" s="167">
        <v>2545.9074521002212</v>
      </c>
      <c r="V687" s="149">
        <f t="shared" si="204"/>
        <v>308.46364222549755</v>
      </c>
      <c r="W687" s="149">
        <f t="shared" si="206"/>
        <v>2545.9074521002212</v>
      </c>
      <c r="X687" s="149">
        <v>0</v>
      </c>
      <c r="Y687" s="368">
        <v>0</v>
      </c>
      <c r="Z687" s="368">
        <v>0</v>
      </c>
      <c r="AA687" s="368">
        <v>0</v>
      </c>
      <c r="AB687" s="368">
        <v>0</v>
      </c>
      <c r="AC687" s="368">
        <v>0</v>
      </c>
      <c r="AD687" s="368">
        <v>0</v>
      </c>
      <c r="AE687" s="368">
        <v>886</v>
      </c>
      <c r="AF687" s="396">
        <f t="shared" ref="AF687:AF690" si="207">6238.91*AE687/I687</f>
        <v>2545.9074521002212</v>
      </c>
      <c r="AG687" s="368">
        <v>0</v>
      </c>
      <c r="AH687" s="396">
        <v>0</v>
      </c>
      <c r="AI687" s="368">
        <v>0</v>
      </c>
      <c r="AJ687" s="396">
        <v>0</v>
      </c>
      <c r="AK687" s="368">
        <v>0</v>
      </c>
      <c r="AL687" s="368">
        <v>0</v>
      </c>
      <c r="AM687" s="368">
        <v>0</v>
      </c>
      <c r="AN687" s="368"/>
      <c r="AO687" s="368">
        <v>0</v>
      </c>
    </row>
    <row r="688" spans="1:41" s="152" customFormat="1" ht="36" customHeight="1" x14ac:dyDescent="0.9">
      <c r="A688" s="152">
        <v>1</v>
      </c>
      <c r="B688" s="90">
        <f>SUBTOTAL(103,$A$554:A688)</f>
        <v>134</v>
      </c>
      <c r="C688" s="89" t="s">
        <v>464</v>
      </c>
      <c r="D688" s="163">
        <v>1959</v>
      </c>
      <c r="E688" s="163"/>
      <c r="F688" s="168" t="s">
        <v>270</v>
      </c>
      <c r="G688" s="163">
        <v>2</v>
      </c>
      <c r="H688" s="163">
        <v>2</v>
      </c>
      <c r="I688" s="164">
        <v>678.8</v>
      </c>
      <c r="J688" s="164">
        <v>632.4</v>
      </c>
      <c r="K688" s="164">
        <v>632.4</v>
      </c>
      <c r="L688" s="165">
        <v>42</v>
      </c>
      <c r="M688" s="163" t="s">
        <v>268</v>
      </c>
      <c r="N688" s="163" t="s">
        <v>269</v>
      </c>
      <c r="O688" s="166" t="s">
        <v>271</v>
      </c>
      <c r="P688" s="167">
        <v>3345121.12</v>
      </c>
      <c r="Q688" s="167">
        <v>0</v>
      </c>
      <c r="R688" s="167">
        <v>0</v>
      </c>
      <c r="S688" s="167">
        <f t="shared" si="205"/>
        <v>3345121.12</v>
      </c>
      <c r="T688" s="167">
        <f t="shared" si="202"/>
        <v>4927.9922215674724</v>
      </c>
      <c r="U688" s="167">
        <v>5551.4166764879201</v>
      </c>
      <c r="V688" s="149">
        <f t="shared" si="204"/>
        <v>623.42445492044772</v>
      </c>
      <c r="W688" s="149">
        <f t="shared" si="206"/>
        <v>5551.4166764879201</v>
      </c>
      <c r="X688" s="149">
        <v>0</v>
      </c>
      <c r="Y688" s="368">
        <v>0</v>
      </c>
      <c r="Z688" s="368">
        <v>0</v>
      </c>
      <c r="AA688" s="368">
        <v>0</v>
      </c>
      <c r="AB688" s="368">
        <v>0</v>
      </c>
      <c r="AC688" s="368">
        <v>0</v>
      </c>
      <c r="AD688" s="368">
        <v>0</v>
      </c>
      <c r="AE688" s="368">
        <v>604</v>
      </c>
      <c r="AF688" s="396">
        <f t="shared" si="207"/>
        <v>5551.4166764879201</v>
      </c>
      <c r="AG688" s="368">
        <v>0</v>
      </c>
      <c r="AH688" s="396">
        <v>0</v>
      </c>
      <c r="AI688" s="368">
        <v>0</v>
      </c>
      <c r="AJ688" s="396">
        <v>0</v>
      </c>
      <c r="AK688" s="368">
        <v>0</v>
      </c>
      <c r="AL688" s="368">
        <v>0</v>
      </c>
      <c r="AM688" s="368">
        <v>0</v>
      </c>
      <c r="AN688" s="368"/>
      <c r="AO688" s="368">
        <v>0</v>
      </c>
    </row>
    <row r="689" spans="1:41" s="152" customFormat="1" ht="36" customHeight="1" x14ac:dyDescent="0.9">
      <c r="A689" s="152">
        <v>1</v>
      </c>
      <c r="B689" s="90">
        <f>SUBTOTAL(103,$A$554:A689)</f>
        <v>135</v>
      </c>
      <c r="C689" s="89" t="s">
        <v>465</v>
      </c>
      <c r="D689" s="163">
        <v>1959</v>
      </c>
      <c r="E689" s="163"/>
      <c r="F689" s="168" t="s">
        <v>270</v>
      </c>
      <c r="G689" s="163">
        <v>2</v>
      </c>
      <c r="H689" s="163">
        <v>2</v>
      </c>
      <c r="I689" s="164">
        <v>691.7</v>
      </c>
      <c r="J689" s="164">
        <v>645.29999999999995</v>
      </c>
      <c r="K689" s="164">
        <v>563.5</v>
      </c>
      <c r="L689" s="165">
        <v>28</v>
      </c>
      <c r="M689" s="163" t="s">
        <v>268</v>
      </c>
      <c r="N689" s="163" t="s">
        <v>269</v>
      </c>
      <c r="O689" s="166" t="s">
        <v>271</v>
      </c>
      <c r="P689" s="167">
        <v>3345121.12</v>
      </c>
      <c r="Q689" s="167">
        <v>0</v>
      </c>
      <c r="R689" s="167">
        <v>0</v>
      </c>
      <c r="S689" s="167">
        <f t="shared" si="205"/>
        <v>3345121.12</v>
      </c>
      <c r="T689" s="167">
        <f t="shared" si="202"/>
        <v>4836.0866271504983</v>
      </c>
      <c r="U689" s="167">
        <v>5447.884400751771</v>
      </c>
      <c r="V689" s="149">
        <f t="shared" si="204"/>
        <v>611.79777360127264</v>
      </c>
      <c r="W689" s="149">
        <f t="shared" si="206"/>
        <v>5447.884400751771</v>
      </c>
      <c r="X689" s="149">
        <v>0</v>
      </c>
      <c r="Y689" s="368">
        <v>0</v>
      </c>
      <c r="Z689" s="368">
        <v>0</v>
      </c>
      <c r="AA689" s="368">
        <v>0</v>
      </c>
      <c r="AB689" s="368">
        <v>0</v>
      </c>
      <c r="AC689" s="368">
        <v>0</v>
      </c>
      <c r="AD689" s="368">
        <v>0</v>
      </c>
      <c r="AE689" s="368">
        <v>604</v>
      </c>
      <c r="AF689" s="396">
        <f t="shared" si="207"/>
        <v>5447.884400751771</v>
      </c>
      <c r="AG689" s="368">
        <v>0</v>
      </c>
      <c r="AH689" s="396">
        <v>0</v>
      </c>
      <c r="AI689" s="368">
        <v>0</v>
      </c>
      <c r="AJ689" s="396">
        <v>0</v>
      </c>
      <c r="AK689" s="368">
        <v>0</v>
      </c>
      <c r="AL689" s="368">
        <v>0</v>
      </c>
      <c r="AM689" s="368">
        <v>0</v>
      </c>
      <c r="AN689" s="368"/>
      <c r="AO689" s="368">
        <v>0</v>
      </c>
    </row>
    <row r="690" spans="1:41" s="152" customFormat="1" ht="36" customHeight="1" x14ac:dyDescent="0.9">
      <c r="A690" s="152">
        <v>1</v>
      </c>
      <c r="B690" s="90">
        <f>SUBTOTAL(103,$A$554:A690)</f>
        <v>136</v>
      </c>
      <c r="C690" s="89" t="s">
        <v>466</v>
      </c>
      <c r="D690" s="163">
        <v>1972</v>
      </c>
      <c r="E690" s="163"/>
      <c r="F690" s="168" t="s">
        <v>270</v>
      </c>
      <c r="G690" s="163">
        <v>2</v>
      </c>
      <c r="H690" s="163">
        <v>2</v>
      </c>
      <c r="I690" s="164">
        <v>795.2</v>
      </c>
      <c r="J690" s="164">
        <v>734.3</v>
      </c>
      <c r="K690" s="164">
        <v>469.2</v>
      </c>
      <c r="L690" s="165">
        <v>34</v>
      </c>
      <c r="M690" s="163" t="s">
        <v>268</v>
      </c>
      <c r="N690" s="163" t="s">
        <v>269</v>
      </c>
      <c r="O690" s="166" t="s">
        <v>271</v>
      </c>
      <c r="P690" s="167">
        <v>3589208.68</v>
      </c>
      <c r="Q690" s="167">
        <v>0</v>
      </c>
      <c r="R690" s="167">
        <v>0</v>
      </c>
      <c r="S690" s="167">
        <f t="shared" si="205"/>
        <v>3589208.68</v>
      </c>
      <c r="T690" s="167">
        <f t="shared" si="202"/>
        <v>4513.5924044265594</v>
      </c>
      <c r="U690" s="167">
        <v>5674.3325809859152</v>
      </c>
      <c r="V690" s="149">
        <f t="shared" si="204"/>
        <v>1160.7401765593559</v>
      </c>
      <c r="W690" s="149">
        <f t="shared" si="206"/>
        <v>5674.3325809859152</v>
      </c>
      <c r="X690" s="149">
        <v>0</v>
      </c>
      <c r="Y690" s="368">
        <v>0</v>
      </c>
      <c r="Z690" s="368">
        <v>0</v>
      </c>
      <c r="AA690" s="368">
        <v>0</v>
      </c>
      <c r="AB690" s="368">
        <v>0</v>
      </c>
      <c r="AC690" s="368">
        <v>0</v>
      </c>
      <c r="AD690" s="368">
        <v>0</v>
      </c>
      <c r="AE690" s="368">
        <v>723.24</v>
      </c>
      <c r="AF690" s="396">
        <f t="shared" si="207"/>
        <v>5674.3325809859152</v>
      </c>
      <c r="AG690" s="368">
        <v>0</v>
      </c>
      <c r="AH690" s="396">
        <v>0</v>
      </c>
      <c r="AI690" s="368">
        <v>0</v>
      </c>
      <c r="AJ690" s="396">
        <v>0</v>
      </c>
      <c r="AK690" s="368">
        <v>0</v>
      </c>
      <c r="AL690" s="368">
        <v>0</v>
      </c>
      <c r="AM690" s="368">
        <v>0</v>
      </c>
      <c r="AN690" s="368"/>
      <c r="AO690" s="368">
        <v>0</v>
      </c>
    </row>
    <row r="691" spans="1:41" s="152" customFormat="1" ht="36" customHeight="1" x14ac:dyDescent="0.9">
      <c r="A691" s="152">
        <v>1</v>
      </c>
      <c r="B691" s="90">
        <f>SUBTOTAL(103,$A$554:A691)</f>
        <v>137</v>
      </c>
      <c r="C691" s="89" t="s">
        <v>467</v>
      </c>
      <c r="D691" s="163">
        <v>1954</v>
      </c>
      <c r="E691" s="163"/>
      <c r="F691" s="168" t="s">
        <v>328</v>
      </c>
      <c r="G691" s="163">
        <v>2</v>
      </c>
      <c r="H691" s="163">
        <v>2</v>
      </c>
      <c r="I691" s="164">
        <v>390.9</v>
      </c>
      <c r="J691" s="164">
        <v>360.1</v>
      </c>
      <c r="K691" s="164">
        <v>360.1</v>
      </c>
      <c r="L691" s="165">
        <v>15</v>
      </c>
      <c r="M691" s="163" t="s">
        <v>268</v>
      </c>
      <c r="N691" s="163" t="s">
        <v>269</v>
      </c>
      <c r="O691" s="166" t="s">
        <v>271</v>
      </c>
      <c r="P691" s="167">
        <v>998954.77999999991</v>
      </c>
      <c r="Q691" s="167">
        <v>0</v>
      </c>
      <c r="R691" s="167">
        <v>0</v>
      </c>
      <c r="S691" s="167">
        <f t="shared" si="205"/>
        <v>998954.77999999991</v>
      </c>
      <c r="T691" s="167">
        <f t="shared" si="202"/>
        <v>2555.525147096444</v>
      </c>
      <c r="U691" s="167">
        <v>8173.877705295472</v>
      </c>
      <c r="V691" s="149">
        <f t="shared" si="204"/>
        <v>5618.352558199028</v>
      </c>
      <c r="W691" s="149">
        <f t="shared" si="206"/>
        <v>8173.877705295472</v>
      </c>
      <c r="X691" s="149">
        <v>0</v>
      </c>
      <c r="Y691" s="368">
        <v>0</v>
      </c>
      <c r="Z691" s="368">
        <v>0</v>
      </c>
      <c r="AA691" s="368">
        <v>0</v>
      </c>
      <c r="AB691" s="368">
        <v>0</v>
      </c>
      <c r="AC691" s="368">
        <v>0</v>
      </c>
      <c r="AD691" s="368">
        <v>0</v>
      </c>
      <c r="AE691" s="368">
        <v>0</v>
      </c>
      <c r="AF691" s="396">
        <v>0</v>
      </c>
      <c r="AG691" s="368">
        <v>0</v>
      </c>
      <c r="AH691" s="396">
        <v>0</v>
      </c>
      <c r="AI691" s="368">
        <v>409.5</v>
      </c>
      <c r="AJ691" s="397">
        <f>7802.61*AI691/I691</f>
        <v>8173.877705295472</v>
      </c>
      <c r="AK691" s="368">
        <v>0</v>
      </c>
      <c r="AL691" s="368">
        <v>0</v>
      </c>
      <c r="AM691" s="368">
        <v>0</v>
      </c>
      <c r="AN691" s="368"/>
      <c r="AO691" s="368">
        <v>0</v>
      </c>
    </row>
    <row r="692" spans="1:41" s="152" customFormat="1" ht="36" customHeight="1" x14ac:dyDescent="0.9">
      <c r="A692" s="152">
        <v>1</v>
      </c>
      <c r="B692" s="90">
        <f>SUBTOTAL(103,$A$554:A692)</f>
        <v>138</v>
      </c>
      <c r="C692" s="89" t="s">
        <v>470</v>
      </c>
      <c r="D692" s="163">
        <v>1957</v>
      </c>
      <c r="E692" s="163">
        <v>2010</v>
      </c>
      <c r="F692" s="168" t="s">
        <v>270</v>
      </c>
      <c r="G692" s="163">
        <v>2</v>
      </c>
      <c r="H692" s="163">
        <v>2</v>
      </c>
      <c r="I692" s="164">
        <v>809.2</v>
      </c>
      <c r="J692" s="164">
        <v>720</v>
      </c>
      <c r="K692" s="164">
        <v>526.70000000000005</v>
      </c>
      <c r="L692" s="165">
        <v>14</v>
      </c>
      <c r="M692" s="163" t="s">
        <v>268</v>
      </c>
      <c r="N692" s="163" t="s">
        <v>345</v>
      </c>
      <c r="O692" s="166" t="s">
        <v>346</v>
      </c>
      <c r="P692" s="167">
        <v>3504528.03</v>
      </c>
      <c r="Q692" s="167">
        <v>0</v>
      </c>
      <c r="R692" s="167">
        <v>0</v>
      </c>
      <c r="S692" s="167">
        <f t="shared" si="205"/>
        <v>3504528.03</v>
      </c>
      <c r="T692" s="167">
        <f t="shared" si="202"/>
        <v>4330.8552026693023</v>
      </c>
      <c r="U692" s="167">
        <v>4523.83</v>
      </c>
      <c r="V692" s="149">
        <f t="shared" si="204"/>
        <v>192.97479733069758</v>
      </c>
      <c r="W692" s="149">
        <f t="shared" si="206"/>
        <v>4523.83</v>
      </c>
      <c r="X692" s="149">
        <v>101.55</v>
      </c>
      <c r="Y692" s="368">
        <v>0</v>
      </c>
      <c r="Z692" s="368">
        <v>3626.97</v>
      </c>
      <c r="AA692" s="368">
        <v>0</v>
      </c>
      <c r="AB692" s="368">
        <v>795.31</v>
      </c>
      <c r="AC692" s="368">
        <v>0</v>
      </c>
      <c r="AD692" s="368">
        <v>0</v>
      </c>
      <c r="AE692" s="368">
        <v>0</v>
      </c>
      <c r="AF692" s="396">
        <v>0</v>
      </c>
      <c r="AG692" s="368">
        <v>0</v>
      </c>
      <c r="AH692" s="396">
        <v>0</v>
      </c>
      <c r="AI692" s="368">
        <v>0</v>
      </c>
      <c r="AJ692" s="396">
        <v>0</v>
      </c>
      <c r="AK692" s="368">
        <v>0</v>
      </c>
      <c r="AL692" s="368">
        <v>0</v>
      </c>
      <c r="AM692" s="368">
        <v>0</v>
      </c>
      <c r="AN692" s="368"/>
      <c r="AO692" s="368">
        <v>0</v>
      </c>
    </row>
    <row r="693" spans="1:41" s="152" customFormat="1" ht="36" customHeight="1" x14ac:dyDescent="0.9">
      <c r="A693" s="152">
        <v>1</v>
      </c>
      <c r="B693" s="90">
        <f>SUBTOTAL(103,$A$554:A693)</f>
        <v>139</v>
      </c>
      <c r="C693" s="89" t="s">
        <v>471</v>
      </c>
      <c r="D693" s="163">
        <v>1976</v>
      </c>
      <c r="E693" s="163">
        <v>2008</v>
      </c>
      <c r="F693" s="168" t="s">
        <v>315</v>
      </c>
      <c r="G693" s="163">
        <v>5</v>
      </c>
      <c r="H693" s="163">
        <v>10</v>
      </c>
      <c r="I693" s="164">
        <v>8393.7999999999993</v>
      </c>
      <c r="J693" s="164">
        <v>7705.8</v>
      </c>
      <c r="K693" s="164">
        <v>7147.7</v>
      </c>
      <c r="L693" s="165">
        <v>351</v>
      </c>
      <c r="M693" s="163" t="s">
        <v>268</v>
      </c>
      <c r="N693" s="163" t="s">
        <v>272</v>
      </c>
      <c r="O693" s="166" t="s">
        <v>347</v>
      </c>
      <c r="P693" s="167">
        <v>7806669.5300000003</v>
      </c>
      <c r="Q693" s="167">
        <v>0</v>
      </c>
      <c r="R693" s="167">
        <v>0</v>
      </c>
      <c r="S693" s="167">
        <f t="shared" si="205"/>
        <v>7806669.5300000003</v>
      </c>
      <c r="T693" s="167">
        <f t="shared" si="202"/>
        <v>930.05188710715061</v>
      </c>
      <c r="U693" s="167">
        <v>2284.4215896852438</v>
      </c>
      <c r="V693" s="149">
        <f t="shared" si="204"/>
        <v>1354.3697025780932</v>
      </c>
      <c r="W693" s="149">
        <f t="shared" si="206"/>
        <v>2284.4215896852438</v>
      </c>
      <c r="X693" s="149">
        <v>0</v>
      </c>
      <c r="Y693" s="368">
        <v>0</v>
      </c>
      <c r="Z693" s="368">
        <v>0</v>
      </c>
      <c r="AA693" s="368">
        <v>0</v>
      </c>
      <c r="AB693" s="368">
        <v>0</v>
      </c>
      <c r="AC693" s="368">
        <v>0</v>
      </c>
      <c r="AD693" s="368">
        <v>0</v>
      </c>
      <c r="AE693" s="368">
        <v>3073.45</v>
      </c>
      <c r="AF693" s="396">
        <f t="shared" ref="AF693:AF701" si="208">6238.91*AE693/I693</f>
        <v>2284.4215896852438</v>
      </c>
      <c r="AG693" s="368">
        <v>0</v>
      </c>
      <c r="AH693" s="396">
        <v>0</v>
      </c>
      <c r="AI693" s="368">
        <v>0</v>
      </c>
      <c r="AJ693" s="396">
        <v>0</v>
      </c>
      <c r="AK693" s="368">
        <v>0</v>
      </c>
      <c r="AL693" s="368">
        <v>0</v>
      </c>
      <c r="AM693" s="368">
        <v>0</v>
      </c>
      <c r="AN693" s="368"/>
      <c r="AO693" s="368">
        <v>0</v>
      </c>
    </row>
    <row r="694" spans="1:41" s="152" customFormat="1" ht="36" customHeight="1" x14ac:dyDescent="0.9">
      <c r="A694" s="152">
        <v>1</v>
      </c>
      <c r="B694" s="90">
        <f>SUBTOTAL(103,$A$554:A694)</f>
        <v>140</v>
      </c>
      <c r="C694" s="89" t="s">
        <v>451</v>
      </c>
      <c r="D694" s="163">
        <v>1969</v>
      </c>
      <c r="E694" s="163"/>
      <c r="F694" s="168" t="s">
        <v>270</v>
      </c>
      <c r="G694" s="163">
        <v>2</v>
      </c>
      <c r="H694" s="163">
        <v>2</v>
      </c>
      <c r="I694" s="167">
        <v>725.2</v>
      </c>
      <c r="J694" s="167">
        <v>674.9</v>
      </c>
      <c r="K694" s="167">
        <v>506.2</v>
      </c>
      <c r="L694" s="165">
        <v>25</v>
      </c>
      <c r="M694" s="163" t="s">
        <v>268</v>
      </c>
      <c r="N694" s="163" t="s">
        <v>269</v>
      </c>
      <c r="O694" s="166" t="s">
        <v>271</v>
      </c>
      <c r="P694" s="167">
        <v>4800723</v>
      </c>
      <c r="Q694" s="167">
        <v>0</v>
      </c>
      <c r="R694" s="167">
        <v>0</v>
      </c>
      <c r="S694" s="167">
        <f t="shared" si="205"/>
        <v>4800723</v>
      </c>
      <c r="T694" s="167">
        <f t="shared" si="202"/>
        <v>6619.860728075013</v>
      </c>
      <c r="U694" s="167">
        <v>7312.5668781025915</v>
      </c>
      <c r="V694" s="149">
        <f t="shared" si="204"/>
        <v>692.70615002757859</v>
      </c>
      <c r="W694" s="149">
        <f t="shared" si="206"/>
        <v>7312.5668781025915</v>
      </c>
      <c r="X694" s="149">
        <v>0</v>
      </c>
      <c r="Y694" s="368">
        <v>0</v>
      </c>
      <c r="Z694" s="368">
        <v>0</v>
      </c>
      <c r="AA694" s="368">
        <v>0</v>
      </c>
      <c r="AB694" s="368">
        <v>0</v>
      </c>
      <c r="AC694" s="368">
        <v>0</v>
      </c>
      <c r="AD694" s="368">
        <v>0</v>
      </c>
      <c r="AE694" s="368">
        <v>850</v>
      </c>
      <c r="AF694" s="396">
        <f t="shared" si="208"/>
        <v>7312.5668781025915</v>
      </c>
      <c r="AG694" s="368">
        <v>0</v>
      </c>
      <c r="AH694" s="396">
        <v>0</v>
      </c>
      <c r="AI694" s="368">
        <v>0</v>
      </c>
      <c r="AJ694" s="396">
        <v>0</v>
      </c>
      <c r="AK694" s="368">
        <v>0</v>
      </c>
      <c r="AL694" s="368">
        <v>0</v>
      </c>
      <c r="AM694" s="368">
        <v>0</v>
      </c>
      <c r="AN694" s="368"/>
      <c r="AO694" s="368">
        <v>0</v>
      </c>
    </row>
    <row r="695" spans="1:41" s="152" customFormat="1" ht="36" customHeight="1" x14ac:dyDescent="0.9">
      <c r="A695" s="152">
        <v>1</v>
      </c>
      <c r="B695" s="90">
        <f>SUBTOTAL(103,$A$554:A695)</f>
        <v>141</v>
      </c>
      <c r="C695" s="89" t="s">
        <v>1303</v>
      </c>
      <c r="D695" s="163">
        <v>1970</v>
      </c>
      <c r="E695" s="163"/>
      <c r="F695" s="168" t="s">
        <v>270</v>
      </c>
      <c r="G695" s="163">
        <v>2</v>
      </c>
      <c r="H695" s="163">
        <v>2</v>
      </c>
      <c r="I695" s="164">
        <v>780.1</v>
      </c>
      <c r="J695" s="164">
        <v>721</v>
      </c>
      <c r="K695" s="164">
        <v>721</v>
      </c>
      <c r="L695" s="165">
        <v>29</v>
      </c>
      <c r="M695" s="163" t="s">
        <v>268</v>
      </c>
      <c r="N695" s="163" t="s">
        <v>269</v>
      </c>
      <c r="O695" s="166" t="s">
        <v>271</v>
      </c>
      <c r="P695" s="167">
        <v>3973949.34</v>
      </c>
      <c r="Q695" s="167">
        <v>0</v>
      </c>
      <c r="R695" s="167">
        <v>0</v>
      </c>
      <c r="S695" s="167">
        <f t="shared" si="205"/>
        <v>3973949.34</v>
      </c>
      <c r="T695" s="167">
        <f t="shared" si="202"/>
        <v>5094.1537495192924</v>
      </c>
      <c r="U695" s="167">
        <v>5731.7036518395071</v>
      </c>
      <c r="V695" s="149">
        <f t="shared" si="204"/>
        <v>637.54990232021464</v>
      </c>
      <c r="W695" s="149">
        <f t="shared" si="206"/>
        <v>5731.7036518395071</v>
      </c>
      <c r="X695" s="149">
        <v>0</v>
      </c>
      <c r="Y695" s="368">
        <v>0</v>
      </c>
      <c r="Z695" s="368">
        <v>0</v>
      </c>
      <c r="AA695" s="368">
        <v>0</v>
      </c>
      <c r="AB695" s="368">
        <v>0</v>
      </c>
      <c r="AC695" s="368">
        <v>0</v>
      </c>
      <c r="AD695" s="368">
        <v>0</v>
      </c>
      <c r="AE695" s="368">
        <v>716.68</v>
      </c>
      <c r="AF695" s="396">
        <f t="shared" si="208"/>
        <v>5731.7036518395071</v>
      </c>
      <c r="AG695" s="368">
        <v>0</v>
      </c>
      <c r="AH695" s="396">
        <v>0</v>
      </c>
      <c r="AI695" s="368">
        <v>0</v>
      </c>
      <c r="AJ695" s="396">
        <v>0</v>
      </c>
      <c r="AK695" s="368">
        <v>0</v>
      </c>
      <c r="AL695" s="368">
        <v>0</v>
      </c>
      <c r="AM695" s="368">
        <v>0</v>
      </c>
      <c r="AN695" s="368"/>
      <c r="AO695" s="368">
        <v>0</v>
      </c>
    </row>
    <row r="696" spans="1:41" s="152" customFormat="1" ht="36" customHeight="1" x14ac:dyDescent="0.9">
      <c r="A696" s="152">
        <v>1</v>
      </c>
      <c r="B696" s="90">
        <f>SUBTOTAL(103,$A$554:A696)</f>
        <v>142</v>
      </c>
      <c r="C696" s="89" t="s">
        <v>469</v>
      </c>
      <c r="D696" s="163">
        <v>1971</v>
      </c>
      <c r="E696" s="163"/>
      <c r="F696" s="168" t="s">
        <v>270</v>
      </c>
      <c r="G696" s="163">
        <v>2</v>
      </c>
      <c r="H696" s="163">
        <v>2</v>
      </c>
      <c r="I696" s="164">
        <v>775.6</v>
      </c>
      <c r="J696" s="164">
        <v>716.4</v>
      </c>
      <c r="K696" s="164">
        <v>574.1</v>
      </c>
      <c r="L696" s="165">
        <v>35</v>
      </c>
      <c r="M696" s="163" t="s">
        <v>268</v>
      </c>
      <c r="N696" s="163" t="s">
        <v>269</v>
      </c>
      <c r="O696" s="166" t="s">
        <v>271</v>
      </c>
      <c r="P696" s="167">
        <v>3793636.92</v>
      </c>
      <c r="Q696" s="167">
        <v>0</v>
      </c>
      <c r="R696" s="167">
        <v>0</v>
      </c>
      <c r="S696" s="167">
        <f t="shared" si="205"/>
        <v>3793636.92</v>
      </c>
      <c r="T696" s="167">
        <f t="shared" si="202"/>
        <v>4891.228623001547</v>
      </c>
      <c r="U696" s="167">
        <v>5823.8406910778749</v>
      </c>
      <c r="V696" s="149">
        <f t="shared" si="204"/>
        <v>932.61206807632789</v>
      </c>
      <c r="W696" s="149">
        <f t="shared" si="206"/>
        <v>5823.8406910778749</v>
      </c>
      <c r="X696" s="149">
        <v>0</v>
      </c>
      <c r="Y696" s="368">
        <v>0</v>
      </c>
      <c r="Z696" s="368">
        <v>0</v>
      </c>
      <c r="AA696" s="368">
        <v>0</v>
      </c>
      <c r="AB696" s="368">
        <v>0</v>
      </c>
      <c r="AC696" s="368">
        <v>0</v>
      </c>
      <c r="AD696" s="368">
        <v>0</v>
      </c>
      <c r="AE696" s="368">
        <v>724</v>
      </c>
      <c r="AF696" s="396">
        <f t="shared" si="208"/>
        <v>5823.8406910778749</v>
      </c>
      <c r="AG696" s="368">
        <v>0</v>
      </c>
      <c r="AH696" s="396">
        <v>0</v>
      </c>
      <c r="AI696" s="368">
        <v>0</v>
      </c>
      <c r="AJ696" s="396">
        <v>0</v>
      </c>
      <c r="AK696" s="368">
        <v>0</v>
      </c>
      <c r="AL696" s="368">
        <v>0</v>
      </c>
      <c r="AM696" s="368">
        <v>0</v>
      </c>
      <c r="AN696" s="368"/>
      <c r="AO696" s="368">
        <v>0</v>
      </c>
    </row>
    <row r="697" spans="1:41" s="152" customFormat="1" ht="36" customHeight="1" x14ac:dyDescent="0.9">
      <c r="A697" s="152">
        <v>1</v>
      </c>
      <c r="B697" s="90">
        <f>SUBTOTAL(103,$A$554:A697)</f>
        <v>143</v>
      </c>
      <c r="C697" s="89" t="s">
        <v>1646</v>
      </c>
      <c r="D697" s="163">
        <v>1959</v>
      </c>
      <c r="E697" s="163"/>
      <c r="F697" s="168" t="s">
        <v>1359</v>
      </c>
      <c r="G697" s="163">
        <v>2</v>
      </c>
      <c r="H697" s="163">
        <v>2</v>
      </c>
      <c r="I697" s="164">
        <v>693.8</v>
      </c>
      <c r="J697" s="164">
        <v>573.4</v>
      </c>
      <c r="K697" s="164">
        <f>J697-76.6</f>
        <v>496.79999999999995</v>
      </c>
      <c r="L697" s="165">
        <v>22</v>
      </c>
      <c r="M697" s="163" t="s">
        <v>268</v>
      </c>
      <c r="N697" s="163" t="s">
        <v>269</v>
      </c>
      <c r="O697" s="166" t="s">
        <v>271</v>
      </c>
      <c r="P697" s="167">
        <v>3607695.84</v>
      </c>
      <c r="Q697" s="167">
        <v>0</v>
      </c>
      <c r="R697" s="167">
        <v>0</v>
      </c>
      <c r="S697" s="167">
        <f t="shared" si="205"/>
        <v>3607695.84</v>
      </c>
      <c r="T697" s="167">
        <f t="shared" si="202"/>
        <v>5199.9075237820698</v>
      </c>
      <c r="U697" s="167">
        <v>5643.6147535312775</v>
      </c>
      <c r="V697" s="149">
        <f t="shared" si="204"/>
        <v>443.70722974920773</v>
      </c>
      <c r="W697" s="149">
        <f t="shared" si="206"/>
        <v>5643.6147535312775</v>
      </c>
      <c r="X697" s="149">
        <v>0</v>
      </c>
      <c r="Y697" s="368">
        <v>0</v>
      </c>
      <c r="Z697" s="368">
        <v>0</v>
      </c>
      <c r="AA697" s="368">
        <v>0</v>
      </c>
      <c r="AB697" s="368">
        <v>0</v>
      </c>
      <c r="AC697" s="368">
        <v>0</v>
      </c>
      <c r="AD697" s="368">
        <v>0</v>
      </c>
      <c r="AE697" s="368">
        <v>627.6</v>
      </c>
      <c r="AF697" s="396">
        <f t="shared" si="208"/>
        <v>5643.6147535312775</v>
      </c>
      <c r="AG697" s="368">
        <v>0</v>
      </c>
      <c r="AH697" s="396">
        <v>0</v>
      </c>
      <c r="AI697" s="368">
        <v>0</v>
      </c>
      <c r="AJ697" s="396">
        <v>0</v>
      </c>
      <c r="AK697" s="368">
        <v>0</v>
      </c>
      <c r="AL697" s="368">
        <v>0</v>
      </c>
      <c r="AM697" s="368">
        <v>0</v>
      </c>
      <c r="AN697" s="368"/>
      <c r="AO697" s="368">
        <v>0</v>
      </c>
    </row>
    <row r="698" spans="1:41" s="152" customFormat="1" ht="36" customHeight="1" x14ac:dyDescent="0.9">
      <c r="A698" s="152">
        <v>1</v>
      </c>
      <c r="B698" s="90">
        <f>SUBTOTAL(103,$A$554:A698)</f>
        <v>144</v>
      </c>
      <c r="C698" s="89" t="s">
        <v>1647</v>
      </c>
      <c r="D698" s="163">
        <v>1959</v>
      </c>
      <c r="E698" s="163"/>
      <c r="F698" s="168" t="s">
        <v>1359</v>
      </c>
      <c r="G698" s="163">
        <v>2</v>
      </c>
      <c r="H698" s="163">
        <v>1</v>
      </c>
      <c r="I698" s="164">
        <v>301.39999999999998</v>
      </c>
      <c r="J698" s="164">
        <v>280.39999999999998</v>
      </c>
      <c r="K698" s="164">
        <f>J698</f>
        <v>280.39999999999998</v>
      </c>
      <c r="L698" s="165">
        <v>21</v>
      </c>
      <c r="M698" s="163" t="s">
        <v>268</v>
      </c>
      <c r="N698" s="163" t="s">
        <v>269</v>
      </c>
      <c r="O698" s="166" t="s">
        <v>271</v>
      </c>
      <c r="P698" s="167">
        <v>1597480.36</v>
      </c>
      <c r="Q698" s="167">
        <v>0</v>
      </c>
      <c r="R698" s="167">
        <v>0</v>
      </c>
      <c r="S698" s="167">
        <f t="shared" si="205"/>
        <v>1597480.36</v>
      </c>
      <c r="T698" s="167">
        <f t="shared" si="202"/>
        <v>5300.2002654280031</v>
      </c>
      <c r="U698" s="167">
        <v>5752.4654578633044</v>
      </c>
      <c r="V698" s="149">
        <f t="shared" si="204"/>
        <v>452.26519243530129</v>
      </c>
      <c r="W698" s="149">
        <f t="shared" si="206"/>
        <v>5752.4654578633044</v>
      </c>
      <c r="X698" s="149">
        <v>0</v>
      </c>
      <c r="Y698" s="368">
        <v>0</v>
      </c>
      <c r="Z698" s="368">
        <v>0</v>
      </c>
      <c r="AA698" s="368">
        <v>0</v>
      </c>
      <c r="AB698" s="368">
        <v>0</v>
      </c>
      <c r="AC698" s="368">
        <v>0</v>
      </c>
      <c r="AD698" s="368">
        <v>0</v>
      </c>
      <c r="AE698" s="368">
        <v>277.89999999999998</v>
      </c>
      <c r="AF698" s="396">
        <f t="shared" si="208"/>
        <v>5752.4654578633044</v>
      </c>
      <c r="AG698" s="368">
        <v>0</v>
      </c>
      <c r="AH698" s="396">
        <v>0</v>
      </c>
      <c r="AI698" s="368">
        <v>0</v>
      </c>
      <c r="AJ698" s="396">
        <v>0</v>
      </c>
      <c r="AK698" s="368">
        <v>0</v>
      </c>
      <c r="AL698" s="368">
        <v>0</v>
      </c>
      <c r="AM698" s="368">
        <v>0</v>
      </c>
      <c r="AN698" s="368"/>
      <c r="AO698" s="368">
        <v>0</v>
      </c>
    </row>
    <row r="699" spans="1:41" s="152" customFormat="1" ht="36" customHeight="1" x14ac:dyDescent="0.9">
      <c r="A699" s="152">
        <v>1</v>
      </c>
      <c r="B699" s="90">
        <f>SUBTOTAL(103,$A$554:A699)</f>
        <v>145</v>
      </c>
      <c r="C699" s="89" t="s">
        <v>1648</v>
      </c>
      <c r="D699" s="163">
        <v>1962</v>
      </c>
      <c r="E699" s="163"/>
      <c r="F699" s="168" t="s">
        <v>1359</v>
      </c>
      <c r="G699" s="163">
        <v>2</v>
      </c>
      <c r="H699" s="163">
        <v>2</v>
      </c>
      <c r="I699" s="164">
        <v>547.5</v>
      </c>
      <c r="J699" s="164">
        <v>547.5</v>
      </c>
      <c r="K699" s="164">
        <f>J699-68.4</f>
        <v>479.1</v>
      </c>
      <c r="L699" s="165">
        <v>42</v>
      </c>
      <c r="M699" s="163" t="s">
        <v>268</v>
      </c>
      <c r="N699" s="163" t="s">
        <v>269</v>
      </c>
      <c r="O699" s="166" t="s">
        <v>271</v>
      </c>
      <c r="P699" s="167">
        <v>3132303.1599999997</v>
      </c>
      <c r="Q699" s="167">
        <v>0</v>
      </c>
      <c r="R699" s="167">
        <v>0</v>
      </c>
      <c r="S699" s="167">
        <f t="shared" si="205"/>
        <v>3132303.1599999997</v>
      </c>
      <c r="T699" s="167">
        <f t="shared" si="202"/>
        <v>5721.1016621004565</v>
      </c>
      <c r="U699" s="167">
        <v>6209.2822995433789</v>
      </c>
      <c r="V699" s="149">
        <f t="shared" si="204"/>
        <v>488.18063744292249</v>
      </c>
      <c r="W699" s="149">
        <f t="shared" si="206"/>
        <v>6209.2822995433789</v>
      </c>
      <c r="X699" s="149">
        <v>0</v>
      </c>
      <c r="Y699" s="368">
        <v>0</v>
      </c>
      <c r="Z699" s="368">
        <v>0</v>
      </c>
      <c r="AA699" s="368">
        <v>0</v>
      </c>
      <c r="AB699" s="368">
        <v>0</v>
      </c>
      <c r="AC699" s="368">
        <v>0</v>
      </c>
      <c r="AD699" s="368">
        <v>0</v>
      </c>
      <c r="AE699" s="368">
        <v>544.9</v>
      </c>
      <c r="AF699" s="396">
        <f t="shared" si="208"/>
        <v>6209.2822995433789</v>
      </c>
      <c r="AG699" s="368">
        <v>0</v>
      </c>
      <c r="AH699" s="396">
        <v>0</v>
      </c>
      <c r="AI699" s="368">
        <v>0</v>
      </c>
      <c r="AJ699" s="396">
        <v>0</v>
      </c>
      <c r="AK699" s="368">
        <v>0</v>
      </c>
      <c r="AL699" s="368">
        <v>0</v>
      </c>
      <c r="AM699" s="368">
        <v>0</v>
      </c>
      <c r="AN699" s="368"/>
      <c r="AO699" s="368">
        <v>0</v>
      </c>
    </row>
    <row r="700" spans="1:41" s="152" customFormat="1" ht="36" customHeight="1" x14ac:dyDescent="0.9">
      <c r="A700" s="152">
        <v>1</v>
      </c>
      <c r="B700" s="90">
        <f>SUBTOTAL(103,$A$554:A700)</f>
        <v>146</v>
      </c>
      <c r="C700" s="89" t="s">
        <v>1649</v>
      </c>
      <c r="D700" s="163">
        <v>1966</v>
      </c>
      <c r="E700" s="163"/>
      <c r="F700" s="168" t="s">
        <v>1359</v>
      </c>
      <c r="G700" s="163">
        <v>2</v>
      </c>
      <c r="H700" s="163">
        <v>2</v>
      </c>
      <c r="I700" s="164">
        <v>462.6</v>
      </c>
      <c r="J700" s="164">
        <v>462.6</v>
      </c>
      <c r="K700" s="164">
        <f>J700</f>
        <v>462.6</v>
      </c>
      <c r="L700" s="165">
        <v>31</v>
      </c>
      <c r="M700" s="163" t="s">
        <v>268</v>
      </c>
      <c r="N700" s="163" t="s">
        <v>269</v>
      </c>
      <c r="O700" s="166" t="s">
        <v>271</v>
      </c>
      <c r="P700" s="167">
        <v>1937212.2999999998</v>
      </c>
      <c r="Q700" s="167">
        <v>0</v>
      </c>
      <c r="R700" s="167">
        <v>0</v>
      </c>
      <c r="S700" s="167">
        <f t="shared" si="205"/>
        <v>1937212.2999999998</v>
      </c>
      <c r="T700" s="167">
        <f t="shared" si="202"/>
        <v>4187.661694768698</v>
      </c>
      <c r="U700" s="167">
        <v>4544.9906398616513</v>
      </c>
      <c r="V700" s="149">
        <f t="shared" si="204"/>
        <v>357.32894509295329</v>
      </c>
      <c r="W700" s="149">
        <f t="shared" si="206"/>
        <v>4544.9906398616513</v>
      </c>
      <c r="X700" s="149">
        <v>0</v>
      </c>
      <c r="Y700" s="368">
        <v>0</v>
      </c>
      <c r="Z700" s="368">
        <v>0</v>
      </c>
      <c r="AA700" s="368">
        <v>0</v>
      </c>
      <c r="AB700" s="368">
        <v>0</v>
      </c>
      <c r="AC700" s="368">
        <v>0</v>
      </c>
      <c r="AD700" s="368">
        <v>0</v>
      </c>
      <c r="AE700" s="368">
        <v>337</v>
      </c>
      <c r="AF700" s="396">
        <f t="shared" si="208"/>
        <v>4544.9906398616513</v>
      </c>
      <c r="AG700" s="368">
        <v>0</v>
      </c>
      <c r="AH700" s="396">
        <v>0</v>
      </c>
      <c r="AI700" s="368">
        <v>0</v>
      </c>
      <c r="AJ700" s="396">
        <v>0</v>
      </c>
      <c r="AK700" s="368">
        <v>0</v>
      </c>
      <c r="AL700" s="368">
        <v>0</v>
      </c>
      <c r="AM700" s="368">
        <v>0</v>
      </c>
      <c r="AN700" s="368"/>
      <c r="AO700" s="368">
        <v>0</v>
      </c>
    </row>
    <row r="701" spans="1:41" s="152" customFormat="1" ht="36" customHeight="1" x14ac:dyDescent="0.9">
      <c r="A701" s="152">
        <v>1</v>
      </c>
      <c r="B701" s="90">
        <f>SUBTOTAL(103,$A$554:A701)</f>
        <v>147</v>
      </c>
      <c r="C701" s="89" t="s">
        <v>482</v>
      </c>
      <c r="D701" s="163">
        <v>1958</v>
      </c>
      <c r="E701" s="163"/>
      <c r="F701" s="168" t="s">
        <v>270</v>
      </c>
      <c r="G701" s="163">
        <v>2</v>
      </c>
      <c r="H701" s="163">
        <v>1</v>
      </c>
      <c r="I701" s="164">
        <v>714.4</v>
      </c>
      <c r="J701" s="164">
        <v>687.7</v>
      </c>
      <c r="K701" s="164">
        <v>565.79999999999995</v>
      </c>
      <c r="L701" s="165">
        <v>17</v>
      </c>
      <c r="M701" s="163" t="s">
        <v>268</v>
      </c>
      <c r="N701" s="163" t="s">
        <v>345</v>
      </c>
      <c r="O701" s="166" t="s">
        <v>346</v>
      </c>
      <c r="P701" s="167">
        <v>2847699.39</v>
      </c>
      <c r="Q701" s="167">
        <v>0</v>
      </c>
      <c r="R701" s="167">
        <v>0</v>
      </c>
      <c r="S701" s="167">
        <f t="shared" si="205"/>
        <v>2847699.39</v>
      </c>
      <c r="T701" s="167">
        <f t="shared" si="202"/>
        <v>3986.1413633818593</v>
      </c>
      <c r="U701" s="167">
        <v>4453.8691209406497</v>
      </c>
      <c r="V701" s="149">
        <f t="shared" si="204"/>
        <v>467.72775755879047</v>
      </c>
      <c r="W701" s="149">
        <f t="shared" si="206"/>
        <v>4453.8691209406497</v>
      </c>
      <c r="X701" s="149">
        <v>0</v>
      </c>
      <c r="Y701" s="368">
        <v>0</v>
      </c>
      <c r="Z701" s="368">
        <v>0</v>
      </c>
      <c r="AA701" s="368">
        <v>0</v>
      </c>
      <c r="AB701" s="368">
        <v>0</v>
      </c>
      <c r="AC701" s="368">
        <v>0</v>
      </c>
      <c r="AD701" s="368">
        <v>0</v>
      </c>
      <c r="AE701" s="368">
        <v>510</v>
      </c>
      <c r="AF701" s="396">
        <f t="shared" si="208"/>
        <v>4453.8691209406497</v>
      </c>
      <c r="AG701" s="368">
        <v>0</v>
      </c>
      <c r="AH701" s="396">
        <v>0</v>
      </c>
      <c r="AI701" s="368">
        <v>0</v>
      </c>
      <c r="AJ701" s="396">
        <v>0</v>
      </c>
      <c r="AK701" s="368">
        <v>0</v>
      </c>
      <c r="AL701" s="368">
        <v>0</v>
      </c>
      <c r="AM701" s="368">
        <v>0</v>
      </c>
      <c r="AN701" s="368"/>
      <c r="AO701" s="368">
        <v>0</v>
      </c>
    </row>
    <row r="702" spans="1:41" s="152" customFormat="1" ht="36" customHeight="1" x14ac:dyDescent="0.9">
      <c r="A702" s="152">
        <v>1</v>
      </c>
      <c r="B702" s="90">
        <f>SUBTOTAL(103,$A$554:A702)</f>
        <v>148</v>
      </c>
      <c r="C702" s="358" t="s">
        <v>1152</v>
      </c>
      <c r="D702" s="355">
        <v>1933</v>
      </c>
      <c r="E702" s="355">
        <v>2008</v>
      </c>
      <c r="F702" s="357" t="s">
        <v>270</v>
      </c>
      <c r="G702" s="355">
        <v>3</v>
      </c>
      <c r="H702" s="355">
        <v>4</v>
      </c>
      <c r="I702" s="353">
        <v>1863.4</v>
      </c>
      <c r="J702" s="353">
        <v>1677.4</v>
      </c>
      <c r="K702" s="353">
        <v>1604.4</v>
      </c>
      <c r="L702" s="356">
        <v>86</v>
      </c>
      <c r="M702" s="355" t="s">
        <v>268</v>
      </c>
      <c r="N702" s="355" t="s">
        <v>272</v>
      </c>
      <c r="O702" s="354" t="s">
        <v>350</v>
      </c>
      <c r="P702" s="353">
        <v>2152387.4200000004</v>
      </c>
      <c r="Q702" s="353">
        <v>0</v>
      </c>
      <c r="R702" s="353">
        <v>0</v>
      </c>
      <c r="S702" s="353">
        <f t="shared" si="205"/>
        <v>2152387.4200000004</v>
      </c>
      <c r="T702" s="167">
        <f t="shared" si="202"/>
        <v>1155.086089943115</v>
      </c>
      <c r="U702" s="167">
        <v>3259.66</v>
      </c>
      <c r="V702" s="149">
        <f t="shared" si="204"/>
        <v>2104.5739100568849</v>
      </c>
      <c r="W702" s="149">
        <f t="shared" si="206"/>
        <v>3259.66</v>
      </c>
      <c r="X702" s="149">
        <v>0</v>
      </c>
      <c r="Y702" s="368">
        <v>0</v>
      </c>
      <c r="Z702" s="368">
        <v>3259.66</v>
      </c>
      <c r="AA702" s="368">
        <v>0</v>
      </c>
      <c r="AB702" s="368">
        <v>0</v>
      </c>
      <c r="AC702" s="368">
        <v>0</v>
      </c>
      <c r="AD702" s="368">
        <v>0</v>
      </c>
      <c r="AE702" s="368">
        <v>0</v>
      </c>
      <c r="AF702" s="396">
        <v>0</v>
      </c>
      <c r="AG702" s="368">
        <v>0</v>
      </c>
      <c r="AH702" s="396">
        <v>0</v>
      </c>
      <c r="AI702" s="368">
        <v>0</v>
      </c>
      <c r="AJ702" s="396">
        <v>0</v>
      </c>
      <c r="AK702" s="368">
        <v>0</v>
      </c>
      <c r="AL702" s="368">
        <v>0</v>
      </c>
      <c r="AM702" s="368">
        <v>0</v>
      </c>
      <c r="AN702" s="368"/>
      <c r="AO702" s="368">
        <v>0</v>
      </c>
    </row>
    <row r="703" spans="1:41" s="152" customFormat="1" ht="36" customHeight="1" x14ac:dyDescent="0.9">
      <c r="A703" s="152">
        <v>1</v>
      </c>
      <c r="B703" s="90">
        <f>SUBTOTAL(103,$A$554:A703)</f>
        <v>149</v>
      </c>
      <c r="C703" s="358" t="s">
        <v>1157</v>
      </c>
      <c r="D703" s="355">
        <v>1964</v>
      </c>
      <c r="E703" s="355"/>
      <c r="F703" s="357" t="s">
        <v>270</v>
      </c>
      <c r="G703" s="355">
        <v>2</v>
      </c>
      <c r="H703" s="355">
        <v>1</v>
      </c>
      <c r="I703" s="353">
        <v>405.1</v>
      </c>
      <c r="J703" s="353">
        <v>380.8</v>
      </c>
      <c r="K703" s="353">
        <v>380.8</v>
      </c>
      <c r="L703" s="356">
        <v>13</v>
      </c>
      <c r="M703" s="355" t="s">
        <v>268</v>
      </c>
      <c r="N703" s="355" t="s">
        <v>269</v>
      </c>
      <c r="O703" s="354" t="s">
        <v>271</v>
      </c>
      <c r="P703" s="353">
        <v>534516.64</v>
      </c>
      <c r="Q703" s="353">
        <v>0</v>
      </c>
      <c r="R703" s="353">
        <v>0</v>
      </c>
      <c r="S703" s="353">
        <f t="shared" si="205"/>
        <v>534516.64</v>
      </c>
      <c r="T703" s="167">
        <f t="shared" ref="T703:T766" si="209">P703/I703</f>
        <v>1319.4683781782276</v>
      </c>
      <c r="U703" s="167">
        <v>3259.66</v>
      </c>
      <c r="V703" s="149">
        <f t="shared" si="204"/>
        <v>1940.1916218217723</v>
      </c>
      <c r="W703" s="149">
        <f t="shared" si="206"/>
        <v>3259.66</v>
      </c>
      <c r="X703" s="149">
        <v>0</v>
      </c>
      <c r="Y703" s="368">
        <v>0</v>
      </c>
      <c r="Z703" s="368">
        <v>3259.66</v>
      </c>
      <c r="AA703" s="368">
        <v>0</v>
      </c>
      <c r="AB703" s="368">
        <v>0</v>
      </c>
      <c r="AC703" s="368">
        <v>0</v>
      </c>
      <c r="AD703" s="368">
        <v>0</v>
      </c>
      <c r="AE703" s="368">
        <v>0</v>
      </c>
      <c r="AF703" s="396">
        <v>0</v>
      </c>
      <c r="AG703" s="368">
        <v>0</v>
      </c>
      <c r="AH703" s="396">
        <v>0</v>
      </c>
      <c r="AI703" s="368">
        <v>0</v>
      </c>
      <c r="AJ703" s="396">
        <v>0</v>
      </c>
      <c r="AK703" s="368">
        <v>0</v>
      </c>
      <c r="AL703" s="368">
        <v>0</v>
      </c>
      <c r="AM703" s="368">
        <v>0</v>
      </c>
      <c r="AN703" s="368"/>
      <c r="AO703" s="368">
        <v>0</v>
      </c>
    </row>
    <row r="704" spans="1:41" s="152" customFormat="1" ht="36" customHeight="1" x14ac:dyDescent="0.9">
      <c r="A704" s="152">
        <v>1</v>
      </c>
      <c r="B704" s="90">
        <f>SUBTOTAL(103,$A$554:A704)</f>
        <v>150</v>
      </c>
      <c r="C704" s="358" t="s">
        <v>1162</v>
      </c>
      <c r="D704" s="355">
        <v>1977</v>
      </c>
      <c r="E704" s="355">
        <v>2014</v>
      </c>
      <c r="F704" s="357" t="s">
        <v>270</v>
      </c>
      <c r="G704" s="355">
        <v>5</v>
      </c>
      <c r="H704" s="355">
        <v>4</v>
      </c>
      <c r="I704" s="353">
        <v>3912.3</v>
      </c>
      <c r="J704" s="353">
        <v>3639.1</v>
      </c>
      <c r="K704" s="353">
        <v>2451.4</v>
      </c>
      <c r="L704" s="356">
        <v>85</v>
      </c>
      <c r="M704" s="355" t="s">
        <v>268</v>
      </c>
      <c r="N704" s="355" t="s">
        <v>272</v>
      </c>
      <c r="O704" s="354" t="s">
        <v>1317</v>
      </c>
      <c r="P704" s="353">
        <v>1370144.55</v>
      </c>
      <c r="Q704" s="353">
        <v>0</v>
      </c>
      <c r="R704" s="353">
        <v>0</v>
      </c>
      <c r="S704" s="353">
        <f t="shared" si="205"/>
        <v>1370144.55</v>
      </c>
      <c r="T704" s="167">
        <f t="shared" si="209"/>
        <v>350.2145924392301</v>
      </c>
      <c r="U704" s="167">
        <v>3259.66</v>
      </c>
      <c r="V704" s="149">
        <f t="shared" si="204"/>
        <v>2909.4454075607696</v>
      </c>
      <c r="W704" s="149">
        <f t="shared" si="206"/>
        <v>3259.66</v>
      </c>
      <c r="X704" s="149">
        <v>0</v>
      </c>
      <c r="Y704" s="368">
        <v>0</v>
      </c>
      <c r="Z704" s="368">
        <v>3259.66</v>
      </c>
      <c r="AA704" s="368">
        <v>0</v>
      </c>
      <c r="AB704" s="368">
        <v>0</v>
      </c>
      <c r="AC704" s="368">
        <v>0</v>
      </c>
      <c r="AD704" s="368">
        <v>0</v>
      </c>
      <c r="AE704" s="368">
        <v>0</v>
      </c>
      <c r="AF704" s="396">
        <v>0</v>
      </c>
      <c r="AG704" s="368">
        <v>0</v>
      </c>
      <c r="AH704" s="396">
        <v>0</v>
      </c>
      <c r="AI704" s="368">
        <v>0</v>
      </c>
      <c r="AJ704" s="396">
        <v>0</v>
      </c>
      <c r="AK704" s="368">
        <v>0</v>
      </c>
      <c r="AL704" s="368">
        <v>0</v>
      </c>
      <c r="AM704" s="368">
        <v>0</v>
      </c>
      <c r="AN704" s="368"/>
      <c r="AO704" s="368">
        <v>0</v>
      </c>
    </row>
    <row r="705" spans="1:41" s="152" customFormat="1" ht="36" customHeight="1" x14ac:dyDescent="0.9">
      <c r="A705" s="152">
        <v>1</v>
      </c>
      <c r="B705" s="90">
        <f>SUBTOTAL(103,$A$554:A705)</f>
        <v>151</v>
      </c>
      <c r="C705" s="358" t="s">
        <v>1164</v>
      </c>
      <c r="D705" s="355">
        <v>1985</v>
      </c>
      <c r="E705" s="355">
        <v>2014</v>
      </c>
      <c r="F705" s="357" t="s">
        <v>270</v>
      </c>
      <c r="G705" s="355">
        <v>9</v>
      </c>
      <c r="H705" s="355">
        <v>3</v>
      </c>
      <c r="I705" s="353">
        <v>7073.4</v>
      </c>
      <c r="J705" s="353">
        <v>6236.1</v>
      </c>
      <c r="K705" s="353">
        <v>5083.1000000000004</v>
      </c>
      <c r="L705" s="356">
        <v>235</v>
      </c>
      <c r="M705" s="355" t="s">
        <v>268</v>
      </c>
      <c r="N705" s="355" t="s">
        <v>272</v>
      </c>
      <c r="O705" s="354" t="s">
        <v>1345</v>
      </c>
      <c r="P705" s="353">
        <v>4854047.7300000004</v>
      </c>
      <c r="Q705" s="353">
        <v>0</v>
      </c>
      <c r="R705" s="353">
        <v>0</v>
      </c>
      <c r="S705" s="353">
        <f t="shared" si="205"/>
        <v>4854047.7300000004</v>
      </c>
      <c r="T705" s="167">
        <f t="shared" si="209"/>
        <v>686.23967681737224</v>
      </c>
      <c r="U705" s="167">
        <v>4054.97</v>
      </c>
      <c r="V705" s="149">
        <f t="shared" si="204"/>
        <v>3368.7303231826277</v>
      </c>
      <c r="W705" s="149">
        <f t="shared" si="206"/>
        <v>4054.97</v>
      </c>
      <c r="X705" s="149">
        <v>0</v>
      </c>
      <c r="Y705" s="368">
        <v>0</v>
      </c>
      <c r="Z705" s="368">
        <v>3259.66</v>
      </c>
      <c r="AA705" s="368">
        <v>0</v>
      </c>
      <c r="AB705" s="368">
        <v>795.31</v>
      </c>
      <c r="AC705" s="368">
        <v>0</v>
      </c>
      <c r="AD705" s="368">
        <v>0</v>
      </c>
      <c r="AE705" s="368">
        <v>0</v>
      </c>
      <c r="AF705" s="396">
        <v>0</v>
      </c>
      <c r="AG705" s="368">
        <v>0</v>
      </c>
      <c r="AH705" s="396">
        <v>0</v>
      </c>
      <c r="AI705" s="368">
        <v>0</v>
      </c>
      <c r="AJ705" s="396">
        <v>0</v>
      </c>
      <c r="AK705" s="368">
        <v>0</v>
      </c>
      <c r="AL705" s="368">
        <v>0</v>
      </c>
      <c r="AM705" s="368">
        <v>0</v>
      </c>
      <c r="AN705" s="368"/>
      <c r="AO705" s="368">
        <v>0</v>
      </c>
    </row>
    <row r="706" spans="1:41" s="152" customFormat="1" ht="36" customHeight="1" x14ac:dyDescent="0.9">
      <c r="A706" s="152">
        <v>1</v>
      </c>
      <c r="B706" s="90">
        <f>SUBTOTAL(103,$A$554:A706)</f>
        <v>152</v>
      </c>
      <c r="C706" s="358" t="s">
        <v>1160</v>
      </c>
      <c r="D706" s="355">
        <v>1955</v>
      </c>
      <c r="E706" s="355"/>
      <c r="F706" s="357" t="s">
        <v>270</v>
      </c>
      <c r="G706" s="355">
        <v>2</v>
      </c>
      <c r="H706" s="355">
        <v>1</v>
      </c>
      <c r="I706" s="353">
        <v>421.3</v>
      </c>
      <c r="J706" s="353">
        <v>388.3</v>
      </c>
      <c r="K706" s="353">
        <v>388.3</v>
      </c>
      <c r="L706" s="356">
        <v>21</v>
      </c>
      <c r="M706" s="355" t="s">
        <v>268</v>
      </c>
      <c r="N706" s="355" t="s">
        <v>269</v>
      </c>
      <c r="O706" s="354" t="s">
        <v>271</v>
      </c>
      <c r="P706" s="353">
        <v>1971369.43</v>
      </c>
      <c r="Q706" s="353">
        <v>0</v>
      </c>
      <c r="R706" s="353">
        <v>0</v>
      </c>
      <c r="S706" s="353">
        <f t="shared" si="205"/>
        <v>1971369.43</v>
      </c>
      <c r="T706" s="167">
        <f t="shared" si="209"/>
        <v>4679.2533349157366</v>
      </c>
      <c r="U706" s="167">
        <v>7947.6356752907668</v>
      </c>
      <c r="V706" s="149">
        <f t="shared" si="204"/>
        <v>3268.3823403750303</v>
      </c>
      <c r="W706" s="149">
        <f t="shared" si="206"/>
        <v>7947.6356752907668</v>
      </c>
      <c r="X706" s="149">
        <v>0</v>
      </c>
      <c r="Y706" s="368">
        <v>0</v>
      </c>
      <c r="Z706" s="368">
        <v>0</v>
      </c>
      <c r="AA706" s="368">
        <v>0</v>
      </c>
      <c r="AB706" s="368">
        <v>0</v>
      </c>
      <c r="AC706" s="368">
        <v>0</v>
      </c>
      <c r="AD706" s="368">
        <v>0</v>
      </c>
      <c r="AE706" s="368">
        <v>0</v>
      </c>
      <c r="AF706" s="396">
        <v>0</v>
      </c>
      <c r="AG706" s="368">
        <v>0</v>
      </c>
      <c r="AH706" s="396">
        <v>0</v>
      </c>
      <c r="AI706" s="368">
        <v>450.1</v>
      </c>
      <c r="AJ706" s="397">
        <f>7439.1*AI706/I706</f>
        <v>7947.6356752907668</v>
      </c>
      <c r="AK706" s="368">
        <v>0</v>
      </c>
      <c r="AL706" s="368">
        <v>0</v>
      </c>
      <c r="AM706" s="368">
        <v>0</v>
      </c>
      <c r="AN706" s="368"/>
      <c r="AO706" s="368">
        <v>0</v>
      </c>
    </row>
    <row r="707" spans="1:41" s="152" customFormat="1" ht="36" customHeight="1" x14ac:dyDescent="0.9">
      <c r="A707" s="152">
        <v>1</v>
      </c>
      <c r="B707" s="90">
        <f>SUBTOTAL(103,$A$554:A707)</f>
        <v>153</v>
      </c>
      <c r="C707" s="89" t="s">
        <v>460</v>
      </c>
      <c r="D707" s="163">
        <v>1968</v>
      </c>
      <c r="E707" s="163">
        <v>2010</v>
      </c>
      <c r="F707" s="168" t="s">
        <v>334</v>
      </c>
      <c r="G707" s="163">
        <v>2</v>
      </c>
      <c r="H707" s="163">
        <v>2</v>
      </c>
      <c r="I707" s="167">
        <v>522</v>
      </c>
      <c r="J707" s="167">
        <v>471.1</v>
      </c>
      <c r="K707" s="167">
        <v>341.6</v>
      </c>
      <c r="L707" s="165">
        <v>22</v>
      </c>
      <c r="M707" s="163" t="s">
        <v>268</v>
      </c>
      <c r="N707" s="163" t="s">
        <v>269</v>
      </c>
      <c r="O707" s="166" t="s">
        <v>271</v>
      </c>
      <c r="P707" s="167">
        <v>2358287.8899999997</v>
      </c>
      <c r="Q707" s="167">
        <v>0</v>
      </c>
      <c r="R707" s="167">
        <v>0</v>
      </c>
      <c r="S707" s="167">
        <f t="shared" si="205"/>
        <v>2358287.8899999997</v>
      </c>
      <c r="T707" s="167">
        <f t="shared" si="209"/>
        <v>4517.7928927203056</v>
      </c>
      <c r="U707" s="167">
        <v>4517.7928927203056</v>
      </c>
      <c r="V707" s="149">
        <f t="shared" si="204"/>
        <v>0</v>
      </c>
      <c r="W707" s="149">
        <f>T707</f>
        <v>4517.7928927203056</v>
      </c>
      <c r="X707" s="149">
        <v>0</v>
      </c>
      <c r="Y707" s="368">
        <v>0</v>
      </c>
      <c r="Z707" s="368">
        <v>0</v>
      </c>
      <c r="AA707" s="368">
        <v>0</v>
      </c>
      <c r="AB707" s="368">
        <v>0</v>
      </c>
      <c r="AC707" s="368">
        <v>0</v>
      </c>
      <c r="AD707" s="368">
        <v>0</v>
      </c>
      <c r="AE707" s="368">
        <v>0</v>
      </c>
      <c r="AF707" s="396">
        <v>0</v>
      </c>
      <c r="AG707" s="368">
        <v>0</v>
      </c>
      <c r="AH707" s="396">
        <v>0</v>
      </c>
      <c r="AI707" s="368">
        <v>538.6</v>
      </c>
      <c r="AJ707" s="396">
        <f>3979.46*AI707/I707</f>
        <v>4106.0098773946356</v>
      </c>
      <c r="AK707" s="368">
        <v>0</v>
      </c>
      <c r="AL707" s="368">
        <v>0</v>
      </c>
      <c r="AM707" s="368">
        <v>0</v>
      </c>
      <c r="AN707" s="368"/>
      <c r="AO707" s="368">
        <v>0</v>
      </c>
    </row>
    <row r="708" spans="1:41" s="152" customFormat="1" ht="36" customHeight="1" x14ac:dyDescent="0.9">
      <c r="B708" s="382" t="s">
        <v>770</v>
      </c>
      <c r="C708" s="388"/>
      <c r="D708" s="384" t="s">
        <v>903</v>
      </c>
      <c r="E708" s="163" t="s">
        <v>903</v>
      </c>
      <c r="F708" s="384" t="s">
        <v>903</v>
      </c>
      <c r="G708" s="384" t="s">
        <v>903</v>
      </c>
      <c r="H708" s="163" t="s">
        <v>903</v>
      </c>
      <c r="I708" s="386">
        <f>SUM(I709:I771)</f>
        <v>119127.41999999998</v>
      </c>
      <c r="J708" s="164">
        <f>SUM(J709:J771)</f>
        <v>99938.539999999964</v>
      </c>
      <c r="K708" s="164">
        <f>SUM(K709:K771)</f>
        <v>90130.4</v>
      </c>
      <c r="L708" s="165">
        <f>SUM(L709:L771)</f>
        <v>4746</v>
      </c>
      <c r="M708" s="163" t="s">
        <v>903</v>
      </c>
      <c r="N708" s="163" t="s">
        <v>903</v>
      </c>
      <c r="O708" s="166" t="s">
        <v>903</v>
      </c>
      <c r="P708" s="386">
        <v>140871458.16</v>
      </c>
      <c r="Q708" s="164">
        <f>SUM(Q709:Q771)</f>
        <v>0</v>
      </c>
      <c r="R708" s="164">
        <f>SUM(R709:R771)</f>
        <v>0</v>
      </c>
      <c r="S708" s="164">
        <f>SUM(S709:S771)</f>
        <v>140871458.16</v>
      </c>
      <c r="T708" s="387">
        <f t="shared" si="209"/>
        <v>1182.5275672049308</v>
      </c>
      <c r="U708" s="387">
        <f>MAX(U709:U771)</f>
        <v>9231.9648869648863</v>
      </c>
      <c r="V708" s="149">
        <f t="shared" si="204"/>
        <v>8049.4373197599552</v>
      </c>
      <c r="W708" s="149"/>
      <c r="X708" s="149"/>
      <c r="Y708" s="368"/>
      <c r="Z708" s="368"/>
      <c r="AA708" s="368"/>
      <c r="AB708" s="368"/>
      <c r="AC708" s="368"/>
      <c r="AD708" s="368"/>
      <c r="AE708" s="368"/>
      <c r="AF708" s="368"/>
      <c r="AG708" s="368"/>
      <c r="AH708" s="368"/>
      <c r="AI708" s="368"/>
      <c r="AJ708" s="368"/>
      <c r="AK708" s="368"/>
      <c r="AL708" s="368"/>
      <c r="AM708" s="368"/>
      <c r="AN708" s="368"/>
      <c r="AO708" s="368"/>
    </row>
    <row r="709" spans="1:41" s="152" customFormat="1" ht="36" customHeight="1" x14ac:dyDescent="0.9">
      <c r="A709" s="152">
        <v>1</v>
      </c>
      <c r="B709" s="90">
        <f>SUBTOTAL(103,$A$554:A709)</f>
        <v>154</v>
      </c>
      <c r="C709" s="89" t="s">
        <v>407</v>
      </c>
      <c r="D709" s="163">
        <v>1985</v>
      </c>
      <c r="E709" s="163"/>
      <c r="F709" s="168" t="s">
        <v>270</v>
      </c>
      <c r="G709" s="163">
        <v>5</v>
      </c>
      <c r="H709" s="163">
        <v>6</v>
      </c>
      <c r="I709" s="164">
        <v>4537.2</v>
      </c>
      <c r="J709" s="164">
        <v>4163</v>
      </c>
      <c r="K709" s="164">
        <v>3807.9</v>
      </c>
      <c r="L709" s="165">
        <v>204</v>
      </c>
      <c r="M709" s="163" t="s">
        <v>268</v>
      </c>
      <c r="N709" s="163" t="s">
        <v>272</v>
      </c>
      <c r="O709" s="166" t="s">
        <v>1004</v>
      </c>
      <c r="P709" s="167">
        <v>6231804.3600000003</v>
      </c>
      <c r="Q709" s="167">
        <v>0</v>
      </c>
      <c r="R709" s="167">
        <v>0</v>
      </c>
      <c r="S709" s="167">
        <f t="shared" ref="S709:S771" si="210">P709-Q709-R709</f>
        <v>6231804.3600000003</v>
      </c>
      <c r="T709" s="167">
        <f t="shared" si="209"/>
        <v>1373.4912192541658</v>
      </c>
      <c r="U709" s="167">
        <v>1608.8170457550914</v>
      </c>
      <c r="V709" s="149">
        <f t="shared" si="204"/>
        <v>235.32582650092559</v>
      </c>
      <c r="W709" s="149">
        <f t="shared" ref="W709:W745" si="211">X709+Y709+Z709+AA709+AB709+AD709+AF709+AH709+AJ709+AL709+AN709+AO709</f>
        <v>1608.8170457550914</v>
      </c>
      <c r="X709" s="149">
        <v>0</v>
      </c>
      <c r="Y709" s="368">
        <v>0</v>
      </c>
      <c r="Z709" s="368">
        <v>0</v>
      </c>
      <c r="AA709" s="368">
        <v>0</v>
      </c>
      <c r="AB709" s="368">
        <v>0</v>
      </c>
      <c r="AC709" s="368">
        <v>0</v>
      </c>
      <c r="AD709" s="368">
        <v>0</v>
      </c>
      <c r="AE709" s="368">
        <v>1170</v>
      </c>
      <c r="AF709" s="396">
        <f t="shared" ref="AF709:AF713" si="212">6238.91*AE709/I709</f>
        <v>1608.8170457550914</v>
      </c>
      <c r="AG709" s="368">
        <v>0</v>
      </c>
      <c r="AH709" s="396">
        <v>0</v>
      </c>
      <c r="AI709" s="368">
        <v>0</v>
      </c>
      <c r="AJ709" s="396">
        <v>0</v>
      </c>
      <c r="AK709" s="368">
        <v>0</v>
      </c>
      <c r="AL709" s="368">
        <v>0</v>
      </c>
      <c r="AM709" s="368">
        <v>0</v>
      </c>
      <c r="AN709" s="368"/>
      <c r="AO709" s="368">
        <v>0</v>
      </c>
    </row>
    <row r="710" spans="1:41" s="152" customFormat="1" ht="36" customHeight="1" x14ac:dyDescent="0.9">
      <c r="A710" s="152">
        <v>1</v>
      </c>
      <c r="B710" s="90">
        <f>SUBTOTAL(103,$A$554:A710)</f>
        <v>155</v>
      </c>
      <c r="C710" s="89" t="s">
        <v>409</v>
      </c>
      <c r="D710" s="163">
        <v>1987</v>
      </c>
      <c r="E710" s="163"/>
      <c r="F710" s="168" t="s">
        <v>270</v>
      </c>
      <c r="G710" s="163">
        <v>9</v>
      </c>
      <c r="H710" s="163">
        <v>1</v>
      </c>
      <c r="I710" s="164">
        <v>6006.9</v>
      </c>
      <c r="J710" s="164">
        <v>4693</v>
      </c>
      <c r="K710" s="164">
        <v>4333.1000000000004</v>
      </c>
      <c r="L710" s="165">
        <v>292</v>
      </c>
      <c r="M710" s="163" t="s">
        <v>268</v>
      </c>
      <c r="N710" s="163" t="s">
        <v>272</v>
      </c>
      <c r="O710" s="166" t="s">
        <v>325</v>
      </c>
      <c r="P710" s="167">
        <v>4914920.1100000003</v>
      </c>
      <c r="Q710" s="167">
        <v>0</v>
      </c>
      <c r="R710" s="167">
        <v>0</v>
      </c>
      <c r="S710" s="167">
        <f t="shared" si="210"/>
        <v>4914920.1100000003</v>
      </c>
      <c r="T710" s="167">
        <f t="shared" si="209"/>
        <v>818.21240739815892</v>
      </c>
      <c r="U710" s="167">
        <v>913.98904593051327</v>
      </c>
      <c r="V710" s="149">
        <f t="shared" si="204"/>
        <v>95.776638532354355</v>
      </c>
      <c r="W710" s="149">
        <f t="shared" si="211"/>
        <v>913.98904593051327</v>
      </c>
      <c r="X710" s="149">
        <v>0</v>
      </c>
      <c r="Y710" s="368">
        <v>0</v>
      </c>
      <c r="Z710" s="368">
        <v>0</v>
      </c>
      <c r="AA710" s="368">
        <v>0</v>
      </c>
      <c r="AB710" s="368">
        <v>0</v>
      </c>
      <c r="AC710" s="368">
        <v>0</v>
      </c>
      <c r="AD710" s="368">
        <v>0</v>
      </c>
      <c r="AE710" s="368">
        <v>880</v>
      </c>
      <c r="AF710" s="396">
        <f t="shared" si="212"/>
        <v>913.98904593051327</v>
      </c>
      <c r="AG710" s="368">
        <v>0</v>
      </c>
      <c r="AH710" s="396">
        <v>0</v>
      </c>
      <c r="AI710" s="368">
        <v>0</v>
      </c>
      <c r="AJ710" s="396">
        <v>0</v>
      </c>
      <c r="AK710" s="368">
        <v>0</v>
      </c>
      <c r="AL710" s="368">
        <v>0</v>
      </c>
      <c r="AM710" s="368">
        <v>0</v>
      </c>
      <c r="AN710" s="368"/>
      <c r="AO710" s="368">
        <v>0</v>
      </c>
    </row>
    <row r="711" spans="1:41" s="152" customFormat="1" ht="36" customHeight="1" x14ac:dyDescent="0.9">
      <c r="A711" s="152">
        <v>1</v>
      </c>
      <c r="B711" s="90">
        <f>SUBTOTAL(103,$A$554:A711)</f>
        <v>156</v>
      </c>
      <c r="C711" s="89" t="s">
        <v>410</v>
      </c>
      <c r="D711" s="163">
        <v>1959</v>
      </c>
      <c r="E711" s="163"/>
      <c r="F711" s="168" t="s">
        <v>270</v>
      </c>
      <c r="G711" s="163">
        <v>4</v>
      </c>
      <c r="H711" s="163">
        <v>1</v>
      </c>
      <c r="I711" s="164">
        <v>1756.3</v>
      </c>
      <c r="J711" s="164">
        <v>1356.3</v>
      </c>
      <c r="K711" s="164">
        <v>1024.3</v>
      </c>
      <c r="L711" s="165">
        <v>59</v>
      </c>
      <c r="M711" s="163" t="s">
        <v>268</v>
      </c>
      <c r="N711" s="163" t="s">
        <v>269</v>
      </c>
      <c r="O711" s="166" t="s">
        <v>271</v>
      </c>
      <c r="P711" s="167">
        <v>3567125.84</v>
      </c>
      <c r="Q711" s="167">
        <v>0</v>
      </c>
      <c r="R711" s="167">
        <v>0</v>
      </c>
      <c r="S711" s="167">
        <f t="shared" si="210"/>
        <v>3567125.84</v>
      </c>
      <c r="T711" s="167">
        <f t="shared" si="209"/>
        <v>2031.0458577691738</v>
      </c>
      <c r="U711" s="167">
        <v>2308.9970392301998</v>
      </c>
      <c r="V711" s="149">
        <f t="shared" si="204"/>
        <v>277.95118146102595</v>
      </c>
      <c r="W711" s="149">
        <f t="shared" si="211"/>
        <v>2308.9970392301998</v>
      </c>
      <c r="X711" s="149">
        <v>0</v>
      </c>
      <c r="Y711" s="368">
        <v>0</v>
      </c>
      <c r="Z711" s="368">
        <v>0</v>
      </c>
      <c r="AA711" s="368">
        <v>0</v>
      </c>
      <c r="AB711" s="368">
        <v>0</v>
      </c>
      <c r="AC711" s="368">
        <v>0</v>
      </c>
      <c r="AD711" s="368">
        <v>0</v>
      </c>
      <c r="AE711" s="368">
        <v>650</v>
      </c>
      <c r="AF711" s="396">
        <f t="shared" si="212"/>
        <v>2308.9970392301998</v>
      </c>
      <c r="AG711" s="368">
        <v>0</v>
      </c>
      <c r="AH711" s="396">
        <v>0</v>
      </c>
      <c r="AI711" s="368">
        <v>0</v>
      </c>
      <c r="AJ711" s="396">
        <v>0</v>
      </c>
      <c r="AK711" s="368">
        <v>0</v>
      </c>
      <c r="AL711" s="368">
        <v>0</v>
      </c>
      <c r="AM711" s="368">
        <v>0</v>
      </c>
      <c r="AN711" s="368"/>
      <c r="AO711" s="368">
        <v>0</v>
      </c>
    </row>
    <row r="712" spans="1:41" s="152" customFormat="1" ht="36" customHeight="1" x14ac:dyDescent="0.9">
      <c r="A712" s="152">
        <v>1</v>
      </c>
      <c r="B712" s="90">
        <f>SUBTOTAL(103,$A$554:A712)</f>
        <v>157</v>
      </c>
      <c r="C712" s="89" t="s">
        <v>411</v>
      </c>
      <c r="D712" s="163">
        <v>1941</v>
      </c>
      <c r="E712" s="163"/>
      <c r="F712" s="168" t="s">
        <v>328</v>
      </c>
      <c r="G712" s="163">
        <v>2</v>
      </c>
      <c r="H712" s="163">
        <v>2</v>
      </c>
      <c r="I712" s="164">
        <v>743.7</v>
      </c>
      <c r="J712" s="164">
        <v>550.15</v>
      </c>
      <c r="K712" s="164">
        <v>379.65</v>
      </c>
      <c r="L712" s="165">
        <v>21</v>
      </c>
      <c r="M712" s="163" t="s">
        <v>268</v>
      </c>
      <c r="N712" s="163" t="s">
        <v>272</v>
      </c>
      <c r="O712" s="166" t="s">
        <v>329</v>
      </c>
      <c r="P712" s="167">
        <v>3399322.55</v>
      </c>
      <c r="Q712" s="167">
        <v>0</v>
      </c>
      <c r="R712" s="167">
        <v>0</v>
      </c>
      <c r="S712" s="167">
        <f t="shared" si="210"/>
        <v>3399322.55</v>
      </c>
      <c r="T712" s="167">
        <f t="shared" si="209"/>
        <v>4570.8249966384292</v>
      </c>
      <c r="U712" s="167">
        <v>5201.1889202635466</v>
      </c>
      <c r="V712" s="149">
        <f t="shared" si="204"/>
        <v>630.36392362511742</v>
      </c>
      <c r="W712" s="149">
        <f t="shared" si="211"/>
        <v>5201.1889202635466</v>
      </c>
      <c r="X712" s="149">
        <v>0</v>
      </c>
      <c r="Y712" s="368">
        <v>0</v>
      </c>
      <c r="Z712" s="368">
        <v>0</v>
      </c>
      <c r="AA712" s="368">
        <v>0</v>
      </c>
      <c r="AB712" s="368">
        <v>0</v>
      </c>
      <c r="AC712" s="368">
        <v>0</v>
      </c>
      <c r="AD712" s="368">
        <v>0</v>
      </c>
      <c r="AE712" s="368">
        <v>620</v>
      </c>
      <c r="AF712" s="396">
        <f t="shared" si="212"/>
        <v>5201.1889202635466</v>
      </c>
      <c r="AG712" s="368">
        <v>0</v>
      </c>
      <c r="AH712" s="396">
        <v>0</v>
      </c>
      <c r="AI712" s="368">
        <v>0</v>
      </c>
      <c r="AJ712" s="396">
        <v>0</v>
      </c>
      <c r="AK712" s="368">
        <v>0</v>
      </c>
      <c r="AL712" s="368">
        <v>0</v>
      </c>
      <c r="AM712" s="368">
        <v>0</v>
      </c>
      <c r="AN712" s="368"/>
      <c r="AO712" s="368">
        <v>0</v>
      </c>
    </row>
    <row r="713" spans="1:41" s="152" customFormat="1" ht="36" customHeight="1" x14ac:dyDescent="0.9">
      <c r="A713" s="152">
        <v>1</v>
      </c>
      <c r="B713" s="90">
        <f>SUBTOTAL(103,$A$554:A713)</f>
        <v>158</v>
      </c>
      <c r="C713" s="89" t="s">
        <v>412</v>
      </c>
      <c r="D713" s="163">
        <v>1957</v>
      </c>
      <c r="E713" s="163"/>
      <c r="F713" s="168" t="s">
        <v>270</v>
      </c>
      <c r="G713" s="163">
        <v>2</v>
      </c>
      <c r="H713" s="163">
        <v>2</v>
      </c>
      <c r="I713" s="164">
        <v>706.7</v>
      </c>
      <c r="J713" s="164">
        <v>646.1</v>
      </c>
      <c r="K713" s="164">
        <v>646.1</v>
      </c>
      <c r="L713" s="165">
        <v>23</v>
      </c>
      <c r="M713" s="163" t="s">
        <v>268</v>
      </c>
      <c r="N713" s="163" t="s">
        <v>269</v>
      </c>
      <c r="O713" s="166" t="s">
        <v>271</v>
      </c>
      <c r="P713" s="167">
        <v>3553347.11</v>
      </c>
      <c r="Q713" s="167">
        <v>0</v>
      </c>
      <c r="R713" s="167">
        <v>0</v>
      </c>
      <c r="S713" s="167">
        <f t="shared" si="210"/>
        <v>3553347.11</v>
      </c>
      <c r="T713" s="167">
        <f t="shared" si="209"/>
        <v>5028.0842082920608</v>
      </c>
      <c r="U713" s="167">
        <v>5650.0670723079093</v>
      </c>
      <c r="V713" s="149">
        <f t="shared" si="204"/>
        <v>621.98286401584846</v>
      </c>
      <c r="W713" s="149">
        <f t="shared" si="211"/>
        <v>5650.0670723079093</v>
      </c>
      <c r="X713" s="149">
        <v>0</v>
      </c>
      <c r="Y713" s="368">
        <v>0</v>
      </c>
      <c r="Z713" s="368">
        <v>0</v>
      </c>
      <c r="AA713" s="368">
        <v>0</v>
      </c>
      <c r="AB713" s="368">
        <v>0</v>
      </c>
      <c r="AC713" s="368">
        <v>0</v>
      </c>
      <c r="AD713" s="368">
        <v>0</v>
      </c>
      <c r="AE713" s="368">
        <v>640</v>
      </c>
      <c r="AF713" s="396">
        <f t="shared" si="212"/>
        <v>5650.0670723079093</v>
      </c>
      <c r="AG713" s="368">
        <v>0</v>
      </c>
      <c r="AH713" s="396">
        <v>0</v>
      </c>
      <c r="AI713" s="368">
        <v>0</v>
      </c>
      <c r="AJ713" s="396">
        <v>0</v>
      </c>
      <c r="AK713" s="368">
        <v>0</v>
      </c>
      <c r="AL713" s="368">
        <v>0</v>
      </c>
      <c r="AM713" s="368">
        <v>0</v>
      </c>
      <c r="AN713" s="368"/>
      <c r="AO713" s="368">
        <v>0</v>
      </c>
    </row>
    <row r="714" spans="1:41" s="152" customFormat="1" ht="36" customHeight="1" x14ac:dyDescent="0.9">
      <c r="A714" s="152">
        <v>1</v>
      </c>
      <c r="B714" s="90">
        <f>SUBTOTAL(103,$A$554:A714)</f>
        <v>159</v>
      </c>
      <c r="C714" s="89" t="s">
        <v>200</v>
      </c>
      <c r="D714" s="169">
        <v>1966</v>
      </c>
      <c r="E714" s="163"/>
      <c r="F714" s="168" t="s">
        <v>270</v>
      </c>
      <c r="G714" s="163">
        <v>2</v>
      </c>
      <c r="H714" s="163">
        <v>1</v>
      </c>
      <c r="I714" s="164">
        <v>683.5</v>
      </c>
      <c r="J714" s="164">
        <v>634.5</v>
      </c>
      <c r="K714" s="164">
        <v>531.20000000000005</v>
      </c>
      <c r="L714" s="165">
        <v>28</v>
      </c>
      <c r="M714" s="163" t="s">
        <v>268</v>
      </c>
      <c r="N714" s="163" t="s">
        <v>272</v>
      </c>
      <c r="O714" s="166" t="s">
        <v>330</v>
      </c>
      <c r="P714" s="167">
        <v>686139</v>
      </c>
      <c r="Q714" s="167">
        <v>0</v>
      </c>
      <c r="R714" s="167">
        <v>0</v>
      </c>
      <c r="S714" s="167">
        <f t="shared" si="210"/>
        <v>686139</v>
      </c>
      <c r="T714" s="167">
        <f t="shared" si="209"/>
        <v>1003.8610095098757</v>
      </c>
      <c r="U714" s="167">
        <v>1003.8610095098757</v>
      </c>
      <c r="V714" s="149">
        <f t="shared" si="204"/>
        <v>0</v>
      </c>
      <c r="W714" s="149">
        <f t="shared" ref="W714:W716" si="213">T714</f>
        <v>1003.8610095098757</v>
      </c>
      <c r="X714" s="149">
        <v>0</v>
      </c>
      <c r="Y714" s="368">
        <v>0</v>
      </c>
      <c r="Z714" s="368">
        <v>0</v>
      </c>
      <c r="AA714" s="368">
        <v>184.98</v>
      </c>
      <c r="AB714" s="368">
        <v>810.46</v>
      </c>
      <c r="AC714" s="368">
        <v>0</v>
      </c>
      <c r="AD714" s="368">
        <v>0</v>
      </c>
      <c r="AE714" s="368">
        <v>0</v>
      </c>
      <c r="AF714" s="396">
        <v>0</v>
      </c>
      <c r="AG714" s="368">
        <v>0</v>
      </c>
      <c r="AH714" s="396">
        <v>0</v>
      </c>
      <c r="AI714" s="368">
        <v>0</v>
      </c>
      <c r="AJ714" s="396">
        <v>0</v>
      </c>
      <c r="AK714" s="368">
        <v>0</v>
      </c>
      <c r="AL714" s="368">
        <v>0</v>
      </c>
      <c r="AM714" s="368">
        <v>0</v>
      </c>
      <c r="AN714" s="368"/>
      <c r="AO714" s="368">
        <v>0</v>
      </c>
    </row>
    <row r="715" spans="1:41" s="152" customFormat="1" ht="36" customHeight="1" x14ac:dyDescent="0.9">
      <c r="A715" s="152">
        <v>1</v>
      </c>
      <c r="B715" s="90">
        <f>SUBTOTAL(103,$A$554:A715)</f>
        <v>160</v>
      </c>
      <c r="C715" s="89" t="s">
        <v>201</v>
      </c>
      <c r="D715" s="169">
        <v>1974</v>
      </c>
      <c r="E715" s="163"/>
      <c r="F715" s="168" t="s">
        <v>270</v>
      </c>
      <c r="G715" s="163">
        <v>2</v>
      </c>
      <c r="H715" s="163">
        <v>2</v>
      </c>
      <c r="I715" s="164">
        <v>762</v>
      </c>
      <c r="J715" s="164">
        <v>702.6</v>
      </c>
      <c r="K715" s="164">
        <v>623.1</v>
      </c>
      <c r="L715" s="165">
        <v>48</v>
      </c>
      <c r="M715" s="163" t="s">
        <v>268</v>
      </c>
      <c r="N715" s="163" t="s">
        <v>272</v>
      </c>
      <c r="O715" s="166" t="s">
        <v>330</v>
      </c>
      <c r="P715" s="167">
        <v>783943</v>
      </c>
      <c r="Q715" s="167">
        <v>0</v>
      </c>
      <c r="R715" s="167">
        <v>0</v>
      </c>
      <c r="S715" s="167">
        <f t="shared" si="210"/>
        <v>783943</v>
      </c>
      <c r="T715" s="167">
        <f t="shared" si="209"/>
        <v>1028.7965879265091</v>
      </c>
      <c r="U715" s="167">
        <v>1028.7965879265091</v>
      </c>
      <c r="V715" s="149">
        <f t="shared" si="204"/>
        <v>0</v>
      </c>
      <c r="W715" s="149">
        <f t="shared" si="213"/>
        <v>1028.7965879265091</v>
      </c>
      <c r="X715" s="149">
        <v>0</v>
      </c>
      <c r="Y715" s="368">
        <v>0</v>
      </c>
      <c r="Z715" s="368">
        <v>0</v>
      </c>
      <c r="AA715" s="368">
        <v>0</v>
      </c>
      <c r="AB715" s="368">
        <v>810.46</v>
      </c>
      <c r="AC715" s="368">
        <v>0</v>
      </c>
      <c r="AD715" s="368">
        <v>0</v>
      </c>
      <c r="AE715" s="368">
        <v>0</v>
      </c>
      <c r="AF715" s="396">
        <v>0</v>
      </c>
      <c r="AG715" s="368">
        <v>0</v>
      </c>
      <c r="AH715" s="396">
        <v>0</v>
      </c>
      <c r="AI715" s="368">
        <v>0</v>
      </c>
      <c r="AJ715" s="396">
        <v>0</v>
      </c>
      <c r="AK715" s="368">
        <v>0</v>
      </c>
      <c r="AL715" s="368">
        <v>0</v>
      </c>
      <c r="AM715" s="368">
        <v>0</v>
      </c>
      <c r="AN715" s="368"/>
      <c r="AO715" s="368">
        <v>0</v>
      </c>
    </row>
    <row r="716" spans="1:41" s="152" customFormat="1" ht="36" customHeight="1" x14ac:dyDescent="0.9">
      <c r="A716" s="152">
        <v>1</v>
      </c>
      <c r="B716" s="90">
        <f>SUBTOTAL(103,$A$554:A716)</f>
        <v>161</v>
      </c>
      <c r="C716" s="89" t="s">
        <v>202</v>
      </c>
      <c r="D716" s="163">
        <v>1973</v>
      </c>
      <c r="E716" s="163"/>
      <c r="F716" s="168" t="s">
        <v>270</v>
      </c>
      <c r="G716" s="163">
        <v>2</v>
      </c>
      <c r="H716" s="163">
        <v>2</v>
      </c>
      <c r="I716" s="164">
        <v>746.5</v>
      </c>
      <c r="J716" s="164">
        <v>687.5</v>
      </c>
      <c r="K716" s="164">
        <v>552</v>
      </c>
      <c r="L716" s="165">
        <v>48</v>
      </c>
      <c r="M716" s="163" t="s">
        <v>268</v>
      </c>
      <c r="N716" s="163" t="s">
        <v>272</v>
      </c>
      <c r="O716" s="166" t="s">
        <v>330</v>
      </c>
      <c r="P716" s="167">
        <v>776127.96</v>
      </c>
      <c r="Q716" s="167">
        <v>0</v>
      </c>
      <c r="R716" s="167">
        <v>0</v>
      </c>
      <c r="S716" s="167">
        <f t="shared" si="210"/>
        <v>776127.96</v>
      </c>
      <c r="T716" s="167">
        <f t="shared" si="209"/>
        <v>1039.6891627595444</v>
      </c>
      <c r="U716" s="167">
        <v>1039.6891627595444</v>
      </c>
      <c r="V716" s="149">
        <f t="shared" si="204"/>
        <v>0</v>
      </c>
      <c r="W716" s="149">
        <f t="shared" si="213"/>
        <v>1039.6891627595444</v>
      </c>
      <c r="X716" s="149">
        <v>0</v>
      </c>
      <c r="Y716" s="368">
        <v>0</v>
      </c>
      <c r="Z716" s="368">
        <v>0</v>
      </c>
      <c r="AA716" s="368">
        <v>0</v>
      </c>
      <c r="AB716" s="368">
        <v>810.46</v>
      </c>
      <c r="AC716" s="368">
        <v>0</v>
      </c>
      <c r="AD716" s="368">
        <v>0</v>
      </c>
      <c r="AE716" s="368">
        <v>0</v>
      </c>
      <c r="AF716" s="396">
        <v>0</v>
      </c>
      <c r="AG716" s="368">
        <v>0</v>
      </c>
      <c r="AH716" s="396">
        <v>0</v>
      </c>
      <c r="AI716" s="368">
        <v>0</v>
      </c>
      <c r="AJ716" s="396">
        <v>0</v>
      </c>
      <c r="AK716" s="368">
        <v>0</v>
      </c>
      <c r="AL716" s="368">
        <v>0</v>
      </c>
      <c r="AM716" s="368">
        <v>0</v>
      </c>
      <c r="AN716" s="368"/>
      <c r="AO716" s="368">
        <v>0</v>
      </c>
    </row>
    <row r="717" spans="1:41" s="152" customFormat="1" ht="36" customHeight="1" x14ac:dyDescent="0.9">
      <c r="A717" s="152">
        <v>1</v>
      </c>
      <c r="B717" s="90">
        <f>SUBTOTAL(103,$A$554:A717)</f>
        <v>162</v>
      </c>
      <c r="C717" s="89" t="s">
        <v>413</v>
      </c>
      <c r="D717" s="163">
        <v>1960</v>
      </c>
      <c r="E717" s="163"/>
      <c r="F717" s="168" t="s">
        <v>270</v>
      </c>
      <c r="G717" s="163">
        <v>2</v>
      </c>
      <c r="H717" s="163">
        <v>2</v>
      </c>
      <c r="I717" s="164">
        <v>582.70000000000005</v>
      </c>
      <c r="J717" s="164">
        <v>535.70000000000005</v>
      </c>
      <c r="K717" s="164">
        <v>506.30000000000007</v>
      </c>
      <c r="L717" s="165">
        <v>28</v>
      </c>
      <c r="M717" s="163" t="s">
        <v>268</v>
      </c>
      <c r="N717" s="163" t="s">
        <v>272</v>
      </c>
      <c r="O717" s="166" t="s">
        <v>325</v>
      </c>
      <c r="P717" s="167">
        <v>2623352.2800000003</v>
      </c>
      <c r="Q717" s="167">
        <v>0</v>
      </c>
      <c r="R717" s="167">
        <v>0</v>
      </c>
      <c r="S717" s="167">
        <f t="shared" si="210"/>
        <v>2623352.2800000003</v>
      </c>
      <c r="T717" s="167">
        <f t="shared" si="209"/>
        <v>4502.0632915737087</v>
      </c>
      <c r="U717" s="167">
        <v>5107.1907842800747</v>
      </c>
      <c r="V717" s="149">
        <f t="shared" si="204"/>
        <v>605.12749270636596</v>
      </c>
      <c r="W717" s="149">
        <f t="shared" si="211"/>
        <v>5107.1907842800747</v>
      </c>
      <c r="X717" s="149">
        <v>0</v>
      </c>
      <c r="Y717" s="368">
        <v>0</v>
      </c>
      <c r="Z717" s="368">
        <v>0</v>
      </c>
      <c r="AA717" s="368">
        <v>0</v>
      </c>
      <c r="AB717" s="368">
        <v>0</v>
      </c>
      <c r="AC717" s="368">
        <v>0</v>
      </c>
      <c r="AD717" s="368">
        <v>0</v>
      </c>
      <c r="AE717" s="368">
        <v>477</v>
      </c>
      <c r="AF717" s="396">
        <f t="shared" ref="AF717:AF727" si="214">6238.91*AE717/I717</f>
        <v>5107.1907842800747</v>
      </c>
      <c r="AG717" s="368">
        <v>0</v>
      </c>
      <c r="AH717" s="396">
        <v>0</v>
      </c>
      <c r="AI717" s="368">
        <v>0</v>
      </c>
      <c r="AJ717" s="396">
        <v>0</v>
      </c>
      <c r="AK717" s="368">
        <v>0</v>
      </c>
      <c r="AL717" s="368">
        <v>0</v>
      </c>
      <c r="AM717" s="368">
        <v>0</v>
      </c>
      <c r="AN717" s="368"/>
      <c r="AO717" s="368">
        <v>0</v>
      </c>
    </row>
    <row r="718" spans="1:41" s="152" customFormat="1" ht="36" customHeight="1" x14ac:dyDescent="0.9">
      <c r="A718" s="152">
        <v>1</v>
      </c>
      <c r="B718" s="90">
        <f>SUBTOTAL(103,$A$554:A718)</f>
        <v>163</v>
      </c>
      <c r="C718" s="89" t="s">
        <v>414</v>
      </c>
      <c r="D718" s="163">
        <v>1960</v>
      </c>
      <c r="E718" s="163"/>
      <c r="F718" s="168" t="s">
        <v>270</v>
      </c>
      <c r="G718" s="163">
        <v>2</v>
      </c>
      <c r="H718" s="163">
        <v>2</v>
      </c>
      <c r="I718" s="164">
        <v>592.20000000000005</v>
      </c>
      <c r="J718" s="164">
        <v>550.70000000000005</v>
      </c>
      <c r="K718" s="164">
        <v>444.6</v>
      </c>
      <c r="L718" s="165">
        <v>36</v>
      </c>
      <c r="M718" s="163" t="s">
        <v>268</v>
      </c>
      <c r="N718" s="163" t="s">
        <v>272</v>
      </c>
      <c r="O718" s="166" t="s">
        <v>332</v>
      </c>
      <c r="P718" s="167">
        <v>2633042.44</v>
      </c>
      <c r="Q718" s="167">
        <v>0</v>
      </c>
      <c r="R718" s="167">
        <v>0</v>
      </c>
      <c r="S718" s="167">
        <f t="shared" si="210"/>
        <v>2633042.44</v>
      </c>
      <c r="T718" s="167">
        <f t="shared" si="209"/>
        <v>4446.2047281323876</v>
      </c>
      <c r="U718" s="167">
        <v>4972.5861533265788</v>
      </c>
      <c r="V718" s="149">
        <f t="shared" si="204"/>
        <v>526.38142519419125</v>
      </c>
      <c r="W718" s="149">
        <f t="shared" si="211"/>
        <v>4972.5861533265788</v>
      </c>
      <c r="X718" s="149">
        <v>0</v>
      </c>
      <c r="Y718" s="368">
        <v>0</v>
      </c>
      <c r="Z718" s="368">
        <v>0</v>
      </c>
      <c r="AA718" s="368">
        <v>0</v>
      </c>
      <c r="AB718" s="368">
        <v>0</v>
      </c>
      <c r="AC718" s="368">
        <v>0</v>
      </c>
      <c r="AD718" s="368">
        <v>0</v>
      </c>
      <c r="AE718" s="368">
        <v>472</v>
      </c>
      <c r="AF718" s="396">
        <f t="shared" si="214"/>
        <v>4972.5861533265788</v>
      </c>
      <c r="AG718" s="368">
        <v>0</v>
      </c>
      <c r="AH718" s="396">
        <v>0</v>
      </c>
      <c r="AI718" s="368">
        <v>0</v>
      </c>
      <c r="AJ718" s="396">
        <v>0</v>
      </c>
      <c r="AK718" s="368">
        <v>0</v>
      </c>
      <c r="AL718" s="368">
        <v>0</v>
      </c>
      <c r="AM718" s="368">
        <v>0</v>
      </c>
      <c r="AN718" s="368"/>
      <c r="AO718" s="368">
        <v>0</v>
      </c>
    </row>
    <row r="719" spans="1:41" s="152" customFormat="1" ht="36" customHeight="1" x14ac:dyDescent="0.9">
      <c r="A719" s="152">
        <v>1</v>
      </c>
      <c r="B719" s="90">
        <f>SUBTOTAL(103,$A$554:A719)</f>
        <v>164</v>
      </c>
      <c r="C719" s="89" t="s">
        <v>415</v>
      </c>
      <c r="D719" s="163">
        <v>1950</v>
      </c>
      <c r="E719" s="163"/>
      <c r="F719" s="168" t="s">
        <v>270</v>
      </c>
      <c r="G719" s="163">
        <v>3</v>
      </c>
      <c r="H719" s="163">
        <v>2</v>
      </c>
      <c r="I719" s="164">
        <v>894.76</v>
      </c>
      <c r="J719" s="164">
        <v>604</v>
      </c>
      <c r="K719" s="164">
        <v>604</v>
      </c>
      <c r="L719" s="165">
        <v>19</v>
      </c>
      <c r="M719" s="163" t="s">
        <v>268</v>
      </c>
      <c r="N719" s="163" t="s">
        <v>272</v>
      </c>
      <c r="O719" s="166" t="s">
        <v>330</v>
      </c>
      <c r="P719" s="167">
        <v>2456912.8200000003</v>
      </c>
      <c r="Q719" s="167">
        <v>0</v>
      </c>
      <c r="R719" s="167">
        <v>0</v>
      </c>
      <c r="S719" s="167">
        <f t="shared" si="210"/>
        <v>2456912.8200000003</v>
      </c>
      <c r="T719" s="167">
        <f t="shared" si="209"/>
        <v>2745.8903169565028</v>
      </c>
      <c r="U719" s="167">
        <v>3067.9963342125261</v>
      </c>
      <c r="V719" s="149">
        <f t="shared" si="204"/>
        <v>322.10601725602328</v>
      </c>
      <c r="W719" s="149">
        <f t="shared" si="211"/>
        <v>3067.9963342125261</v>
      </c>
      <c r="X719" s="149">
        <v>0</v>
      </c>
      <c r="Y719" s="368">
        <v>0</v>
      </c>
      <c r="Z719" s="368">
        <v>0</v>
      </c>
      <c r="AA719" s="368">
        <v>0</v>
      </c>
      <c r="AB719" s="368">
        <v>0</v>
      </c>
      <c r="AC719" s="368">
        <v>0</v>
      </c>
      <c r="AD719" s="368">
        <v>0</v>
      </c>
      <c r="AE719" s="368">
        <v>440</v>
      </c>
      <c r="AF719" s="396">
        <f t="shared" si="214"/>
        <v>3067.9963342125261</v>
      </c>
      <c r="AG719" s="368">
        <v>0</v>
      </c>
      <c r="AH719" s="396">
        <v>0</v>
      </c>
      <c r="AI719" s="368">
        <v>0</v>
      </c>
      <c r="AJ719" s="396">
        <v>0</v>
      </c>
      <c r="AK719" s="368">
        <v>0</v>
      </c>
      <c r="AL719" s="368">
        <v>0</v>
      </c>
      <c r="AM719" s="368">
        <v>0</v>
      </c>
      <c r="AN719" s="368"/>
      <c r="AO719" s="368">
        <v>0</v>
      </c>
    </row>
    <row r="720" spans="1:41" s="152" customFormat="1" ht="36" customHeight="1" x14ac:dyDescent="0.9">
      <c r="A720" s="152">
        <v>1</v>
      </c>
      <c r="B720" s="90">
        <f>SUBTOTAL(103,$A$554:A720)</f>
        <v>165</v>
      </c>
      <c r="C720" s="89" t="s">
        <v>416</v>
      </c>
      <c r="D720" s="163">
        <v>1977</v>
      </c>
      <c r="E720" s="163"/>
      <c r="F720" s="168" t="s">
        <v>270</v>
      </c>
      <c r="G720" s="163">
        <v>9</v>
      </c>
      <c r="H720" s="163">
        <v>2</v>
      </c>
      <c r="I720" s="164">
        <v>4984</v>
      </c>
      <c r="J720" s="164">
        <v>3763.9</v>
      </c>
      <c r="K720" s="164">
        <v>3573.6</v>
      </c>
      <c r="L720" s="165">
        <v>172</v>
      </c>
      <c r="M720" s="163" t="s">
        <v>268</v>
      </c>
      <c r="N720" s="163" t="s">
        <v>272</v>
      </c>
      <c r="O720" s="166" t="s">
        <v>1004</v>
      </c>
      <c r="P720" s="167">
        <v>3762569.57</v>
      </c>
      <c r="Q720" s="167">
        <v>0</v>
      </c>
      <c r="R720" s="167">
        <v>0</v>
      </c>
      <c r="S720" s="167">
        <f t="shared" si="210"/>
        <v>3762569.57</v>
      </c>
      <c r="T720" s="167">
        <f t="shared" si="209"/>
        <v>754.92968900481537</v>
      </c>
      <c r="U720" s="167">
        <v>823.67632022471901</v>
      </c>
      <c r="V720" s="149">
        <f t="shared" si="204"/>
        <v>68.746631219903634</v>
      </c>
      <c r="W720" s="149">
        <f t="shared" si="211"/>
        <v>823.67632022471901</v>
      </c>
      <c r="X720" s="149">
        <v>0</v>
      </c>
      <c r="Y720" s="368">
        <v>0</v>
      </c>
      <c r="Z720" s="368">
        <v>0</v>
      </c>
      <c r="AA720" s="368">
        <v>0</v>
      </c>
      <c r="AB720" s="368">
        <v>0</v>
      </c>
      <c r="AC720" s="368">
        <v>0</v>
      </c>
      <c r="AD720" s="368">
        <v>0</v>
      </c>
      <c r="AE720" s="368">
        <v>658</v>
      </c>
      <c r="AF720" s="396">
        <f t="shared" si="214"/>
        <v>823.67632022471901</v>
      </c>
      <c r="AG720" s="368">
        <v>0</v>
      </c>
      <c r="AH720" s="396">
        <v>0</v>
      </c>
      <c r="AI720" s="368">
        <v>0</v>
      </c>
      <c r="AJ720" s="396">
        <v>0</v>
      </c>
      <c r="AK720" s="368">
        <v>0</v>
      </c>
      <c r="AL720" s="368">
        <v>0</v>
      </c>
      <c r="AM720" s="368">
        <v>0</v>
      </c>
      <c r="AN720" s="368"/>
      <c r="AO720" s="368">
        <v>0</v>
      </c>
    </row>
    <row r="721" spans="1:41" s="152" customFormat="1" ht="36" customHeight="1" x14ac:dyDescent="0.9">
      <c r="A721" s="152">
        <v>1</v>
      </c>
      <c r="B721" s="90">
        <f>SUBTOTAL(103,$A$554:A721)</f>
        <v>166</v>
      </c>
      <c r="C721" s="89" t="s">
        <v>417</v>
      </c>
      <c r="D721" s="163">
        <v>1961</v>
      </c>
      <c r="E721" s="163"/>
      <c r="F721" s="168" t="s">
        <v>270</v>
      </c>
      <c r="G721" s="163">
        <v>4</v>
      </c>
      <c r="H721" s="163">
        <v>2</v>
      </c>
      <c r="I721" s="164">
        <v>2700.93</v>
      </c>
      <c r="J721" s="164">
        <v>2360.79</v>
      </c>
      <c r="K721" s="164">
        <v>2305.5700000000002</v>
      </c>
      <c r="L721" s="165">
        <v>85</v>
      </c>
      <c r="M721" s="163" t="s">
        <v>268</v>
      </c>
      <c r="N721" s="163" t="s">
        <v>272</v>
      </c>
      <c r="O721" s="166" t="s">
        <v>325</v>
      </c>
      <c r="P721" s="167">
        <v>5669999.9900000002</v>
      </c>
      <c r="Q721" s="167">
        <v>0</v>
      </c>
      <c r="R721" s="167">
        <v>0</v>
      </c>
      <c r="S721" s="167">
        <f t="shared" si="210"/>
        <v>5669999.9900000002</v>
      </c>
      <c r="T721" s="167">
        <f t="shared" si="209"/>
        <v>2099.2769120265984</v>
      </c>
      <c r="U721" s="167">
        <v>2619.4399484621963</v>
      </c>
      <c r="V721" s="149">
        <f t="shared" si="204"/>
        <v>520.16303643559786</v>
      </c>
      <c r="W721" s="149">
        <f t="shared" si="211"/>
        <v>2619.4399484621963</v>
      </c>
      <c r="X721" s="149">
        <v>0</v>
      </c>
      <c r="Y721" s="368">
        <v>0</v>
      </c>
      <c r="Z721" s="368">
        <v>0</v>
      </c>
      <c r="AA721" s="368">
        <v>0</v>
      </c>
      <c r="AB721" s="368">
        <v>0</v>
      </c>
      <c r="AC721" s="368">
        <v>0</v>
      </c>
      <c r="AD721" s="368">
        <v>0</v>
      </c>
      <c r="AE721" s="368">
        <v>1134</v>
      </c>
      <c r="AF721" s="396">
        <f t="shared" si="214"/>
        <v>2619.4399484621963</v>
      </c>
      <c r="AG721" s="368">
        <v>0</v>
      </c>
      <c r="AH721" s="396">
        <v>0</v>
      </c>
      <c r="AI721" s="368">
        <v>0</v>
      </c>
      <c r="AJ721" s="396">
        <v>0</v>
      </c>
      <c r="AK721" s="368">
        <v>0</v>
      </c>
      <c r="AL721" s="368">
        <v>0</v>
      </c>
      <c r="AM721" s="368">
        <v>0</v>
      </c>
      <c r="AN721" s="368"/>
      <c r="AO721" s="368">
        <v>0</v>
      </c>
    </row>
    <row r="722" spans="1:41" s="152" customFormat="1" ht="36" customHeight="1" x14ac:dyDescent="0.9">
      <c r="A722" s="152">
        <v>1</v>
      </c>
      <c r="B722" s="90">
        <f>SUBTOTAL(103,$A$554:A722)</f>
        <v>167</v>
      </c>
      <c r="C722" s="89" t="s">
        <v>418</v>
      </c>
      <c r="D722" s="163">
        <v>1963</v>
      </c>
      <c r="E722" s="163"/>
      <c r="F722" s="168" t="s">
        <v>270</v>
      </c>
      <c r="G722" s="163">
        <v>4</v>
      </c>
      <c r="H722" s="163">
        <v>2</v>
      </c>
      <c r="I722" s="164">
        <v>1374.8</v>
      </c>
      <c r="J722" s="164">
        <v>1010.2</v>
      </c>
      <c r="K722" s="164">
        <v>1010.2</v>
      </c>
      <c r="L722" s="165">
        <v>43</v>
      </c>
      <c r="M722" s="163" t="s">
        <v>268</v>
      </c>
      <c r="N722" s="163" t="s">
        <v>272</v>
      </c>
      <c r="O722" s="166" t="s">
        <v>325</v>
      </c>
      <c r="P722" s="167">
        <v>2895000</v>
      </c>
      <c r="Q722" s="167">
        <v>0</v>
      </c>
      <c r="R722" s="167">
        <v>0</v>
      </c>
      <c r="S722" s="167">
        <f t="shared" si="210"/>
        <v>2895000</v>
      </c>
      <c r="T722" s="167">
        <f t="shared" si="209"/>
        <v>2105.760837940064</v>
      </c>
      <c r="U722" s="167">
        <v>2627.5304698865293</v>
      </c>
      <c r="V722" s="149">
        <f t="shared" si="204"/>
        <v>521.76963194646532</v>
      </c>
      <c r="W722" s="149">
        <f t="shared" si="211"/>
        <v>2627.5304698865293</v>
      </c>
      <c r="X722" s="149">
        <v>0</v>
      </c>
      <c r="Y722" s="368">
        <v>0</v>
      </c>
      <c r="Z722" s="368">
        <v>0</v>
      </c>
      <c r="AA722" s="368">
        <v>0</v>
      </c>
      <c r="AB722" s="368">
        <v>0</v>
      </c>
      <c r="AC722" s="368">
        <v>0</v>
      </c>
      <c r="AD722" s="368">
        <v>0</v>
      </c>
      <c r="AE722" s="368">
        <v>579</v>
      </c>
      <c r="AF722" s="396">
        <f t="shared" si="214"/>
        <v>2627.5304698865293</v>
      </c>
      <c r="AG722" s="368">
        <v>0</v>
      </c>
      <c r="AH722" s="396">
        <v>0</v>
      </c>
      <c r="AI722" s="368">
        <v>0</v>
      </c>
      <c r="AJ722" s="396">
        <v>0</v>
      </c>
      <c r="AK722" s="368">
        <v>0</v>
      </c>
      <c r="AL722" s="368">
        <v>0</v>
      </c>
      <c r="AM722" s="368">
        <v>0</v>
      </c>
      <c r="AN722" s="368"/>
      <c r="AO722" s="368">
        <v>0</v>
      </c>
    </row>
    <row r="723" spans="1:41" s="152" customFormat="1" ht="36" customHeight="1" x14ac:dyDescent="0.9">
      <c r="A723" s="152">
        <v>1</v>
      </c>
      <c r="B723" s="90">
        <f>SUBTOTAL(103,$A$554:A723)</f>
        <v>168</v>
      </c>
      <c r="C723" s="89" t="s">
        <v>419</v>
      </c>
      <c r="D723" s="163">
        <v>1958</v>
      </c>
      <c r="E723" s="163"/>
      <c r="F723" s="168" t="s">
        <v>270</v>
      </c>
      <c r="G723" s="163">
        <v>2</v>
      </c>
      <c r="H723" s="163">
        <v>2</v>
      </c>
      <c r="I723" s="164">
        <v>653.70000000000005</v>
      </c>
      <c r="J723" s="164">
        <v>606</v>
      </c>
      <c r="K723" s="164">
        <v>538.1</v>
      </c>
      <c r="L723" s="165">
        <v>27</v>
      </c>
      <c r="M723" s="163" t="s">
        <v>268</v>
      </c>
      <c r="N723" s="163" t="s">
        <v>272</v>
      </c>
      <c r="O723" s="166" t="s">
        <v>329</v>
      </c>
      <c r="P723" s="167">
        <v>3066649.62</v>
      </c>
      <c r="Q723" s="167">
        <v>0</v>
      </c>
      <c r="R723" s="167">
        <v>0</v>
      </c>
      <c r="S723" s="167">
        <f t="shared" si="210"/>
        <v>3066649.62</v>
      </c>
      <c r="T723" s="167">
        <f t="shared" si="209"/>
        <v>4691.2186324001832</v>
      </c>
      <c r="U723" s="167">
        <v>5440.0775585130787</v>
      </c>
      <c r="V723" s="149">
        <f t="shared" si="204"/>
        <v>748.85892611289546</v>
      </c>
      <c r="W723" s="149">
        <f t="shared" si="211"/>
        <v>5440.0775585130787</v>
      </c>
      <c r="X723" s="149">
        <v>0</v>
      </c>
      <c r="Y723" s="368">
        <v>0</v>
      </c>
      <c r="Z723" s="368">
        <v>0</v>
      </c>
      <c r="AA723" s="368">
        <v>0</v>
      </c>
      <c r="AB723" s="368">
        <v>0</v>
      </c>
      <c r="AC723" s="368">
        <v>0</v>
      </c>
      <c r="AD723" s="368">
        <v>0</v>
      </c>
      <c r="AE723" s="368">
        <v>570</v>
      </c>
      <c r="AF723" s="396">
        <f t="shared" si="214"/>
        <v>5440.0775585130787</v>
      </c>
      <c r="AG723" s="368">
        <v>0</v>
      </c>
      <c r="AH723" s="396">
        <v>0</v>
      </c>
      <c r="AI723" s="368">
        <v>0</v>
      </c>
      <c r="AJ723" s="396">
        <v>0</v>
      </c>
      <c r="AK723" s="368">
        <v>0</v>
      </c>
      <c r="AL723" s="368">
        <v>0</v>
      </c>
      <c r="AM723" s="368">
        <v>0</v>
      </c>
      <c r="AN723" s="368"/>
      <c r="AO723" s="368">
        <v>0</v>
      </c>
    </row>
    <row r="724" spans="1:41" s="152" customFormat="1" ht="36" customHeight="1" x14ac:dyDescent="0.9">
      <c r="A724" s="152">
        <v>1</v>
      </c>
      <c r="B724" s="90">
        <f>SUBTOTAL(103,$A$554:A724)</f>
        <v>169</v>
      </c>
      <c r="C724" s="89" t="s">
        <v>420</v>
      </c>
      <c r="D724" s="163">
        <v>1961</v>
      </c>
      <c r="E724" s="163"/>
      <c r="F724" s="168" t="s">
        <v>270</v>
      </c>
      <c r="G724" s="163">
        <v>2</v>
      </c>
      <c r="H724" s="163">
        <v>1</v>
      </c>
      <c r="I724" s="164">
        <v>291.64999999999998</v>
      </c>
      <c r="J724" s="164">
        <v>275.13</v>
      </c>
      <c r="K724" s="164">
        <v>135.19999999999999</v>
      </c>
      <c r="L724" s="165">
        <v>18</v>
      </c>
      <c r="M724" s="163" t="s">
        <v>268</v>
      </c>
      <c r="N724" s="163" t="s">
        <v>269</v>
      </c>
      <c r="O724" s="166" t="s">
        <v>271</v>
      </c>
      <c r="P724" s="167">
        <v>1488737.43</v>
      </c>
      <c r="Q724" s="167">
        <v>0</v>
      </c>
      <c r="R724" s="167">
        <v>0</v>
      </c>
      <c r="S724" s="167">
        <f t="shared" si="210"/>
        <v>1488737.43</v>
      </c>
      <c r="T724" s="167">
        <f t="shared" si="209"/>
        <v>5104.5343048174182</v>
      </c>
      <c r="U724" s="167">
        <v>5690.2110749185676</v>
      </c>
      <c r="V724" s="149">
        <f t="shared" si="204"/>
        <v>585.67677010114949</v>
      </c>
      <c r="W724" s="149">
        <f t="shared" si="211"/>
        <v>5690.2110749185676</v>
      </c>
      <c r="X724" s="149">
        <v>0</v>
      </c>
      <c r="Y724" s="368">
        <v>0</v>
      </c>
      <c r="Z724" s="368">
        <v>0</v>
      </c>
      <c r="AA724" s="368">
        <v>0</v>
      </c>
      <c r="AB724" s="368">
        <v>0</v>
      </c>
      <c r="AC724" s="368">
        <v>0</v>
      </c>
      <c r="AD724" s="368">
        <v>0</v>
      </c>
      <c r="AE724" s="368">
        <v>266</v>
      </c>
      <c r="AF724" s="396">
        <f t="shared" si="214"/>
        <v>5690.2110749185676</v>
      </c>
      <c r="AG724" s="368">
        <v>0</v>
      </c>
      <c r="AH724" s="396">
        <v>0</v>
      </c>
      <c r="AI724" s="368">
        <v>0</v>
      </c>
      <c r="AJ724" s="396">
        <v>0</v>
      </c>
      <c r="AK724" s="368">
        <v>0</v>
      </c>
      <c r="AL724" s="368">
        <v>0</v>
      </c>
      <c r="AM724" s="368">
        <v>0</v>
      </c>
      <c r="AN724" s="368"/>
      <c r="AO724" s="368">
        <v>0</v>
      </c>
    </row>
    <row r="725" spans="1:41" s="152" customFormat="1" ht="36" customHeight="1" x14ac:dyDescent="0.9">
      <c r="A725" s="152">
        <v>1</v>
      </c>
      <c r="B725" s="90">
        <f>SUBTOTAL(103,$A$554:A725)</f>
        <v>170</v>
      </c>
      <c r="C725" s="89" t="s">
        <v>421</v>
      </c>
      <c r="D725" s="163">
        <v>1971</v>
      </c>
      <c r="E725" s="163"/>
      <c r="F725" s="168" t="s">
        <v>270</v>
      </c>
      <c r="G725" s="163">
        <v>5</v>
      </c>
      <c r="H725" s="163">
        <v>6</v>
      </c>
      <c r="I725" s="164">
        <v>5077.5</v>
      </c>
      <c r="J725" s="164">
        <v>3712.4</v>
      </c>
      <c r="K725" s="164">
        <v>1549.0700000000002</v>
      </c>
      <c r="L725" s="165">
        <v>164</v>
      </c>
      <c r="M725" s="163" t="s">
        <v>268</v>
      </c>
      <c r="N725" s="163" t="s">
        <v>272</v>
      </c>
      <c r="O725" s="166" t="s">
        <v>332</v>
      </c>
      <c r="P725" s="167">
        <v>8150000</v>
      </c>
      <c r="Q725" s="167">
        <v>0</v>
      </c>
      <c r="R725" s="167">
        <v>0</v>
      </c>
      <c r="S725" s="167">
        <f t="shared" si="210"/>
        <v>8150000</v>
      </c>
      <c r="T725" s="167">
        <f t="shared" si="209"/>
        <v>1605.1206302314131</v>
      </c>
      <c r="U725" s="167">
        <v>2002.8406302314129</v>
      </c>
      <c r="V725" s="149">
        <f t="shared" ref="V725:V771" si="215">U725-T725</f>
        <v>397.7199999999998</v>
      </c>
      <c r="W725" s="149">
        <f t="shared" si="211"/>
        <v>2002.8406302314129</v>
      </c>
      <c r="X725" s="149">
        <v>0</v>
      </c>
      <c r="Y725" s="368">
        <v>0</v>
      </c>
      <c r="Z725" s="368">
        <v>0</v>
      </c>
      <c r="AA725" s="368">
        <v>0</v>
      </c>
      <c r="AB725" s="368">
        <v>0</v>
      </c>
      <c r="AC725" s="368">
        <v>0</v>
      </c>
      <c r="AD725" s="368">
        <v>0</v>
      </c>
      <c r="AE725" s="368">
        <v>1630</v>
      </c>
      <c r="AF725" s="396">
        <f t="shared" si="214"/>
        <v>2002.8406302314129</v>
      </c>
      <c r="AG725" s="368">
        <v>0</v>
      </c>
      <c r="AH725" s="396">
        <v>0</v>
      </c>
      <c r="AI725" s="368">
        <v>0</v>
      </c>
      <c r="AJ725" s="396">
        <v>0</v>
      </c>
      <c r="AK725" s="368">
        <v>0</v>
      </c>
      <c r="AL725" s="368">
        <v>0</v>
      </c>
      <c r="AM725" s="368">
        <v>0</v>
      </c>
      <c r="AN725" s="368"/>
      <c r="AO725" s="368">
        <v>0</v>
      </c>
    </row>
    <row r="726" spans="1:41" s="152" customFormat="1" ht="36" customHeight="1" x14ac:dyDescent="0.9">
      <c r="A726" s="152">
        <v>1</v>
      </c>
      <c r="B726" s="90">
        <f>SUBTOTAL(103,$A$554:A726)</f>
        <v>171</v>
      </c>
      <c r="C726" s="89" t="s">
        <v>422</v>
      </c>
      <c r="D726" s="163">
        <v>1973</v>
      </c>
      <c r="E726" s="163"/>
      <c r="F726" s="168" t="s">
        <v>328</v>
      </c>
      <c r="G726" s="163">
        <v>2</v>
      </c>
      <c r="H726" s="163">
        <v>2</v>
      </c>
      <c r="I726" s="164">
        <v>816.6</v>
      </c>
      <c r="J726" s="164">
        <v>537.5</v>
      </c>
      <c r="K726" s="164">
        <v>202.60000000000002</v>
      </c>
      <c r="L726" s="165">
        <v>29</v>
      </c>
      <c r="M726" s="163" t="s">
        <v>268</v>
      </c>
      <c r="N726" s="163" t="s">
        <v>272</v>
      </c>
      <c r="O726" s="166" t="s">
        <v>329</v>
      </c>
      <c r="P726" s="167">
        <v>2837751.8</v>
      </c>
      <c r="Q726" s="167">
        <v>0</v>
      </c>
      <c r="R726" s="167">
        <v>0</v>
      </c>
      <c r="S726" s="167">
        <f t="shared" si="210"/>
        <v>2837751.8</v>
      </c>
      <c r="T726" s="167">
        <f t="shared" si="209"/>
        <v>3475.0818025961298</v>
      </c>
      <c r="U726" s="167">
        <v>3820.0526573597845</v>
      </c>
      <c r="V726" s="149">
        <f t="shared" si="215"/>
        <v>344.97085476365464</v>
      </c>
      <c r="W726" s="149">
        <f t="shared" si="211"/>
        <v>3820.0526573597845</v>
      </c>
      <c r="X726" s="149">
        <v>0</v>
      </c>
      <c r="Y726" s="368">
        <v>0</v>
      </c>
      <c r="Z726" s="368">
        <v>0</v>
      </c>
      <c r="AA726" s="368">
        <v>0</v>
      </c>
      <c r="AB726" s="368">
        <v>0</v>
      </c>
      <c r="AC726" s="368">
        <v>0</v>
      </c>
      <c r="AD726" s="368">
        <v>0</v>
      </c>
      <c r="AE726" s="368">
        <v>500</v>
      </c>
      <c r="AF726" s="396">
        <f t="shared" si="214"/>
        <v>3820.0526573597845</v>
      </c>
      <c r="AG726" s="368">
        <v>0</v>
      </c>
      <c r="AH726" s="396">
        <v>0</v>
      </c>
      <c r="AI726" s="368">
        <v>0</v>
      </c>
      <c r="AJ726" s="396">
        <v>0</v>
      </c>
      <c r="AK726" s="368">
        <v>0</v>
      </c>
      <c r="AL726" s="368">
        <v>0</v>
      </c>
      <c r="AM726" s="368">
        <v>0</v>
      </c>
      <c r="AN726" s="368"/>
      <c r="AO726" s="368">
        <v>0</v>
      </c>
    </row>
    <row r="727" spans="1:41" s="152" customFormat="1" ht="36" customHeight="1" x14ac:dyDescent="0.9">
      <c r="A727" s="152">
        <v>1</v>
      </c>
      <c r="B727" s="90">
        <f>SUBTOTAL(103,$A$554:A727)</f>
        <v>172</v>
      </c>
      <c r="C727" s="89" t="s">
        <v>423</v>
      </c>
      <c r="D727" s="163">
        <v>1954</v>
      </c>
      <c r="E727" s="163"/>
      <c r="F727" s="168" t="s">
        <v>328</v>
      </c>
      <c r="G727" s="163">
        <v>2</v>
      </c>
      <c r="H727" s="163">
        <v>2</v>
      </c>
      <c r="I727" s="164">
        <v>441</v>
      </c>
      <c r="J727" s="164">
        <v>399.8</v>
      </c>
      <c r="K727" s="164">
        <v>310.20000000000005</v>
      </c>
      <c r="L727" s="165">
        <v>28</v>
      </c>
      <c r="M727" s="163" t="s">
        <v>268</v>
      </c>
      <c r="N727" s="163" t="s">
        <v>272</v>
      </c>
      <c r="O727" s="166" t="s">
        <v>329</v>
      </c>
      <c r="P727" s="167">
        <v>2479122.38</v>
      </c>
      <c r="Q727" s="167">
        <v>0</v>
      </c>
      <c r="R727" s="167">
        <v>0</v>
      </c>
      <c r="S727" s="167">
        <f t="shared" si="210"/>
        <v>2479122.38</v>
      </c>
      <c r="T727" s="167">
        <f t="shared" si="209"/>
        <v>5621.5926984126982</v>
      </c>
      <c r="U727" s="167">
        <v>5941.8190476190466</v>
      </c>
      <c r="V727" s="149">
        <f t="shared" si="215"/>
        <v>320.22634920634846</v>
      </c>
      <c r="W727" s="149">
        <f t="shared" si="211"/>
        <v>5941.8190476190466</v>
      </c>
      <c r="X727" s="149">
        <v>0</v>
      </c>
      <c r="Y727" s="368">
        <v>0</v>
      </c>
      <c r="Z727" s="368">
        <v>0</v>
      </c>
      <c r="AA727" s="368">
        <v>0</v>
      </c>
      <c r="AB727" s="368">
        <v>0</v>
      </c>
      <c r="AC727" s="368">
        <v>0</v>
      </c>
      <c r="AD727" s="368">
        <v>0</v>
      </c>
      <c r="AE727" s="368">
        <v>420</v>
      </c>
      <c r="AF727" s="396">
        <f t="shared" si="214"/>
        <v>5941.8190476190466</v>
      </c>
      <c r="AG727" s="368">
        <v>0</v>
      </c>
      <c r="AH727" s="396">
        <v>0</v>
      </c>
      <c r="AI727" s="368">
        <v>0</v>
      </c>
      <c r="AJ727" s="396">
        <v>0</v>
      </c>
      <c r="AK727" s="368">
        <v>0</v>
      </c>
      <c r="AL727" s="368">
        <v>0</v>
      </c>
      <c r="AM727" s="368">
        <v>0</v>
      </c>
      <c r="AN727" s="368"/>
      <c r="AO727" s="368">
        <v>0</v>
      </c>
    </row>
    <row r="728" spans="1:41" s="152" customFormat="1" ht="36" customHeight="1" x14ac:dyDescent="0.9">
      <c r="A728" s="152">
        <v>1</v>
      </c>
      <c r="B728" s="90">
        <f>SUBTOTAL(103,$A$554:A728)</f>
        <v>173</v>
      </c>
      <c r="C728" s="89" t="s">
        <v>203</v>
      </c>
      <c r="D728" s="163">
        <v>1980</v>
      </c>
      <c r="E728" s="163"/>
      <c r="F728" s="168" t="s">
        <v>270</v>
      </c>
      <c r="G728" s="163">
        <v>2</v>
      </c>
      <c r="H728" s="163">
        <v>3</v>
      </c>
      <c r="I728" s="164">
        <v>962.21999999999991</v>
      </c>
      <c r="J728" s="164">
        <v>875.92</v>
      </c>
      <c r="K728" s="164">
        <v>831.42</v>
      </c>
      <c r="L728" s="165">
        <v>32</v>
      </c>
      <c r="M728" s="163" t="s">
        <v>268</v>
      </c>
      <c r="N728" s="163" t="s">
        <v>272</v>
      </c>
      <c r="O728" s="166" t="s">
        <v>331</v>
      </c>
      <c r="P728" s="167">
        <v>3697950</v>
      </c>
      <c r="Q728" s="167">
        <v>0</v>
      </c>
      <c r="R728" s="167">
        <v>0</v>
      </c>
      <c r="S728" s="167">
        <f t="shared" si="210"/>
        <v>3697950</v>
      </c>
      <c r="T728" s="167">
        <f t="shared" si="209"/>
        <v>3843.143979547297</v>
      </c>
      <c r="U728" s="167">
        <v>4712.3842613955239</v>
      </c>
      <c r="V728" s="149">
        <f t="shared" si="215"/>
        <v>869.24028184822691</v>
      </c>
      <c r="W728" s="149">
        <f t="shared" si="211"/>
        <v>4712.3842613955239</v>
      </c>
      <c r="X728" s="149">
        <v>0</v>
      </c>
      <c r="Y728" s="368">
        <v>0</v>
      </c>
      <c r="Z728" s="368">
        <v>0</v>
      </c>
      <c r="AA728" s="368">
        <v>0</v>
      </c>
      <c r="AB728" s="368">
        <v>0</v>
      </c>
      <c r="AC728" s="368">
        <v>0</v>
      </c>
      <c r="AD728" s="368">
        <v>0</v>
      </c>
      <c r="AE728" s="368">
        <v>0</v>
      </c>
      <c r="AF728" s="396">
        <v>0</v>
      </c>
      <c r="AG728" s="368">
        <v>0</v>
      </c>
      <c r="AH728" s="396">
        <v>0</v>
      </c>
      <c r="AI728" s="368">
        <v>0</v>
      </c>
      <c r="AJ728" s="396">
        <v>0</v>
      </c>
      <c r="AK728" s="368">
        <v>0</v>
      </c>
      <c r="AL728" s="368">
        <v>0</v>
      </c>
      <c r="AM728" s="368">
        <v>649.20000000000005</v>
      </c>
      <c r="AN728" s="368">
        <f t="shared" ref="AN728:AN730" si="216">6984.52*AM728/I728</f>
        <v>4712.3842613955239</v>
      </c>
      <c r="AO728" s="368">
        <v>0</v>
      </c>
    </row>
    <row r="729" spans="1:41" s="152" customFormat="1" ht="36" customHeight="1" x14ac:dyDescent="0.9">
      <c r="A729" s="152">
        <v>1</v>
      </c>
      <c r="B729" s="90">
        <f>SUBTOTAL(103,$A$554:A729)</f>
        <v>174</v>
      </c>
      <c r="C729" s="89" t="s">
        <v>205</v>
      </c>
      <c r="D729" s="163">
        <v>1981</v>
      </c>
      <c r="E729" s="163"/>
      <c r="F729" s="168" t="s">
        <v>270</v>
      </c>
      <c r="G729" s="163">
        <v>2</v>
      </c>
      <c r="H729" s="163">
        <v>3</v>
      </c>
      <c r="I729" s="164">
        <v>955.1</v>
      </c>
      <c r="J729" s="164">
        <v>865.5</v>
      </c>
      <c r="K729" s="164">
        <v>865.5</v>
      </c>
      <c r="L729" s="165">
        <v>47</v>
      </c>
      <c r="M729" s="163" t="s">
        <v>268</v>
      </c>
      <c r="N729" s="163" t="s">
        <v>272</v>
      </c>
      <c r="O729" s="166" t="s">
        <v>331</v>
      </c>
      <c r="P729" s="167">
        <v>3680000</v>
      </c>
      <c r="Q729" s="167">
        <v>0</v>
      </c>
      <c r="R729" s="167">
        <v>0</v>
      </c>
      <c r="S729" s="167">
        <f t="shared" si="210"/>
        <v>3680000</v>
      </c>
      <c r="T729" s="167">
        <f t="shared" si="209"/>
        <v>3852.9996858967647</v>
      </c>
      <c r="U729" s="167">
        <v>4674.385073814261</v>
      </c>
      <c r="V729" s="149">
        <f t="shared" si="215"/>
        <v>821.38538791749625</v>
      </c>
      <c r="W729" s="149">
        <f t="shared" si="211"/>
        <v>4674.385073814261</v>
      </c>
      <c r="X729" s="149">
        <v>0</v>
      </c>
      <c r="Y729" s="368">
        <v>0</v>
      </c>
      <c r="Z729" s="368">
        <v>0</v>
      </c>
      <c r="AA729" s="368">
        <v>0</v>
      </c>
      <c r="AB729" s="368">
        <v>0</v>
      </c>
      <c r="AC729" s="368">
        <v>0</v>
      </c>
      <c r="AD729" s="368">
        <v>0</v>
      </c>
      <c r="AE729" s="368">
        <v>0</v>
      </c>
      <c r="AF729" s="396">
        <v>0</v>
      </c>
      <c r="AG729" s="368">
        <v>0</v>
      </c>
      <c r="AH729" s="396">
        <v>0</v>
      </c>
      <c r="AI729" s="368">
        <v>0</v>
      </c>
      <c r="AJ729" s="396">
        <v>0</v>
      </c>
      <c r="AK729" s="368">
        <v>0</v>
      </c>
      <c r="AL729" s="368">
        <v>0</v>
      </c>
      <c r="AM729" s="368">
        <v>639.20000000000005</v>
      </c>
      <c r="AN729" s="368">
        <f t="shared" si="216"/>
        <v>4674.385073814261</v>
      </c>
      <c r="AO729" s="368">
        <v>0</v>
      </c>
    </row>
    <row r="730" spans="1:41" s="152" customFormat="1" ht="36" customHeight="1" x14ac:dyDescent="0.9">
      <c r="A730" s="152">
        <v>1</v>
      </c>
      <c r="B730" s="90">
        <f>SUBTOTAL(103,$A$554:A730)</f>
        <v>175</v>
      </c>
      <c r="C730" s="89" t="s">
        <v>204</v>
      </c>
      <c r="D730" s="163">
        <v>1987</v>
      </c>
      <c r="E730" s="163"/>
      <c r="F730" s="168" t="s">
        <v>270</v>
      </c>
      <c r="G730" s="163">
        <v>2</v>
      </c>
      <c r="H730" s="163">
        <v>3</v>
      </c>
      <c r="I730" s="164">
        <v>946.6</v>
      </c>
      <c r="J730" s="164">
        <v>861.5</v>
      </c>
      <c r="K730" s="164">
        <v>797.6</v>
      </c>
      <c r="L730" s="165">
        <v>47</v>
      </c>
      <c r="M730" s="163" t="s">
        <v>268</v>
      </c>
      <c r="N730" s="163" t="s">
        <v>272</v>
      </c>
      <c r="O730" s="166" t="s">
        <v>331</v>
      </c>
      <c r="P730" s="167">
        <v>3519757</v>
      </c>
      <c r="Q730" s="167">
        <v>0</v>
      </c>
      <c r="R730" s="167">
        <v>0</v>
      </c>
      <c r="S730" s="167">
        <f t="shared" si="210"/>
        <v>3519757</v>
      </c>
      <c r="T730" s="167">
        <f t="shared" si="209"/>
        <v>3718.3150221846608</v>
      </c>
      <c r="U730" s="167">
        <v>4559.1959729558421</v>
      </c>
      <c r="V730" s="149">
        <f t="shared" si="215"/>
        <v>840.88095077118123</v>
      </c>
      <c r="W730" s="149">
        <f t="shared" si="211"/>
        <v>4559.1959729558421</v>
      </c>
      <c r="X730" s="149">
        <v>0</v>
      </c>
      <c r="Y730" s="368">
        <v>0</v>
      </c>
      <c r="Z730" s="368">
        <v>0</v>
      </c>
      <c r="AA730" s="368">
        <v>0</v>
      </c>
      <c r="AB730" s="368">
        <v>0</v>
      </c>
      <c r="AC730" s="368">
        <v>0</v>
      </c>
      <c r="AD730" s="368">
        <v>0</v>
      </c>
      <c r="AE730" s="368">
        <v>0</v>
      </c>
      <c r="AF730" s="396">
        <v>0</v>
      </c>
      <c r="AG730" s="368">
        <v>0</v>
      </c>
      <c r="AH730" s="396">
        <v>0</v>
      </c>
      <c r="AI730" s="368">
        <v>0</v>
      </c>
      <c r="AJ730" s="396">
        <v>0</v>
      </c>
      <c r="AK730" s="368">
        <v>0</v>
      </c>
      <c r="AL730" s="368">
        <v>0</v>
      </c>
      <c r="AM730" s="368">
        <v>617.9</v>
      </c>
      <c r="AN730" s="368">
        <f t="shared" si="216"/>
        <v>4559.1959729558421</v>
      </c>
      <c r="AO730" s="368">
        <v>0</v>
      </c>
    </row>
    <row r="731" spans="1:41" s="152" customFormat="1" ht="36" customHeight="1" x14ac:dyDescent="0.9">
      <c r="A731" s="152">
        <v>1</v>
      </c>
      <c r="B731" s="90">
        <f>SUBTOTAL(103,$A$554:A731)</f>
        <v>176</v>
      </c>
      <c r="C731" s="89" t="s">
        <v>424</v>
      </c>
      <c r="D731" s="163">
        <v>1987</v>
      </c>
      <c r="E731" s="163"/>
      <c r="F731" s="168" t="s">
        <v>270</v>
      </c>
      <c r="G731" s="163">
        <v>5</v>
      </c>
      <c r="H731" s="163">
        <v>4</v>
      </c>
      <c r="I731" s="164">
        <v>2928.1</v>
      </c>
      <c r="J731" s="164">
        <v>2613.6</v>
      </c>
      <c r="K731" s="164">
        <v>2388.9</v>
      </c>
      <c r="L731" s="165">
        <v>106</v>
      </c>
      <c r="M731" s="163" t="s">
        <v>268</v>
      </c>
      <c r="N731" s="163" t="s">
        <v>272</v>
      </c>
      <c r="O731" s="166" t="s">
        <v>330</v>
      </c>
      <c r="P731" s="167">
        <v>4335791.2699999996</v>
      </c>
      <c r="Q731" s="167">
        <v>0</v>
      </c>
      <c r="R731" s="167">
        <v>0</v>
      </c>
      <c r="S731" s="167">
        <f t="shared" si="210"/>
        <v>4335791.2699999996</v>
      </c>
      <c r="T731" s="167">
        <f t="shared" si="209"/>
        <v>1480.7524572248215</v>
      </c>
      <c r="U731" s="167">
        <v>1653.4251425839282</v>
      </c>
      <c r="V731" s="149">
        <f t="shared" si="215"/>
        <v>172.67268535910671</v>
      </c>
      <c r="W731" s="149">
        <f t="shared" si="211"/>
        <v>1653.4251425839282</v>
      </c>
      <c r="X731" s="149">
        <v>0</v>
      </c>
      <c r="Y731" s="368">
        <v>0</v>
      </c>
      <c r="Z731" s="368">
        <v>0</v>
      </c>
      <c r="AA731" s="368">
        <v>0</v>
      </c>
      <c r="AB731" s="368">
        <v>0</v>
      </c>
      <c r="AC731" s="368">
        <v>0</v>
      </c>
      <c r="AD731" s="368">
        <v>0</v>
      </c>
      <c r="AE731" s="368">
        <v>776</v>
      </c>
      <c r="AF731" s="396">
        <f t="shared" ref="AF731" si="217">6238.91*AE731/I731</f>
        <v>1653.4251425839282</v>
      </c>
      <c r="AG731" s="368">
        <v>0</v>
      </c>
      <c r="AH731" s="396">
        <v>0</v>
      </c>
      <c r="AI731" s="368">
        <v>0</v>
      </c>
      <c r="AJ731" s="396">
        <v>0</v>
      </c>
      <c r="AK731" s="368">
        <v>0</v>
      </c>
      <c r="AL731" s="368">
        <v>0</v>
      </c>
      <c r="AM731" s="368">
        <v>0</v>
      </c>
      <c r="AN731" s="368"/>
      <c r="AO731" s="368">
        <v>0</v>
      </c>
    </row>
    <row r="732" spans="1:41" s="152" customFormat="1" ht="36" customHeight="1" x14ac:dyDescent="0.9">
      <c r="A732" s="152">
        <v>1</v>
      </c>
      <c r="B732" s="90">
        <f>SUBTOTAL(103,$A$554:A732)</f>
        <v>177</v>
      </c>
      <c r="C732" s="89" t="s">
        <v>425</v>
      </c>
      <c r="D732" s="163">
        <v>1846</v>
      </c>
      <c r="E732" s="163"/>
      <c r="F732" s="168" t="s">
        <v>270</v>
      </c>
      <c r="G732" s="163">
        <v>2</v>
      </c>
      <c r="H732" s="163">
        <v>1</v>
      </c>
      <c r="I732" s="164">
        <v>378.89</v>
      </c>
      <c r="J732" s="164">
        <v>325.39999999999998</v>
      </c>
      <c r="K732" s="164">
        <v>325.39999999999998</v>
      </c>
      <c r="L732" s="165">
        <v>17</v>
      </c>
      <c r="M732" s="163" t="s">
        <v>268</v>
      </c>
      <c r="N732" s="163" t="s">
        <v>269</v>
      </c>
      <c r="O732" s="166" t="s">
        <v>271</v>
      </c>
      <c r="P732" s="167">
        <v>2345314.9499999997</v>
      </c>
      <c r="Q732" s="167">
        <v>0</v>
      </c>
      <c r="R732" s="167">
        <v>0</v>
      </c>
      <c r="S732" s="167">
        <f t="shared" si="210"/>
        <v>2345314.9499999997</v>
      </c>
      <c r="T732" s="167">
        <f t="shared" si="209"/>
        <v>6189.9626540684631</v>
      </c>
      <c r="U732" s="167">
        <v>6200.5686346960856</v>
      </c>
      <c r="V732" s="149">
        <f t="shared" si="215"/>
        <v>10.605980627622557</v>
      </c>
      <c r="W732" s="149">
        <f t="shared" si="211"/>
        <v>6200.5686346960856</v>
      </c>
      <c r="X732" s="149">
        <v>0</v>
      </c>
      <c r="Y732" s="368">
        <v>0</v>
      </c>
      <c r="Z732" s="368">
        <v>0</v>
      </c>
      <c r="AA732" s="368">
        <v>0</v>
      </c>
      <c r="AB732" s="368">
        <v>0</v>
      </c>
      <c r="AC732" s="368">
        <v>0</v>
      </c>
      <c r="AD732" s="368">
        <v>0</v>
      </c>
      <c r="AE732" s="368">
        <v>365</v>
      </c>
      <c r="AF732" s="396">
        <f>6436.53*AE732/I732</f>
        <v>6200.5686346960856</v>
      </c>
      <c r="AG732" s="368">
        <v>0</v>
      </c>
      <c r="AH732" s="396">
        <v>0</v>
      </c>
      <c r="AI732" s="368">
        <v>0</v>
      </c>
      <c r="AJ732" s="396">
        <v>0</v>
      </c>
      <c r="AK732" s="368">
        <v>0</v>
      </c>
      <c r="AL732" s="368">
        <v>0</v>
      </c>
      <c r="AM732" s="368">
        <v>0</v>
      </c>
      <c r="AN732" s="368"/>
      <c r="AO732" s="368">
        <v>0</v>
      </c>
    </row>
    <row r="733" spans="1:41" s="152" customFormat="1" ht="36" customHeight="1" x14ac:dyDescent="0.9">
      <c r="A733" s="152">
        <v>1</v>
      </c>
      <c r="B733" s="90">
        <f>SUBTOTAL(103,$A$554:A733)</f>
        <v>178</v>
      </c>
      <c r="C733" s="89" t="s">
        <v>426</v>
      </c>
      <c r="D733" s="163">
        <v>1964</v>
      </c>
      <c r="E733" s="163"/>
      <c r="F733" s="168" t="s">
        <v>270</v>
      </c>
      <c r="G733" s="163">
        <v>3</v>
      </c>
      <c r="H733" s="163">
        <v>2</v>
      </c>
      <c r="I733" s="164">
        <v>1192.79</v>
      </c>
      <c r="J733" s="164">
        <v>1161.32</v>
      </c>
      <c r="K733" s="164">
        <v>1130.3599999999999</v>
      </c>
      <c r="L733" s="165">
        <v>54</v>
      </c>
      <c r="M733" s="163" t="s">
        <v>268</v>
      </c>
      <c r="N733" s="163" t="s">
        <v>272</v>
      </c>
      <c r="O733" s="166" t="s">
        <v>326</v>
      </c>
      <c r="P733" s="167">
        <v>4900000</v>
      </c>
      <c r="Q733" s="167">
        <v>0</v>
      </c>
      <c r="R733" s="167">
        <v>0</v>
      </c>
      <c r="S733" s="167">
        <f t="shared" si="210"/>
        <v>4900000</v>
      </c>
      <c r="T733" s="167">
        <f t="shared" si="209"/>
        <v>4108.0156607617437</v>
      </c>
      <c r="U733" s="167">
        <v>5906.1760242792116</v>
      </c>
      <c r="V733" s="149">
        <f t="shared" si="215"/>
        <v>1798.1603635174679</v>
      </c>
      <c r="W733" s="149">
        <f t="shared" si="211"/>
        <v>5906.1760242792116</v>
      </c>
      <c r="X733" s="149">
        <v>0</v>
      </c>
      <c r="Y733" s="368">
        <v>0</v>
      </c>
      <c r="Z733" s="368">
        <v>0</v>
      </c>
      <c r="AA733" s="368">
        <v>0</v>
      </c>
      <c r="AB733" s="368">
        <v>0</v>
      </c>
      <c r="AC733" s="368">
        <v>0</v>
      </c>
      <c r="AD733" s="368">
        <v>0</v>
      </c>
      <c r="AE733" s="368">
        <v>0</v>
      </c>
      <c r="AF733" s="396">
        <v>0</v>
      </c>
      <c r="AG733" s="368">
        <v>0</v>
      </c>
      <c r="AH733" s="396">
        <v>0</v>
      </c>
      <c r="AI733" s="368">
        <v>947</v>
      </c>
      <c r="AJ733" s="397">
        <f>7439.1*AI733/I733</f>
        <v>5906.1760242792116</v>
      </c>
      <c r="AK733" s="368">
        <v>0</v>
      </c>
      <c r="AL733" s="368">
        <v>0</v>
      </c>
      <c r="AM733" s="368">
        <v>0</v>
      </c>
      <c r="AN733" s="368"/>
      <c r="AO733" s="368">
        <v>0</v>
      </c>
    </row>
    <row r="734" spans="1:41" s="152" customFormat="1" ht="36" customHeight="1" x14ac:dyDescent="0.9">
      <c r="A734" s="152">
        <v>1</v>
      </c>
      <c r="B734" s="90">
        <f>SUBTOTAL(103,$A$554:A734)</f>
        <v>179</v>
      </c>
      <c r="C734" s="89" t="s">
        <v>427</v>
      </c>
      <c r="D734" s="163">
        <v>1941</v>
      </c>
      <c r="E734" s="163"/>
      <c r="F734" s="168" t="s">
        <v>270</v>
      </c>
      <c r="G734" s="163">
        <v>2</v>
      </c>
      <c r="H734" s="163">
        <v>2</v>
      </c>
      <c r="I734" s="164">
        <v>858.1</v>
      </c>
      <c r="J734" s="164">
        <v>655.20000000000005</v>
      </c>
      <c r="K734" s="164">
        <v>655.20000000000005</v>
      </c>
      <c r="L734" s="165">
        <v>20</v>
      </c>
      <c r="M734" s="163" t="s">
        <v>268</v>
      </c>
      <c r="N734" s="163" t="s">
        <v>272</v>
      </c>
      <c r="O734" s="166" t="s">
        <v>329</v>
      </c>
      <c r="P734" s="167">
        <v>3393815.22</v>
      </c>
      <c r="Q734" s="167">
        <v>0</v>
      </c>
      <c r="R734" s="167">
        <v>0</v>
      </c>
      <c r="S734" s="167">
        <f t="shared" si="210"/>
        <v>3393815.22</v>
      </c>
      <c r="T734" s="167">
        <f t="shared" si="209"/>
        <v>3955.0346346579654</v>
      </c>
      <c r="U734" s="167">
        <v>4362.3656916443306</v>
      </c>
      <c r="V734" s="149">
        <f t="shared" si="215"/>
        <v>407.33105698636518</v>
      </c>
      <c r="W734" s="149">
        <f t="shared" si="211"/>
        <v>4362.3656916443306</v>
      </c>
      <c r="X734" s="149">
        <v>0</v>
      </c>
      <c r="Y734" s="368">
        <v>0</v>
      </c>
      <c r="Z734" s="368">
        <v>0</v>
      </c>
      <c r="AA734" s="368">
        <v>0</v>
      </c>
      <c r="AB734" s="368">
        <v>0</v>
      </c>
      <c r="AC734" s="368">
        <v>0</v>
      </c>
      <c r="AD734" s="368">
        <v>0</v>
      </c>
      <c r="AE734" s="368">
        <v>600</v>
      </c>
      <c r="AF734" s="396">
        <f t="shared" ref="AF734:AF738" si="218">6238.91*AE734/I734</f>
        <v>4362.3656916443306</v>
      </c>
      <c r="AG734" s="368">
        <v>0</v>
      </c>
      <c r="AH734" s="396">
        <v>0</v>
      </c>
      <c r="AI734" s="368">
        <v>0</v>
      </c>
      <c r="AJ734" s="396">
        <v>0</v>
      </c>
      <c r="AK734" s="368">
        <v>0</v>
      </c>
      <c r="AL734" s="368">
        <v>0</v>
      </c>
      <c r="AM734" s="368">
        <v>0</v>
      </c>
      <c r="AN734" s="368"/>
      <c r="AO734" s="368">
        <v>0</v>
      </c>
    </row>
    <row r="735" spans="1:41" s="152" customFormat="1" ht="36" customHeight="1" x14ac:dyDescent="0.9">
      <c r="A735" s="152">
        <v>1</v>
      </c>
      <c r="B735" s="90">
        <f>SUBTOTAL(103,$A$554:A735)</f>
        <v>180</v>
      </c>
      <c r="C735" s="89" t="s">
        <v>428</v>
      </c>
      <c r="D735" s="163">
        <v>1962</v>
      </c>
      <c r="E735" s="163"/>
      <c r="F735" s="168" t="s">
        <v>328</v>
      </c>
      <c r="G735" s="163">
        <v>2</v>
      </c>
      <c r="H735" s="163">
        <v>2</v>
      </c>
      <c r="I735" s="164">
        <v>590.99</v>
      </c>
      <c r="J735" s="164">
        <v>407.09</v>
      </c>
      <c r="K735" s="164">
        <v>407.09</v>
      </c>
      <c r="L735" s="165">
        <v>22</v>
      </c>
      <c r="M735" s="163" t="s">
        <v>268</v>
      </c>
      <c r="N735" s="163" t="s">
        <v>272</v>
      </c>
      <c r="O735" s="166" t="s">
        <v>332</v>
      </c>
      <c r="P735" s="167">
        <v>2699117.1599999997</v>
      </c>
      <c r="Q735" s="167">
        <v>0</v>
      </c>
      <c r="R735" s="167">
        <v>0</v>
      </c>
      <c r="S735" s="167">
        <f t="shared" si="210"/>
        <v>2699117.1599999997</v>
      </c>
      <c r="T735" s="167">
        <f t="shared" si="209"/>
        <v>4567.1113893636093</v>
      </c>
      <c r="U735" s="167">
        <v>5130.5610247212298</v>
      </c>
      <c r="V735" s="149">
        <f t="shared" si="215"/>
        <v>563.44963535762054</v>
      </c>
      <c r="W735" s="149">
        <f t="shared" si="211"/>
        <v>5130.5610247212298</v>
      </c>
      <c r="X735" s="149">
        <v>0</v>
      </c>
      <c r="Y735" s="368">
        <v>0</v>
      </c>
      <c r="Z735" s="368">
        <v>0</v>
      </c>
      <c r="AA735" s="368">
        <v>0</v>
      </c>
      <c r="AB735" s="368">
        <v>0</v>
      </c>
      <c r="AC735" s="368">
        <v>0</v>
      </c>
      <c r="AD735" s="368">
        <v>0</v>
      </c>
      <c r="AE735" s="368">
        <v>486</v>
      </c>
      <c r="AF735" s="396">
        <f t="shared" si="218"/>
        <v>5130.5610247212298</v>
      </c>
      <c r="AG735" s="368">
        <v>0</v>
      </c>
      <c r="AH735" s="396">
        <v>0</v>
      </c>
      <c r="AI735" s="368">
        <v>0</v>
      </c>
      <c r="AJ735" s="396">
        <v>0</v>
      </c>
      <c r="AK735" s="368">
        <v>0</v>
      </c>
      <c r="AL735" s="368">
        <v>0</v>
      </c>
      <c r="AM735" s="368">
        <v>0</v>
      </c>
      <c r="AN735" s="368"/>
      <c r="AO735" s="368">
        <v>0</v>
      </c>
    </row>
    <row r="736" spans="1:41" s="152" customFormat="1" ht="36" customHeight="1" x14ac:dyDescent="0.9">
      <c r="A736" s="152">
        <v>1</v>
      </c>
      <c r="B736" s="90">
        <f>SUBTOTAL(103,$A$554:A736)</f>
        <v>181</v>
      </c>
      <c r="C736" s="89" t="s">
        <v>1645</v>
      </c>
      <c r="D736" s="163">
        <v>1960</v>
      </c>
      <c r="E736" s="163"/>
      <c r="F736" s="168" t="s">
        <v>1359</v>
      </c>
      <c r="G736" s="163">
        <v>4</v>
      </c>
      <c r="H736" s="163">
        <v>4</v>
      </c>
      <c r="I736" s="164">
        <v>1920.6</v>
      </c>
      <c r="J736" s="164">
        <v>1243.9000000000001</v>
      </c>
      <c r="K736" s="164">
        <f>J736-257.8</f>
        <v>986.10000000000014</v>
      </c>
      <c r="L736" s="165">
        <v>87</v>
      </c>
      <c r="M736" s="163" t="s">
        <v>268</v>
      </c>
      <c r="N736" s="163" t="s">
        <v>272</v>
      </c>
      <c r="O736" s="166" t="s">
        <v>1001</v>
      </c>
      <c r="P736" s="167">
        <v>5101600</v>
      </c>
      <c r="Q736" s="167">
        <v>0</v>
      </c>
      <c r="R736" s="167">
        <v>0</v>
      </c>
      <c r="S736" s="167">
        <f t="shared" si="210"/>
        <v>5101600</v>
      </c>
      <c r="T736" s="167">
        <f t="shared" si="209"/>
        <v>2656.2532541913988</v>
      </c>
      <c r="U736" s="167">
        <v>2959.3080339477247</v>
      </c>
      <c r="V736" s="149">
        <f t="shared" si="215"/>
        <v>303.05477975632584</v>
      </c>
      <c r="W736" s="149">
        <f t="shared" si="211"/>
        <v>2959.3080339477247</v>
      </c>
      <c r="X736" s="149">
        <v>0</v>
      </c>
      <c r="Y736" s="368">
        <v>0</v>
      </c>
      <c r="Z736" s="368">
        <v>0</v>
      </c>
      <c r="AA736" s="368">
        <v>0</v>
      </c>
      <c r="AB736" s="368">
        <v>0</v>
      </c>
      <c r="AC736" s="368">
        <v>0</v>
      </c>
      <c r="AD736" s="368">
        <v>0</v>
      </c>
      <c r="AE736" s="368">
        <v>911</v>
      </c>
      <c r="AF736" s="396">
        <f t="shared" si="218"/>
        <v>2959.3080339477247</v>
      </c>
      <c r="AG736" s="368">
        <v>0</v>
      </c>
      <c r="AH736" s="396">
        <v>0</v>
      </c>
      <c r="AI736" s="368">
        <v>0</v>
      </c>
      <c r="AJ736" s="396">
        <v>0</v>
      </c>
      <c r="AK736" s="368">
        <v>0</v>
      </c>
      <c r="AL736" s="368">
        <v>0</v>
      </c>
      <c r="AM736" s="368">
        <v>0</v>
      </c>
      <c r="AN736" s="368"/>
      <c r="AO736" s="368">
        <v>0</v>
      </c>
    </row>
    <row r="737" spans="1:41" s="152" customFormat="1" ht="36" customHeight="1" x14ac:dyDescent="0.9">
      <c r="A737" s="152">
        <v>1</v>
      </c>
      <c r="B737" s="90">
        <f>SUBTOTAL(103,$A$554:A737)</f>
        <v>182</v>
      </c>
      <c r="C737" s="89" t="s">
        <v>1676</v>
      </c>
      <c r="D737" s="163">
        <v>1959</v>
      </c>
      <c r="E737" s="163"/>
      <c r="F737" s="168" t="s">
        <v>1359</v>
      </c>
      <c r="G737" s="163">
        <v>3</v>
      </c>
      <c r="H737" s="163">
        <v>2</v>
      </c>
      <c r="I737" s="164">
        <v>1263</v>
      </c>
      <c r="J737" s="164">
        <v>1052.4000000000001</v>
      </c>
      <c r="K737" s="164">
        <f>J737-281.3</f>
        <v>771.10000000000014</v>
      </c>
      <c r="L737" s="165">
        <v>92</v>
      </c>
      <c r="M737" s="163" t="s">
        <v>268</v>
      </c>
      <c r="N737" s="163" t="s">
        <v>269</v>
      </c>
      <c r="O737" s="166" t="s">
        <v>271</v>
      </c>
      <c r="P737" s="167">
        <v>2638742.77</v>
      </c>
      <c r="Q737" s="167">
        <v>0</v>
      </c>
      <c r="R737" s="167">
        <v>0</v>
      </c>
      <c r="S737" s="167">
        <f t="shared" si="210"/>
        <v>2638742.77</v>
      </c>
      <c r="T737" s="167">
        <f t="shared" si="209"/>
        <v>2089.2658511480604</v>
      </c>
      <c r="U737" s="167">
        <v>2371.0821852731592</v>
      </c>
      <c r="V737" s="149">
        <f t="shared" si="215"/>
        <v>281.81633412509882</v>
      </c>
      <c r="W737" s="149">
        <f t="shared" si="211"/>
        <v>2371.0821852731592</v>
      </c>
      <c r="X737" s="149">
        <v>0</v>
      </c>
      <c r="Y737" s="368">
        <v>0</v>
      </c>
      <c r="Z737" s="368">
        <v>0</v>
      </c>
      <c r="AA737" s="368">
        <v>0</v>
      </c>
      <c r="AB737" s="368">
        <v>0</v>
      </c>
      <c r="AC737" s="368">
        <v>0</v>
      </c>
      <c r="AD737" s="368">
        <v>0</v>
      </c>
      <c r="AE737" s="368">
        <v>480</v>
      </c>
      <c r="AF737" s="396">
        <f t="shared" si="218"/>
        <v>2371.0821852731592</v>
      </c>
      <c r="AG737" s="368">
        <v>0</v>
      </c>
      <c r="AH737" s="396">
        <v>0</v>
      </c>
      <c r="AI737" s="368">
        <v>0</v>
      </c>
      <c r="AJ737" s="396">
        <v>0</v>
      </c>
      <c r="AK737" s="368">
        <v>0</v>
      </c>
      <c r="AL737" s="368">
        <v>0</v>
      </c>
      <c r="AM737" s="368">
        <v>0</v>
      </c>
      <c r="AN737" s="368"/>
      <c r="AO737" s="368">
        <v>0</v>
      </c>
    </row>
    <row r="738" spans="1:41" s="152" customFormat="1" ht="36" customHeight="1" x14ac:dyDescent="0.9">
      <c r="A738" s="152">
        <v>1</v>
      </c>
      <c r="B738" s="90">
        <f>SUBTOTAL(103,$A$554:A738)</f>
        <v>183</v>
      </c>
      <c r="C738" s="89" t="s">
        <v>1677</v>
      </c>
      <c r="D738" s="163">
        <v>1942</v>
      </c>
      <c r="E738" s="163"/>
      <c r="F738" s="168" t="s">
        <v>1359</v>
      </c>
      <c r="G738" s="163">
        <v>2</v>
      </c>
      <c r="H738" s="163">
        <v>2</v>
      </c>
      <c r="I738" s="164">
        <v>1139.8399999999999</v>
      </c>
      <c r="J738" s="164">
        <v>660</v>
      </c>
      <c r="K738" s="164">
        <f>J738-52</f>
        <v>608</v>
      </c>
      <c r="L738" s="165">
        <v>25</v>
      </c>
      <c r="M738" s="163" t="s">
        <v>268</v>
      </c>
      <c r="N738" s="163" t="s">
        <v>269</v>
      </c>
      <c r="O738" s="166" t="s">
        <v>271</v>
      </c>
      <c r="P738" s="167">
        <v>3267279.28</v>
      </c>
      <c r="Q738" s="167">
        <v>0</v>
      </c>
      <c r="R738" s="167">
        <v>0</v>
      </c>
      <c r="S738" s="167">
        <f t="shared" si="210"/>
        <v>3267279.28</v>
      </c>
      <c r="T738" s="167">
        <f t="shared" si="209"/>
        <v>2866.4367630544639</v>
      </c>
      <c r="U738" s="167">
        <v>3284.0977681078048</v>
      </c>
      <c r="V738" s="149">
        <f t="shared" si="215"/>
        <v>417.66100505334089</v>
      </c>
      <c r="W738" s="149">
        <f t="shared" si="211"/>
        <v>3284.0977681078048</v>
      </c>
      <c r="X738" s="149">
        <v>0</v>
      </c>
      <c r="Y738" s="368">
        <v>0</v>
      </c>
      <c r="Z738" s="368">
        <v>0</v>
      </c>
      <c r="AA738" s="368">
        <v>0</v>
      </c>
      <c r="AB738" s="368">
        <v>0</v>
      </c>
      <c r="AC738" s="368">
        <v>0</v>
      </c>
      <c r="AD738" s="368">
        <v>0</v>
      </c>
      <c r="AE738" s="368">
        <v>600</v>
      </c>
      <c r="AF738" s="396">
        <f t="shared" si="218"/>
        <v>3284.0977681078048</v>
      </c>
      <c r="AG738" s="368">
        <v>0</v>
      </c>
      <c r="AH738" s="396">
        <v>0</v>
      </c>
      <c r="AI738" s="368">
        <v>0</v>
      </c>
      <c r="AJ738" s="396">
        <v>0</v>
      </c>
      <c r="AK738" s="368">
        <v>0</v>
      </c>
      <c r="AL738" s="368">
        <v>0</v>
      </c>
      <c r="AM738" s="368">
        <v>0</v>
      </c>
      <c r="AN738" s="368"/>
      <c r="AO738" s="368">
        <v>0</v>
      </c>
    </row>
    <row r="739" spans="1:41" s="152" customFormat="1" ht="36" customHeight="1" x14ac:dyDescent="0.9">
      <c r="A739" s="152">
        <v>1</v>
      </c>
      <c r="B739" s="90">
        <f>SUBTOTAL(103,$A$554:A739)</f>
        <v>184</v>
      </c>
      <c r="C739" s="89" t="s">
        <v>444</v>
      </c>
      <c r="D739" s="163">
        <v>1994</v>
      </c>
      <c r="E739" s="163"/>
      <c r="F739" s="168" t="s">
        <v>315</v>
      </c>
      <c r="G739" s="163">
        <v>9</v>
      </c>
      <c r="H739" s="163">
        <v>2</v>
      </c>
      <c r="I739" s="164">
        <v>4306.3</v>
      </c>
      <c r="J739" s="164">
        <v>3871</v>
      </c>
      <c r="K739" s="164">
        <v>3511.4</v>
      </c>
      <c r="L739" s="165">
        <v>173</v>
      </c>
      <c r="M739" s="163" t="s">
        <v>268</v>
      </c>
      <c r="N739" s="163" t="s">
        <v>272</v>
      </c>
      <c r="O739" s="166" t="s">
        <v>325</v>
      </c>
      <c r="P739" s="167">
        <v>4331631.53</v>
      </c>
      <c r="Q739" s="167">
        <v>0</v>
      </c>
      <c r="R739" s="167">
        <v>0</v>
      </c>
      <c r="S739" s="167">
        <f t="shared" si="210"/>
        <v>4331631.53</v>
      </c>
      <c r="T739" s="167">
        <f t="shared" si="209"/>
        <v>1005.8824350370388</v>
      </c>
      <c r="U739" s="167">
        <v>1141.4903745674942</v>
      </c>
      <c r="V739" s="149">
        <f t="shared" si="215"/>
        <v>135.60793953045538</v>
      </c>
      <c r="W739" s="149">
        <f t="shared" si="211"/>
        <v>1141.4903745674942</v>
      </c>
      <c r="X739" s="149">
        <v>0</v>
      </c>
      <c r="Y739" s="368">
        <v>0</v>
      </c>
      <c r="Z739" s="368">
        <v>0</v>
      </c>
      <c r="AA739" s="368">
        <v>0</v>
      </c>
      <c r="AB739" s="368">
        <v>0</v>
      </c>
      <c r="AC739" s="368">
        <v>2</v>
      </c>
      <c r="AD739" s="396">
        <f>2457800*AC739/I739</f>
        <v>1141.4903745674942</v>
      </c>
      <c r="AE739" s="368">
        <v>0</v>
      </c>
      <c r="AF739" s="396">
        <v>0</v>
      </c>
      <c r="AG739" s="368">
        <v>0</v>
      </c>
      <c r="AH739" s="396">
        <v>0</v>
      </c>
      <c r="AI739" s="368">
        <v>0</v>
      </c>
      <c r="AJ739" s="396">
        <v>0</v>
      </c>
      <c r="AK739" s="368">
        <v>0</v>
      </c>
      <c r="AL739" s="368">
        <v>0</v>
      </c>
      <c r="AM739" s="368">
        <v>0</v>
      </c>
      <c r="AN739" s="368"/>
      <c r="AO739" s="368">
        <v>0</v>
      </c>
    </row>
    <row r="740" spans="1:41" s="152" customFormat="1" ht="36" customHeight="1" x14ac:dyDescent="0.9">
      <c r="A740" s="152">
        <v>1</v>
      </c>
      <c r="B740" s="90">
        <f>SUBTOTAL(103,$A$554:A740)</f>
        <v>185</v>
      </c>
      <c r="C740" s="89" t="s">
        <v>1697</v>
      </c>
      <c r="D740" s="163">
        <v>1952</v>
      </c>
      <c r="E740" s="163"/>
      <c r="F740" s="168" t="s">
        <v>1359</v>
      </c>
      <c r="G740" s="163">
        <v>2</v>
      </c>
      <c r="H740" s="163">
        <v>2</v>
      </c>
      <c r="I740" s="164">
        <v>557.4</v>
      </c>
      <c r="J740" s="164">
        <v>517.5</v>
      </c>
      <c r="K740" s="164">
        <v>470.9</v>
      </c>
      <c r="L740" s="165">
        <v>31</v>
      </c>
      <c r="M740" s="163" t="s">
        <v>268</v>
      </c>
      <c r="N740" s="163" t="s">
        <v>269</v>
      </c>
      <c r="O740" s="166" t="s">
        <v>271</v>
      </c>
      <c r="P740" s="167">
        <v>3267843.12</v>
      </c>
      <c r="Q740" s="167">
        <v>0</v>
      </c>
      <c r="R740" s="167">
        <v>0</v>
      </c>
      <c r="S740" s="167">
        <f t="shared" si="210"/>
        <v>3267843.12</v>
      </c>
      <c r="T740" s="167">
        <f t="shared" si="209"/>
        <v>5862.6536060279877</v>
      </c>
      <c r="U740" s="167">
        <v>6715.7265877287409</v>
      </c>
      <c r="V740" s="149">
        <f t="shared" si="215"/>
        <v>853.07298170075319</v>
      </c>
      <c r="W740" s="149">
        <f t="shared" si="211"/>
        <v>6715.7265877287409</v>
      </c>
      <c r="X740" s="149">
        <v>0</v>
      </c>
      <c r="Y740" s="368">
        <v>0</v>
      </c>
      <c r="Z740" s="368">
        <v>0</v>
      </c>
      <c r="AA740" s="368">
        <v>0</v>
      </c>
      <c r="AB740" s="368">
        <v>0</v>
      </c>
      <c r="AC740" s="368">
        <v>0</v>
      </c>
      <c r="AD740" s="368">
        <v>0</v>
      </c>
      <c r="AE740" s="368">
        <v>600</v>
      </c>
      <c r="AF740" s="396">
        <f t="shared" ref="AF740:AF741" si="219">6238.91*AE740/I740</f>
        <v>6715.7265877287409</v>
      </c>
      <c r="AG740" s="368">
        <v>0</v>
      </c>
      <c r="AH740" s="396">
        <v>0</v>
      </c>
      <c r="AI740" s="368">
        <v>0</v>
      </c>
      <c r="AJ740" s="396">
        <v>0</v>
      </c>
      <c r="AK740" s="368">
        <v>0</v>
      </c>
      <c r="AL740" s="368">
        <v>0</v>
      </c>
      <c r="AM740" s="368">
        <v>0</v>
      </c>
      <c r="AN740" s="368"/>
      <c r="AO740" s="368">
        <v>0</v>
      </c>
    </row>
    <row r="741" spans="1:41" s="152" customFormat="1" ht="36" customHeight="1" x14ac:dyDescent="0.9">
      <c r="A741" s="152">
        <v>1</v>
      </c>
      <c r="B741" s="90">
        <f>SUBTOTAL(103,$A$554:A741)</f>
        <v>186</v>
      </c>
      <c r="C741" s="89" t="s">
        <v>1698</v>
      </c>
      <c r="D741" s="163">
        <v>1950</v>
      </c>
      <c r="E741" s="163"/>
      <c r="F741" s="168" t="s">
        <v>1359</v>
      </c>
      <c r="G741" s="163">
        <v>2</v>
      </c>
      <c r="H741" s="163">
        <v>1</v>
      </c>
      <c r="I741" s="164">
        <v>462.7</v>
      </c>
      <c r="J741" s="164">
        <v>460.2</v>
      </c>
      <c r="K741" s="164">
        <v>294.10000000000002</v>
      </c>
      <c r="L741" s="165">
        <v>17</v>
      </c>
      <c r="M741" s="163" t="s">
        <v>268</v>
      </c>
      <c r="N741" s="163" t="s">
        <v>272</v>
      </c>
      <c r="O741" s="166" t="s">
        <v>325</v>
      </c>
      <c r="P741" s="167">
        <v>2422320</v>
      </c>
      <c r="Q741" s="167">
        <v>0</v>
      </c>
      <c r="R741" s="167">
        <v>0</v>
      </c>
      <c r="S741" s="167">
        <f t="shared" si="210"/>
        <v>2422320</v>
      </c>
      <c r="T741" s="167">
        <f t="shared" si="209"/>
        <v>5235.1847849578562</v>
      </c>
      <c r="U741" s="167">
        <v>5932.8299113896692</v>
      </c>
      <c r="V741" s="149">
        <f t="shared" si="215"/>
        <v>697.64512643181297</v>
      </c>
      <c r="W741" s="149">
        <f t="shared" si="211"/>
        <v>5932.8299113896692</v>
      </c>
      <c r="X741" s="149">
        <v>0</v>
      </c>
      <c r="Y741" s="368">
        <v>0</v>
      </c>
      <c r="Z741" s="368">
        <v>0</v>
      </c>
      <c r="AA741" s="368">
        <v>0</v>
      </c>
      <c r="AB741" s="368">
        <v>0</v>
      </c>
      <c r="AC741" s="368">
        <v>0</v>
      </c>
      <c r="AD741" s="368">
        <v>0</v>
      </c>
      <c r="AE741" s="368">
        <v>440</v>
      </c>
      <c r="AF741" s="396">
        <f t="shared" si="219"/>
        <v>5932.8299113896692</v>
      </c>
      <c r="AG741" s="368">
        <v>0</v>
      </c>
      <c r="AH741" s="396">
        <v>0</v>
      </c>
      <c r="AI741" s="368">
        <v>0</v>
      </c>
      <c r="AJ741" s="396">
        <v>0</v>
      </c>
      <c r="AK741" s="368">
        <v>0</v>
      </c>
      <c r="AL741" s="368">
        <v>0</v>
      </c>
      <c r="AM741" s="368">
        <v>0</v>
      </c>
      <c r="AN741" s="368"/>
      <c r="AO741" s="368">
        <v>0</v>
      </c>
    </row>
    <row r="742" spans="1:41" s="152" customFormat="1" ht="36" customHeight="1" x14ac:dyDescent="0.9">
      <c r="A742" s="152">
        <v>1</v>
      </c>
      <c r="B742" s="90">
        <f>SUBTOTAL(103,$A$554:A742)</f>
        <v>187</v>
      </c>
      <c r="C742" s="89" t="s">
        <v>1168</v>
      </c>
      <c r="D742" s="163">
        <v>1952</v>
      </c>
      <c r="E742" s="163"/>
      <c r="F742" s="168" t="s">
        <v>270</v>
      </c>
      <c r="G742" s="163">
        <v>3</v>
      </c>
      <c r="H742" s="163">
        <v>3</v>
      </c>
      <c r="I742" s="167">
        <v>1798.15</v>
      </c>
      <c r="J742" s="167">
        <v>1637.95</v>
      </c>
      <c r="K742" s="167">
        <v>1637.95</v>
      </c>
      <c r="L742" s="165">
        <v>58</v>
      </c>
      <c r="M742" s="163" t="s">
        <v>268</v>
      </c>
      <c r="N742" s="163" t="s">
        <v>272</v>
      </c>
      <c r="O742" s="166" t="s">
        <v>1004</v>
      </c>
      <c r="P742" s="167">
        <v>2050106.0299999998</v>
      </c>
      <c r="Q742" s="167">
        <v>0</v>
      </c>
      <c r="R742" s="167">
        <v>0</v>
      </c>
      <c r="S742" s="167">
        <f t="shared" si="210"/>
        <v>2050106.0299999998</v>
      </c>
      <c r="T742" s="167">
        <f t="shared" si="209"/>
        <v>1140.1195840169062</v>
      </c>
      <c r="U742" s="167">
        <v>6809.4356116008121</v>
      </c>
      <c r="V742" s="149">
        <f t="shared" si="215"/>
        <v>5669.3160275839055</v>
      </c>
      <c r="W742" s="149">
        <f t="shared" si="211"/>
        <v>6809.4356116008121</v>
      </c>
      <c r="X742" s="149">
        <v>0</v>
      </c>
      <c r="Y742" s="368">
        <v>0</v>
      </c>
      <c r="Z742" s="368">
        <v>0</v>
      </c>
      <c r="AA742" s="368">
        <v>0</v>
      </c>
      <c r="AB742" s="368">
        <v>0</v>
      </c>
      <c r="AC742" s="368">
        <v>0</v>
      </c>
      <c r="AD742" s="368">
        <v>0</v>
      </c>
      <c r="AE742" s="368">
        <v>0</v>
      </c>
      <c r="AF742" s="396">
        <v>0</v>
      </c>
      <c r="AG742" s="368">
        <v>0</v>
      </c>
      <c r="AH742" s="396">
        <v>0</v>
      </c>
      <c r="AI742" s="368">
        <v>1645.95</v>
      </c>
      <c r="AJ742" s="397">
        <f t="shared" ref="AJ742:AJ743" si="220">7439.1*AI742/I742</f>
        <v>6809.4356116008121</v>
      </c>
      <c r="AK742" s="368">
        <v>0</v>
      </c>
      <c r="AL742" s="368">
        <v>0</v>
      </c>
      <c r="AM742" s="368">
        <v>0</v>
      </c>
      <c r="AN742" s="368"/>
      <c r="AO742" s="368">
        <v>0</v>
      </c>
    </row>
    <row r="743" spans="1:41" s="152" customFormat="1" ht="36" customHeight="1" x14ac:dyDescent="0.9">
      <c r="A743" s="152">
        <v>1</v>
      </c>
      <c r="B743" s="90">
        <f>SUBTOTAL(103,$A$554:A743)</f>
        <v>188</v>
      </c>
      <c r="C743" s="89" t="s">
        <v>1308</v>
      </c>
      <c r="D743" s="163">
        <v>1958</v>
      </c>
      <c r="E743" s="163"/>
      <c r="F743" s="168" t="s">
        <v>270</v>
      </c>
      <c r="G743" s="163">
        <v>4</v>
      </c>
      <c r="H743" s="163">
        <v>4</v>
      </c>
      <c r="I743" s="167">
        <v>5856.4</v>
      </c>
      <c r="J743" s="167">
        <v>3235.1</v>
      </c>
      <c r="K743" s="167">
        <v>3073.4</v>
      </c>
      <c r="L743" s="165">
        <v>86</v>
      </c>
      <c r="M743" s="163" t="s">
        <v>268</v>
      </c>
      <c r="N743" s="163" t="s">
        <v>272</v>
      </c>
      <c r="O743" s="166" t="s">
        <v>1370</v>
      </c>
      <c r="P743" s="167">
        <v>13280548.279999999</v>
      </c>
      <c r="Q743" s="167">
        <v>0</v>
      </c>
      <c r="R743" s="167">
        <v>0</v>
      </c>
      <c r="S743" s="167">
        <f t="shared" si="210"/>
        <v>13280548.279999999</v>
      </c>
      <c r="T743" s="167">
        <f t="shared" si="209"/>
        <v>2267.6982924663616</v>
      </c>
      <c r="U743" s="167">
        <v>3206.1144047537741</v>
      </c>
      <c r="V743" s="149">
        <f t="shared" si="215"/>
        <v>938.41611228741249</v>
      </c>
      <c r="W743" s="149">
        <f t="shared" si="211"/>
        <v>3206.1144047537741</v>
      </c>
      <c r="X743" s="149">
        <v>0</v>
      </c>
      <c r="Y743" s="368">
        <v>0</v>
      </c>
      <c r="Z743" s="368">
        <v>0</v>
      </c>
      <c r="AA743" s="368">
        <v>0</v>
      </c>
      <c r="AB743" s="368">
        <v>0</v>
      </c>
      <c r="AC743" s="368">
        <v>0</v>
      </c>
      <c r="AD743" s="368">
        <v>0</v>
      </c>
      <c r="AE743" s="368">
        <v>0</v>
      </c>
      <c r="AF743" s="396">
        <v>0</v>
      </c>
      <c r="AG743" s="368">
        <v>0</v>
      </c>
      <c r="AH743" s="396">
        <v>0</v>
      </c>
      <c r="AI743" s="368">
        <v>2524</v>
      </c>
      <c r="AJ743" s="397">
        <f t="shared" si="220"/>
        <v>3206.1144047537741</v>
      </c>
      <c r="AK743" s="368">
        <v>0</v>
      </c>
      <c r="AL743" s="368">
        <v>0</v>
      </c>
      <c r="AM743" s="368">
        <v>0</v>
      </c>
      <c r="AN743" s="368"/>
      <c r="AO743" s="368">
        <v>0</v>
      </c>
    </row>
    <row r="744" spans="1:41" s="152" customFormat="1" ht="36" customHeight="1" x14ac:dyDescent="0.9">
      <c r="A744" s="152">
        <v>1</v>
      </c>
      <c r="B744" s="90">
        <f>SUBTOTAL(103,$A$554:A744)</f>
        <v>189</v>
      </c>
      <c r="C744" s="89" t="s">
        <v>1614</v>
      </c>
      <c r="D744" s="163">
        <v>1986</v>
      </c>
      <c r="E744" s="163"/>
      <c r="F744" s="168" t="s">
        <v>322</v>
      </c>
      <c r="G744" s="163">
        <v>5</v>
      </c>
      <c r="H744" s="163">
        <v>4</v>
      </c>
      <c r="I744" s="167">
        <v>3118.5</v>
      </c>
      <c r="J744" s="167">
        <v>3068.7</v>
      </c>
      <c r="K744" s="167">
        <f>J744</f>
        <v>3068.7</v>
      </c>
      <c r="L744" s="165">
        <v>110</v>
      </c>
      <c r="M744" s="163" t="s">
        <v>268</v>
      </c>
      <c r="N744" s="163" t="s">
        <v>272</v>
      </c>
      <c r="O744" s="166" t="s">
        <v>1370</v>
      </c>
      <c r="P744" s="167">
        <v>7003500</v>
      </c>
      <c r="Q744" s="167">
        <v>0</v>
      </c>
      <c r="R744" s="167">
        <v>0</v>
      </c>
      <c r="S744" s="167">
        <f t="shared" si="210"/>
        <v>7003500</v>
      </c>
      <c r="T744" s="167">
        <f t="shared" si="209"/>
        <v>2245.7912457912457</v>
      </c>
      <c r="U744" s="167">
        <v>9231.9648869648863</v>
      </c>
      <c r="V744" s="149">
        <f t="shared" si="215"/>
        <v>6986.1736411736401</v>
      </c>
      <c r="W744" s="149">
        <f t="shared" si="211"/>
        <v>9231.9648869648863</v>
      </c>
      <c r="X744" s="149">
        <v>0</v>
      </c>
      <c r="Y744" s="368">
        <v>0</v>
      </c>
      <c r="Z744" s="368">
        <v>0</v>
      </c>
      <c r="AA744" s="368">
        <v>0</v>
      </c>
      <c r="AB744" s="368">
        <v>0</v>
      </c>
      <c r="AC744" s="368">
        <v>0</v>
      </c>
      <c r="AD744" s="368">
        <v>0</v>
      </c>
      <c r="AE744" s="368">
        <v>0</v>
      </c>
      <c r="AF744" s="396">
        <v>0</v>
      </c>
      <c r="AG744" s="368">
        <v>0</v>
      </c>
      <c r="AH744" s="396">
        <v>0</v>
      </c>
      <c r="AI744" s="368">
        <v>0</v>
      </c>
      <c r="AJ744" s="396">
        <v>0</v>
      </c>
      <c r="AK744" s="368">
        <v>375</v>
      </c>
      <c r="AL744" s="396">
        <f>76773.02*AK744/I744</f>
        <v>9231.9648869648863</v>
      </c>
      <c r="AM744" s="368">
        <v>0</v>
      </c>
      <c r="AN744" s="368"/>
      <c r="AO744" s="368">
        <v>0</v>
      </c>
    </row>
    <row r="745" spans="1:41" s="152" customFormat="1" ht="36" customHeight="1" x14ac:dyDescent="0.9">
      <c r="A745" s="152">
        <v>1</v>
      </c>
      <c r="B745" s="90">
        <f>SUBTOTAL(103,$A$554:A745)</f>
        <v>190</v>
      </c>
      <c r="C745" s="89" t="s">
        <v>1901</v>
      </c>
      <c r="D745" s="163">
        <v>1974</v>
      </c>
      <c r="E745" s="163"/>
      <c r="F745" s="168" t="s">
        <v>270</v>
      </c>
      <c r="G745" s="163">
        <v>5</v>
      </c>
      <c r="H745" s="163">
        <v>6</v>
      </c>
      <c r="I745" s="167">
        <v>4544.2</v>
      </c>
      <c r="J745" s="167">
        <v>4491.5</v>
      </c>
      <c r="K745" s="167">
        <v>4491.5</v>
      </c>
      <c r="L745" s="165">
        <v>207</v>
      </c>
      <c r="M745" s="163" t="s">
        <v>268</v>
      </c>
      <c r="N745" s="163" t="s">
        <v>272</v>
      </c>
      <c r="O745" s="166" t="s">
        <v>1001</v>
      </c>
      <c r="P745" s="167">
        <v>3380273.29</v>
      </c>
      <c r="Q745" s="167">
        <v>0</v>
      </c>
      <c r="R745" s="167">
        <v>0</v>
      </c>
      <c r="S745" s="167">
        <f t="shared" si="210"/>
        <v>3380273.29</v>
      </c>
      <c r="T745" s="167">
        <f t="shared" si="209"/>
        <v>743.8654306588619</v>
      </c>
      <c r="U745" s="167">
        <v>795.31</v>
      </c>
      <c r="V745" s="149">
        <f t="shared" si="215"/>
        <v>51.444569341138049</v>
      </c>
      <c r="W745" s="149">
        <f t="shared" si="211"/>
        <v>795.31</v>
      </c>
      <c r="X745" s="149">
        <v>0</v>
      </c>
      <c r="Y745" s="368">
        <v>0</v>
      </c>
      <c r="Z745" s="368">
        <v>0</v>
      </c>
      <c r="AA745" s="368">
        <v>0</v>
      </c>
      <c r="AB745" s="368">
        <v>795.31</v>
      </c>
      <c r="AC745" s="368">
        <v>0</v>
      </c>
      <c r="AD745" s="368">
        <v>0</v>
      </c>
      <c r="AE745" s="368">
        <v>0</v>
      </c>
      <c r="AF745" s="396">
        <v>0</v>
      </c>
      <c r="AG745" s="368">
        <v>0</v>
      </c>
      <c r="AH745" s="396">
        <v>0</v>
      </c>
      <c r="AI745" s="368">
        <v>0</v>
      </c>
      <c r="AJ745" s="396">
        <v>0</v>
      </c>
      <c r="AK745" s="368">
        <v>0</v>
      </c>
      <c r="AL745" s="368">
        <v>0</v>
      </c>
      <c r="AM745" s="368">
        <v>0</v>
      </c>
      <c r="AN745" s="368"/>
      <c r="AO745" s="368">
        <v>0</v>
      </c>
    </row>
    <row r="746" spans="1:41" s="152" customFormat="1" ht="36" customHeight="1" x14ac:dyDescent="0.9">
      <c r="A746" s="152">
        <v>1</v>
      </c>
      <c r="B746" s="90">
        <f>SUBTOTAL(103,$A$554:A746)</f>
        <v>191</v>
      </c>
      <c r="C746" s="89" t="s">
        <v>429</v>
      </c>
      <c r="D746" s="163">
        <v>1959</v>
      </c>
      <c r="E746" s="163"/>
      <c r="F746" s="168" t="s">
        <v>270</v>
      </c>
      <c r="G746" s="163">
        <v>3</v>
      </c>
      <c r="H746" s="163">
        <v>4</v>
      </c>
      <c r="I746" s="164">
        <v>2095.6</v>
      </c>
      <c r="J746" s="164">
        <v>1915.7</v>
      </c>
      <c r="K746" s="164">
        <v>1915.7</v>
      </c>
      <c r="L746" s="165">
        <v>69</v>
      </c>
      <c r="M746" s="163" t="s">
        <v>268</v>
      </c>
      <c r="N746" s="163" t="s">
        <v>272</v>
      </c>
      <c r="O746" s="166" t="s">
        <v>329</v>
      </c>
      <c r="P746" s="167">
        <v>150000</v>
      </c>
      <c r="Q746" s="167">
        <v>0</v>
      </c>
      <c r="R746" s="167">
        <v>0</v>
      </c>
      <c r="S746" s="167">
        <f t="shared" si="210"/>
        <v>150000</v>
      </c>
      <c r="T746" s="167">
        <f t="shared" si="209"/>
        <v>71.578545523954958</v>
      </c>
      <c r="U746" s="167">
        <v>71.578545523954958</v>
      </c>
      <c r="V746" s="149">
        <f t="shared" si="215"/>
        <v>0</v>
      </c>
      <c r="W746" s="149">
        <f t="shared" ref="W746:W771" si="221">T746</f>
        <v>71.578545523954958</v>
      </c>
      <c r="X746" s="149">
        <v>0</v>
      </c>
      <c r="Y746" s="368">
        <v>0</v>
      </c>
      <c r="Z746" s="368">
        <v>0</v>
      </c>
      <c r="AA746" s="368">
        <v>0</v>
      </c>
      <c r="AB746" s="368">
        <v>0</v>
      </c>
      <c r="AC746" s="368">
        <v>0</v>
      </c>
      <c r="AD746" s="368">
        <v>0</v>
      </c>
      <c r="AE746" s="368">
        <v>0</v>
      </c>
      <c r="AF746" s="396">
        <v>0</v>
      </c>
      <c r="AG746" s="368">
        <v>0</v>
      </c>
      <c r="AH746" s="396">
        <v>0</v>
      </c>
      <c r="AI746" s="368">
        <v>0</v>
      </c>
      <c r="AJ746" s="396">
        <v>0</v>
      </c>
      <c r="AK746" s="368">
        <v>0</v>
      </c>
      <c r="AL746" s="368">
        <v>0</v>
      </c>
      <c r="AM746" s="368">
        <v>0</v>
      </c>
      <c r="AN746" s="368"/>
      <c r="AO746" s="368">
        <v>0</v>
      </c>
    </row>
    <row r="747" spans="1:41" s="152" customFormat="1" ht="36" customHeight="1" x14ac:dyDescent="0.9">
      <c r="A747" s="152">
        <v>1</v>
      </c>
      <c r="B747" s="90">
        <f>SUBTOTAL(103,$A$554:A747)</f>
        <v>192</v>
      </c>
      <c r="C747" s="89" t="s">
        <v>430</v>
      </c>
      <c r="D747" s="163">
        <v>1989</v>
      </c>
      <c r="E747" s="163"/>
      <c r="F747" s="168" t="s">
        <v>270</v>
      </c>
      <c r="G747" s="163">
        <v>5</v>
      </c>
      <c r="H747" s="163">
        <v>3</v>
      </c>
      <c r="I747" s="164">
        <v>2042.1</v>
      </c>
      <c r="J747" s="164">
        <v>1708.9</v>
      </c>
      <c r="K747" s="164">
        <v>1675.9</v>
      </c>
      <c r="L747" s="165">
        <v>86</v>
      </c>
      <c r="M747" s="163" t="s">
        <v>268</v>
      </c>
      <c r="N747" s="163" t="s">
        <v>272</v>
      </c>
      <c r="O747" s="166" t="s">
        <v>1004</v>
      </c>
      <c r="P747" s="167">
        <v>150000</v>
      </c>
      <c r="Q747" s="167">
        <v>0</v>
      </c>
      <c r="R747" s="167">
        <v>0</v>
      </c>
      <c r="S747" s="167">
        <f t="shared" si="210"/>
        <v>150000</v>
      </c>
      <c r="T747" s="167">
        <f t="shared" si="209"/>
        <v>73.453797561333928</v>
      </c>
      <c r="U747" s="167">
        <v>73.453797561333928</v>
      </c>
      <c r="V747" s="149">
        <f t="shared" si="215"/>
        <v>0</v>
      </c>
      <c r="W747" s="149">
        <f t="shared" si="221"/>
        <v>73.453797561333928</v>
      </c>
      <c r="X747" s="149">
        <v>0</v>
      </c>
      <c r="Y747" s="368">
        <v>0</v>
      </c>
      <c r="Z747" s="368">
        <v>0</v>
      </c>
      <c r="AA747" s="368">
        <v>0</v>
      </c>
      <c r="AB747" s="368">
        <v>0</v>
      </c>
      <c r="AC747" s="368">
        <v>0</v>
      </c>
      <c r="AD747" s="368">
        <v>0</v>
      </c>
      <c r="AE747" s="368">
        <v>0</v>
      </c>
      <c r="AF747" s="396">
        <v>0</v>
      </c>
      <c r="AG747" s="368">
        <v>0</v>
      </c>
      <c r="AH747" s="396">
        <v>0</v>
      </c>
      <c r="AI747" s="368">
        <v>0</v>
      </c>
      <c r="AJ747" s="396">
        <v>0</v>
      </c>
      <c r="AK747" s="368">
        <v>0</v>
      </c>
      <c r="AL747" s="368">
        <v>0</v>
      </c>
      <c r="AM747" s="368">
        <v>0</v>
      </c>
      <c r="AN747" s="368"/>
      <c r="AO747" s="368">
        <v>0</v>
      </c>
    </row>
    <row r="748" spans="1:41" s="152" customFormat="1" ht="36" customHeight="1" x14ac:dyDescent="0.9">
      <c r="A748" s="152">
        <v>1</v>
      </c>
      <c r="B748" s="90">
        <f>SUBTOTAL(103,$A$554:A748)</f>
        <v>193</v>
      </c>
      <c r="C748" s="89" t="s">
        <v>431</v>
      </c>
      <c r="D748" s="163">
        <v>1972</v>
      </c>
      <c r="E748" s="163"/>
      <c r="F748" s="168" t="s">
        <v>270</v>
      </c>
      <c r="G748" s="163">
        <v>5</v>
      </c>
      <c r="H748" s="163">
        <v>4</v>
      </c>
      <c r="I748" s="164">
        <v>3577.12</v>
      </c>
      <c r="J748" s="164">
        <v>3193.8</v>
      </c>
      <c r="K748" s="164">
        <v>2940.98</v>
      </c>
      <c r="L748" s="165">
        <v>152</v>
      </c>
      <c r="M748" s="163" t="s">
        <v>268</v>
      </c>
      <c r="N748" s="163" t="s">
        <v>272</v>
      </c>
      <c r="O748" s="166" t="s">
        <v>332</v>
      </c>
      <c r="P748" s="167">
        <v>180000</v>
      </c>
      <c r="Q748" s="167">
        <v>0</v>
      </c>
      <c r="R748" s="167">
        <v>0</v>
      </c>
      <c r="S748" s="167">
        <f t="shared" si="210"/>
        <v>180000</v>
      </c>
      <c r="T748" s="167">
        <f t="shared" si="209"/>
        <v>50.319810350225879</v>
      </c>
      <c r="U748" s="167">
        <v>50.319810350225879</v>
      </c>
      <c r="V748" s="149">
        <f t="shared" si="215"/>
        <v>0</v>
      </c>
      <c r="W748" s="149">
        <f t="shared" si="221"/>
        <v>50.319810350225879</v>
      </c>
      <c r="X748" s="149">
        <v>0</v>
      </c>
      <c r="Y748" s="368">
        <v>0</v>
      </c>
      <c r="Z748" s="368">
        <v>0</v>
      </c>
      <c r="AA748" s="368">
        <v>0</v>
      </c>
      <c r="AB748" s="368">
        <v>0</v>
      </c>
      <c r="AC748" s="368">
        <v>0</v>
      </c>
      <c r="AD748" s="368">
        <v>0</v>
      </c>
      <c r="AE748" s="368">
        <v>0</v>
      </c>
      <c r="AF748" s="396">
        <v>0</v>
      </c>
      <c r="AG748" s="368">
        <v>0</v>
      </c>
      <c r="AH748" s="396">
        <v>0</v>
      </c>
      <c r="AI748" s="368">
        <v>0</v>
      </c>
      <c r="AJ748" s="396">
        <v>0</v>
      </c>
      <c r="AK748" s="368">
        <v>0</v>
      </c>
      <c r="AL748" s="368">
        <v>0</v>
      </c>
      <c r="AM748" s="368">
        <v>0</v>
      </c>
      <c r="AN748" s="368"/>
      <c r="AO748" s="368">
        <v>0</v>
      </c>
    </row>
    <row r="749" spans="1:41" s="152" customFormat="1" ht="36" customHeight="1" x14ac:dyDescent="0.9">
      <c r="A749" s="152">
        <v>1</v>
      </c>
      <c r="B749" s="90">
        <f>SUBTOTAL(103,$A$554:A749)</f>
        <v>194</v>
      </c>
      <c r="C749" s="89" t="s">
        <v>432</v>
      </c>
      <c r="D749" s="163">
        <v>1955</v>
      </c>
      <c r="E749" s="163"/>
      <c r="F749" s="168" t="s">
        <v>270</v>
      </c>
      <c r="G749" s="163">
        <v>2</v>
      </c>
      <c r="H749" s="163">
        <v>3</v>
      </c>
      <c r="I749" s="164">
        <v>1501.5</v>
      </c>
      <c r="J749" s="164">
        <v>1386.8</v>
      </c>
      <c r="K749" s="164">
        <v>1250.54</v>
      </c>
      <c r="L749" s="165">
        <v>57</v>
      </c>
      <c r="M749" s="163" t="s">
        <v>268</v>
      </c>
      <c r="N749" s="163" t="s">
        <v>272</v>
      </c>
      <c r="O749" s="166" t="s">
        <v>332</v>
      </c>
      <c r="P749" s="167">
        <v>200000</v>
      </c>
      <c r="Q749" s="167">
        <v>0</v>
      </c>
      <c r="R749" s="167">
        <v>0</v>
      </c>
      <c r="S749" s="167">
        <f t="shared" si="210"/>
        <v>200000</v>
      </c>
      <c r="T749" s="167">
        <f t="shared" si="209"/>
        <v>133.20013320013319</v>
      </c>
      <c r="U749" s="167">
        <v>133.20013320013319</v>
      </c>
      <c r="V749" s="149">
        <f t="shared" si="215"/>
        <v>0</v>
      </c>
      <c r="W749" s="149">
        <f t="shared" si="221"/>
        <v>133.20013320013319</v>
      </c>
      <c r="X749" s="149">
        <v>0</v>
      </c>
      <c r="Y749" s="368">
        <v>0</v>
      </c>
      <c r="Z749" s="368">
        <v>0</v>
      </c>
      <c r="AA749" s="368">
        <v>0</v>
      </c>
      <c r="AB749" s="368">
        <v>0</v>
      </c>
      <c r="AC749" s="368">
        <v>0</v>
      </c>
      <c r="AD749" s="368">
        <v>0</v>
      </c>
      <c r="AE749" s="368">
        <v>0</v>
      </c>
      <c r="AF749" s="396">
        <v>0</v>
      </c>
      <c r="AG749" s="368">
        <v>0</v>
      </c>
      <c r="AH749" s="396">
        <v>0</v>
      </c>
      <c r="AI749" s="368">
        <v>0</v>
      </c>
      <c r="AJ749" s="396">
        <v>0</v>
      </c>
      <c r="AK749" s="368">
        <v>0</v>
      </c>
      <c r="AL749" s="368">
        <v>0</v>
      </c>
      <c r="AM749" s="368">
        <v>0</v>
      </c>
      <c r="AN749" s="368"/>
      <c r="AO749" s="368">
        <v>0</v>
      </c>
    </row>
    <row r="750" spans="1:41" s="152" customFormat="1" ht="36" customHeight="1" x14ac:dyDescent="0.9">
      <c r="A750" s="152">
        <v>1</v>
      </c>
      <c r="B750" s="90">
        <f>SUBTOTAL(103,$A$554:A750)</f>
        <v>195</v>
      </c>
      <c r="C750" s="89" t="s">
        <v>433</v>
      </c>
      <c r="D750" s="163">
        <v>1961</v>
      </c>
      <c r="E750" s="163"/>
      <c r="F750" s="168" t="s">
        <v>270</v>
      </c>
      <c r="G750" s="163">
        <v>2</v>
      </c>
      <c r="H750" s="163">
        <v>1</v>
      </c>
      <c r="I750" s="164">
        <v>646.49</v>
      </c>
      <c r="J750" s="164">
        <v>588.49</v>
      </c>
      <c r="K750" s="164">
        <v>588.49</v>
      </c>
      <c r="L750" s="165">
        <v>29</v>
      </c>
      <c r="M750" s="163" t="s">
        <v>268</v>
      </c>
      <c r="N750" s="163" t="s">
        <v>269</v>
      </c>
      <c r="O750" s="166" t="s">
        <v>271</v>
      </c>
      <c r="P750" s="167">
        <v>150000</v>
      </c>
      <c r="Q750" s="167">
        <v>0</v>
      </c>
      <c r="R750" s="167">
        <v>0</v>
      </c>
      <c r="S750" s="167">
        <f t="shared" si="210"/>
        <v>150000</v>
      </c>
      <c r="T750" s="167">
        <f t="shared" si="209"/>
        <v>232.02215038128972</v>
      </c>
      <c r="U750" s="167">
        <v>232.02215038128972</v>
      </c>
      <c r="V750" s="149">
        <f t="shared" si="215"/>
        <v>0</v>
      </c>
      <c r="W750" s="149">
        <f t="shared" si="221"/>
        <v>232.02215038128972</v>
      </c>
      <c r="X750" s="149">
        <v>0</v>
      </c>
      <c r="Y750" s="368">
        <v>0</v>
      </c>
      <c r="Z750" s="368">
        <v>0</v>
      </c>
      <c r="AA750" s="368">
        <v>0</v>
      </c>
      <c r="AB750" s="368">
        <v>0</v>
      </c>
      <c r="AC750" s="368">
        <v>0</v>
      </c>
      <c r="AD750" s="368">
        <v>0</v>
      </c>
      <c r="AE750" s="368">
        <v>0</v>
      </c>
      <c r="AF750" s="396">
        <v>0</v>
      </c>
      <c r="AG750" s="368">
        <v>0</v>
      </c>
      <c r="AH750" s="396">
        <v>0</v>
      </c>
      <c r="AI750" s="368">
        <v>0</v>
      </c>
      <c r="AJ750" s="396">
        <v>0</v>
      </c>
      <c r="AK750" s="368">
        <v>0</v>
      </c>
      <c r="AL750" s="368">
        <v>0</v>
      </c>
      <c r="AM750" s="368">
        <v>0</v>
      </c>
      <c r="AN750" s="368"/>
      <c r="AO750" s="368">
        <v>0</v>
      </c>
    </row>
    <row r="751" spans="1:41" s="152" customFormat="1" ht="36" customHeight="1" x14ac:dyDescent="0.9">
      <c r="A751" s="152">
        <v>1</v>
      </c>
      <c r="B751" s="90">
        <f>SUBTOTAL(103,$A$554:A751)</f>
        <v>196</v>
      </c>
      <c r="C751" s="89" t="s">
        <v>434</v>
      </c>
      <c r="D751" s="163">
        <v>1969</v>
      </c>
      <c r="E751" s="163"/>
      <c r="F751" s="168" t="s">
        <v>270</v>
      </c>
      <c r="G751" s="163">
        <v>5</v>
      </c>
      <c r="H751" s="163">
        <v>6</v>
      </c>
      <c r="I751" s="164">
        <v>4890.1099999999997</v>
      </c>
      <c r="J751" s="164">
        <v>4432.68</v>
      </c>
      <c r="K751" s="164">
        <v>4177.2300000000005</v>
      </c>
      <c r="L751" s="165">
        <v>212</v>
      </c>
      <c r="M751" s="163" t="s">
        <v>268</v>
      </c>
      <c r="N751" s="163" t="s">
        <v>272</v>
      </c>
      <c r="O751" s="166" t="s">
        <v>325</v>
      </c>
      <c r="P751" s="167">
        <v>180000</v>
      </c>
      <c r="Q751" s="167">
        <v>0</v>
      </c>
      <c r="R751" s="167">
        <v>0</v>
      </c>
      <c r="S751" s="167">
        <f t="shared" si="210"/>
        <v>180000</v>
      </c>
      <c r="T751" s="167">
        <f t="shared" si="209"/>
        <v>36.808987936876676</v>
      </c>
      <c r="U751" s="167">
        <v>36.808987936876676</v>
      </c>
      <c r="V751" s="149">
        <f t="shared" si="215"/>
        <v>0</v>
      </c>
      <c r="W751" s="149">
        <f t="shared" si="221"/>
        <v>36.808987936876676</v>
      </c>
      <c r="X751" s="149">
        <v>0</v>
      </c>
      <c r="Y751" s="368">
        <v>0</v>
      </c>
      <c r="Z751" s="368">
        <v>0</v>
      </c>
      <c r="AA751" s="368">
        <v>0</v>
      </c>
      <c r="AB751" s="368">
        <v>0</v>
      </c>
      <c r="AC751" s="368">
        <v>0</v>
      </c>
      <c r="AD751" s="368">
        <v>0</v>
      </c>
      <c r="AE751" s="368">
        <v>0</v>
      </c>
      <c r="AF751" s="396">
        <v>0</v>
      </c>
      <c r="AG751" s="368">
        <v>0</v>
      </c>
      <c r="AH751" s="396">
        <v>0</v>
      </c>
      <c r="AI751" s="368">
        <v>0</v>
      </c>
      <c r="AJ751" s="396">
        <v>0</v>
      </c>
      <c r="AK751" s="368">
        <v>0</v>
      </c>
      <c r="AL751" s="368">
        <v>0</v>
      </c>
      <c r="AM751" s="368">
        <v>0</v>
      </c>
      <c r="AN751" s="368"/>
      <c r="AO751" s="368">
        <v>0</v>
      </c>
    </row>
    <row r="752" spans="1:41" s="152" customFormat="1" ht="36" customHeight="1" x14ac:dyDescent="0.9">
      <c r="A752" s="152">
        <v>1</v>
      </c>
      <c r="B752" s="90">
        <f>SUBTOTAL(103,$A$554:A752)</f>
        <v>197</v>
      </c>
      <c r="C752" s="89" t="s">
        <v>435</v>
      </c>
      <c r="D752" s="163">
        <v>1961</v>
      </c>
      <c r="E752" s="163"/>
      <c r="F752" s="168" t="s">
        <v>270</v>
      </c>
      <c r="G752" s="163">
        <v>2</v>
      </c>
      <c r="H752" s="163">
        <v>2</v>
      </c>
      <c r="I752" s="164">
        <v>824.68999999999994</v>
      </c>
      <c r="J752" s="164">
        <v>778.39</v>
      </c>
      <c r="K752" s="164">
        <v>728.73</v>
      </c>
      <c r="L752" s="165">
        <v>49</v>
      </c>
      <c r="M752" s="163" t="s">
        <v>268</v>
      </c>
      <c r="N752" s="163" t="s">
        <v>272</v>
      </c>
      <c r="O752" s="166" t="s">
        <v>329</v>
      </c>
      <c r="P752" s="167">
        <v>150000</v>
      </c>
      <c r="Q752" s="167">
        <v>0</v>
      </c>
      <c r="R752" s="167">
        <v>0</v>
      </c>
      <c r="S752" s="167">
        <f t="shared" si="210"/>
        <v>150000</v>
      </c>
      <c r="T752" s="167">
        <f t="shared" si="209"/>
        <v>181.88652705865235</v>
      </c>
      <c r="U752" s="167">
        <v>181.88652705865235</v>
      </c>
      <c r="V752" s="149">
        <f t="shared" si="215"/>
        <v>0</v>
      </c>
      <c r="W752" s="149">
        <f t="shared" si="221"/>
        <v>181.88652705865235</v>
      </c>
      <c r="X752" s="149">
        <v>0</v>
      </c>
      <c r="Y752" s="368">
        <v>0</v>
      </c>
      <c r="Z752" s="368">
        <v>0</v>
      </c>
      <c r="AA752" s="368">
        <v>0</v>
      </c>
      <c r="AB752" s="368">
        <v>0</v>
      </c>
      <c r="AC752" s="368">
        <v>0</v>
      </c>
      <c r="AD752" s="368">
        <v>0</v>
      </c>
      <c r="AE752" s="368">
        <v>0</v>
      </c>
      <c r="AF752" s="396">
        <v>0</v>
      </c>
      <c r="AG752" s="368">
        <v>0</v>
      </c>
      <c r="AH752" s="396">
        <v>0</v>
      </c>
      <c r="AI752" s="368">
        <v>0</v>
      </c>
      <c r="AJ752" s="396">
        <v>0</v>
      </c>
      <c r="AK752" s="368">
        <v>0</v>
      </c>
      <c r="AL752" s="368">
        <v>0</v>
      </c>
      <c r="AM752" s="368">
        <v>0</v>
      </c>
      <c r="AN752" s="368"/>
      <c r="AO752" s="368">
        <v>0</v>
      </c>
    </row>
    <row r="753" spans="1:41" s="152" customFormat="1" ht="36" customHeight="1" x14ac:dyDescent="0.9">
      <c r="A753" s="152">
        <v>1</v>
      </c>
      <c r="B753" s="90">
        <f>SUBTOTAL(103,$A$554:A753)</f>
        <v>198</v>
      </c>
      <c r="C753" s="89" t="s">
        <v>1725</v>
      </c>
      <c r="D753" s="163">
        <v>1980</v>
      </c>
      <c r="E753" s="163"/>
      <c r="F753" s="168" t="s">
        <v>270</v>
      </c>
      <c r="G753" s="163">
        <v>5</v>
      </c>
      <c r="H753" s="163">
        <v>2</v>
      </c>
      <c r="I753" s="164">
        <v>1589.4</v>
      </c>
      <c r="J753" s="164">
        <v>1176.4000000000001</v>
      </c>
      <c r="K753" s="164">
        <v>1117.8000000000002</v>
      </c>
      <c r="L753" s="165">
        <v>65</v>
      </c>
      <c r="M753" s="163" t="s">
        <v>268</v>
      </c>
      <c r="N753" s="163" t="s">
        <v>272</v>
      </c>
      <c r="O753" s="166" t="s">
        <v>329</v>
      </c>
      <c r="P753" s="167">
        <v>120000</v>
      </c>
      <c r="Q753" s="167">
        <v>0</v>
      </c>
      <c r="R753" s="167">
        <v>0</v>
      </c>
      <c r="S753" s="167">
        <f t="shared" si="210"/>
        <v>120000</v>
      </c>
      <c r="T753" s="167">
        <f t="shared" si="209"/>
        <v>75.500188750471878</v>
      </c>
      <c r="U753" s="167">
        <v>75.500188750471878</v>
      </c>
      <c r="V753" s="149">
        <f t="shared" si="215"/>
        <v>0</v>
      </c>
      <c r="W753" s="149">
        <f t="shared" si="221"/>
        <v>75.500188750471878</v>
      </c>
      <c r="X753" s="149">
        <v>0</v>
      </c>
      <c r="Y753" s="368">
        <v>0</v>
      </c>
      <c r="Z753" s="368">
        <v>0</v>
      </c>
      <c r="AA753" s="368">
        <v>0</v>
      </c>
      <c r="AB753" s="368">
        <v>0</v>
      </c>
      <c r="AC753" s="368">
        <v>0</v>
      </c>
      <c r="AD753" s="368">
        <v>0</v>
      </c>
      <c r="AE753" s="368">
        <v>0</v>
      </c>
      <c r="AF753" s="396">
        <v>0</v>
      </c>
      <c r="AG753" s="368">
        <v>0</v>
      </c>
      <c r="AH753" s="396">
        <v>0</v>
      </c>
      <c r="AI753" s="368">
        <v>0</v>
      </c>
      <c r="AJ753" s="396">
        <v>0</v>
      </c>
      <c r="AK753" s="368">
        <v>0</v>
      </c>
      <c r="AL753" s="368">
        <v>0</v>
      </c>
      <c r="AM753" s="368">
        <v>0</v>
      </c>
      <c r="AN753" s="368"/>
      <c r="AO753" s="368">
        <v>0</v>
      </c>
    </row>
    <row r="754" spans="1:41" s="152" customFormat="1" ht="36" customHeight="1" x14ac:dyDescent="0.9">
      <c r="A754" s="152">
        <v>1</v>
      </c>
      <c r="B754" s="90">
        <f>SUBTOTAL(103,$A$554:A754)</f>
        <v>199</v>
      </c>
      <c r="C754" s="89" t="s">
        <v>206</v>
      </c>
      <c r="D754" s="163">
        <v>1983</v>
      </c>
      <c r="E754" s="163"/>
      <c r="F754" s="168" t="s">
        <v>270</v>
      </c>
      <c r="G754" s="163">
        <v>5</v>
      </c>
      <c r="H754" s="163">
        <v>4</v>
      </c>
      <c r="I754" s="164">
        <v>3097.1</v>
      </c>
      <c r="J754" s="164">
        <v>2810.6</v>
      </c>
      <c r="K754" s="164">
        <v>2810.6</v>
      </c>
      <c r="L754" s="165">
        <v>127</v>
      </c>
      <c r="M754" s="163" t="s">
        <v>268</v>
      </c>
      <c r="N754" s="163" t="s">
        <v>272</v>
      </c>
      <c r="O754" s="166" t="s">
        <v>1004</v>
      </c>
      <c r="P754" s="167">
        <v>150000</v>
      </c>
      <c r="Q754" s="167">
        <v>0</v>
      </c>
      <c r="R754" s="167">
        <v>0</v>
      </c>
      <c r="S754" s="167">
        <f t="shared" si="210"/>
        <v>150000</v>
      </c>
      <c r="T754" s="167">
        <f t="shared" si="209"/>
        <v>48.432404507442449</v>
      </c>
      <c r="U754" s="167">
        <v>48.432404507442449</v>
      </c>
      <c r="V754" s="149">
        <f t="shared" si="215"/>
        <v>0</v>
      </c>
      <c r="W754" s="149">
        <f t="shared" si="221"/>
        <v>48.432404507442449</v>
      </c>
      <c r="X754" s="149">
        <v>0</v>
      </c>
      <c r="Y754" s="368">
        <v>0</v>
      </c>
      <c r="Z754" s="368">
        <v>0</v>
      </c>
      <c r="AA754" s="368">
        <v>0</v>
      </c>
      <c r="AB754" s="368">
        <v>0</v>
      </c>
      <c r="AC754" s="368">
        <v>0</v>
      </c>
      <c r="AD754" s="368">
        <v>0</v>
      </c>
      <c r="AE754" s="368">
        <v>0</v>
      </c>
      <c r="AF754" s="396">
        <v>0</v>
      </c>
      <c r="AG754" s="368">
        <v>0</v>
      </c>
      <c r="AH754" s="396">
        <v>0</v>
      </c>
      <c r="AI754" s="368">
        <v>0</v>
      </c>
      <c r="AJ754" s="396">
        <v>0</v>
      </c>
      <c r="AK754" s="368">
        <v>0</v>
      </c>
      <c r="AL754" s="368">
        <v>0</v>
      </c>
      <c r="AM754" s="368">
        <v>0</v>
      </c>
      <c r="AN754" s="368"/>
      <c r="AO754" s="368">
        <v>0</v>
      </c>
    </row>
    <row r="755" spans="1:41" s="152" customFormat="1" ht="36" customHeight="1" x14ac:dyDescent="0.9">
      <c r="A755" s="152">
        <v>1</v>
      </c>
      <c r="B755" s="90">
        <f>SUBTOTAL(103,$A$554:A755)</f>
        <v>200</v>
      </c>
      <c r="C755" s="89" t="s">
        <v>207</v>
      </c>
      <c r="D755" s="163">
        <v>1963</v>
      </c>
      <c r="E755" s="163"/>
      <c r="F755" s="168" t="s">
        <v>270</v>
      </c>
      <c r="G755" s="163">
        <v>2</v>
      </c>
      <c r="H755" s="163">
        <v>2</v>
      </c>
      <c r="I755" s="164">
        <v>490.8</v>
      </c>
      <c r="J755" s="164">
        <v>442.2</v>
      </c>
      <c r="K755" s="164">
        <v>442.2</v>
      </c>
      <c r="L755" s="165">
        <v>19</v>
      </c>
      <c r="M755" s="163" t="s">
        <v>268</v>
      </c>
      <c r="N755" s="163" t="s">
        <v>272</v>
      </c>
      <c r="O755" s="166" t="s">
        <v>330</v>
      </c>
      <c r="P755" s="167">
        <v>70000</v>
      </c>
      <c r="Q755" s="167">
        <v>0</v>
      </c>
      <c r="R755" s="167">
        <v>0</v>
      </c>
      <c r="S755" s="167">
        <f t="shared" si="210"/>
        <v>70000</v>
      </c>
      <c r="T755" s="167">
        <f t="shared" si="209"/>
        <v>142.62428687856561</v>
      </c>
      <c r="U755" s="167">
        <v>142.62428687856561</v>
      </c>
      <c r="V755" s="149">
        <f t="shared" si="215"/>
        <v>0</v>
      </c>
      <c r="W755" s="149">
        <f t="shared" si="221"/>
        <v>142.62428687856561</v>
      </c>
      <c r="X755" s="149">
        <v>0</v>
      </c>
      <c r="Y755" s="368">
        <v>0</v>
      </c>
      <c r="Z755" s="368">
        <v>0</v>
      </c>
      <c r="AA755" s="368">
        <v>0</v>
      </c>
      <c r="AB755" s="368">
        <v>0</v>
      </c>
      <c r="AC755" s="368">
        <v>0</v>
      </c>
      <c r="AD755" s="368">
        <v>0</v>
      </c>
      <c r="AE755" s="368">
        <v>0</v>
      </c>
      <c r="AF755" s="396">
        <v>0</v>
      </c>
      <c r="AG755" s="368">
        <v>0</v>
      </c>
      <c r="AH755" s="396">
        <v>0</v>
      </c>
      <c r="AI755" s="368">
        <v>0</v>
      </c>
      <c r="AJ755" s="396">
        <v>0</v>
      </c>
      <c r="AK755" s="368">
        <v>0</v>
      </c>
      <c r="AL755" s="368">
        <v>0</v>
      </c>
      <c r="AM755" s="368">
        <v>0</v>
      </c>
      <c r="AN755" s="368"/>
      <c r="AO755" s="368">
        <v>0</v>
      </c>
    </row>
    <row r="756" spans="1:41" s="152" customFormat="1" ht="36" customHeight="1" x14ac:dyDescent="0.9">
      <c r="A756" s="152">
        <v>1</v>
      </c>
      <c r="B756" s="90">
        <f>SUBTOTAL(103,$A$554:A756)</f>
        <v>201</v>
      </c>
      <c r="C756" s="89" t="s">
        <v>208</v>
      </c>
      <c r="D756" s="163">
        <v>1969</v>
      </c>
      <c r="E756" s="163"/>
      <c r="F756" s="168" t="s">
        <v>270</v>
      </c>
      <c r="G756" s="163">
        <v>2</v>
      </c>
      <c r="H756" s="163">
        <v>2</v>
      </c>
      <c r="I756" s="164">
        <v>640.40000000000009</v>
      </c>
      <c r="J756" s="164">
        <v>589.20000000000005</v>
      </c>
      <c r="K756" s="164">
        <v>537.5</v>
      </c>
      <c r="L756" s="165">
        <v>31</v>
      </c>
      <c r="M756" s="163" t="s">
        <v>268</v>
      </c>
      <c r="N756" s="163" t="s">
        <v>272</v>
      </c>
      <c r="O756" s="166" t="s">
        <v>330</v>
      </c>
      <c r="P756" s="167">
        <v>70000</v>
      </c>
      <c r="Q756" s="167">
        <v>0</v>
      </c>
      <c r="R756" s="167">
        <v>0</v>
      </c>
      <c r="S756" s="167">
        <f t="shared" si="210"/>
        <v>70000</v>
      </c>
      <c r="T756" s="167">
        <f t="shared" si="209"/>
        <v>109.30668332292316</v>
      </c>
      <c r="U756" s="167">
        <v>109.30668332292316</v>
      </c>
      <c r="V756" s="149">
        <f t="shared" si="215"/>
        <v>0</v>
      </c>
      <c r="W756" s="149">
        <f t="shared" si="221"/>
        <v>109.30668332292316</v>
      </c>
      <c r="X756" s="149">
        <v>0</v>
      </c>
      <c r="Y756" s="368">
        <v>0</v>
      </c>
      <c r="Z756" s="368">
        <v>0</v>
      </c>
      <c r="AA756" s="368">
        <v>0</v>
      </c>
      <c r="AB756" s="368">
        <v>0</v>
      </c>
      <c r="AC756" s="368">
        <v>0</v>
      </c>
      <c r="AD756" s="368">
        <v>0</v>
      </c>
      <c r="AE756" s="368">
        <v>0</v>
      </c>
      <c r="AF756" s="396">
        <v>0</v>
      </c>
      <c r="AG756" s="368">
        <v>0</v>
      </c>
      <c r="AH756" s="396">
        <v>0</v>
      </c>
      <c r="AI756" s="368">
        <v>0</v>
      </c>
      <c r="AJ756" s="396">
        <v>0</v>
      </c>
      <c r="AK756" s="368">
        <v>0</v>
      </c>
      <c r="AL756" s="368">
        <v>0</v>
      </c>
      <c r="AM756" s="368">
        <v>0</v>
      </c>
      <c r="AN756" s="368"/>
      <c r="AO756" s="368">
        <v>0</v>
      </c>
    </row>
    <row r="757" spans="1:41" s="152" customFormat="1" ht="36" customHeight="1" x14ac:dyDescent="0.9">
      <c r="A757" s="152">
        <v>1</v>
      </c>
      <c r="B757" s="90">
        <f>SUBTOTAL(103,$A$554:A757)</f>
        <v>202</v>
      </c>
      <c r="C757" s="89" t="s">
        <v>209</v>
      </c>
      <c r="D757" s="163">
        <v>1966</v>
      </c>
      <c r="E757" s="163"/>
      <c r="F757" s="168" t="s">
        <v>270</v>
      </c>
      <c r="G757" s="163">
        <v>2</v>
      </c>
      <c r="H757" s="163">
        <v>2</v>
      </c>
      <c r="I757" s="164">
        <v>781.6</v>
      </c>
      <c r="J757" s="164">
        <v>719.9</v>
      </c>
      <c r="K757" s="164">
        <v>670.3</v>
      </c>
      <c r="L757" s="165">
        <v>25</v>
      </c>
      <c r="M757" s="163" t="s">
        <v>268</v>
      </c>
      <c r="N757" s="163" t="s">
        <v>272</v>
      </c>
      <c r="O757" s="166" t="s">
        <v>330</v>
      </c>
      <c r="P757" s="167">
        <v>70000</v>
      </c>
      <c r="Q757" s="167">
        <v>0</v>
      </c>
      <c r="R757" s="167">
        <v>0</v>
      </c>
      <c r="S757" s="167">
        <f t="shared" si="210"/>
        <v>70000</v>
      </c>
      <c r="T757" s="167">
        <f t="shared" si="209"/>
        <v>89.559877175025591</v>
      </c>
      <c r="U757" s="167">
        <v>89.559877175025591</v>
      </c>
      <c r="V757" s="149">
        <f t="shared" si="215"/>
        <v>0</v>
      </c>
      <c r="W757" s="149">
        <f t="shared" si="221"/>
        <v>89.559877175025591</v>
      </c>
      <c r="X757" s="149">
        <v>0</v>
      </c>
      <c r="Y757" s="368">
        <v>0</v>
      </c>
      <c r="Z757" s="368">
        <v>0</v>
      </c>
      <c r="AA757" s="368">
        <v>0</v>
      </c>
      <c r="AB757" s="368">
        <v>0</v>
      </c>
      <c r="AC757" s="368">
        <v>0</v>
      </c>
      <c r="AD757" s="368">
        <v>0</v>
      </c>
      <c r="AE757" s="368">
        <v>0</v>
      </c>
      <c r="AF757" s="396">
        <v>0</v>
      </c>
      <c r="AG757" s="368">
        <v>0</v>
      </c>
      <c r="AH757" s="396">
        <v>0</v>
      </c>
      <c r="AI757" s="368">
        <v>0</v>
      </c>
      <c r="AJ757" s="396">
        <v>0</v>
      </c>
      <c r="AK757" s="368">
        <v>0</v>
      </c>
      <c r="AL757" s="368">
        <v>0</v>
      </c>
      <c r="AM757" s="368">
        <v>0</v>
      </c>
      <c r="AN757" s="368"/>
      <c r="AO757" s="368">
        <v>0</v>
      </c>
    </row>
    <row r="758" spans="1:41" s="152" customFormat="1" ht="36" customHeight="1" x14ac:dyDescent="0.9">
      <c r="A758" s="152">
        <v>1</v>
      </c>
      <c r="B758" s="90">
        <f>SUBTOTAL(103,$A$554:A758)</f>
        <v>203</v>
      </c>
      <c r="C758" s="89" t="s">
        <v>436</v>
      </c>
      <c r="D758" s="163">
        <v>1963</v>
      </c>
      <c r="E758" s="163"/>
      <c r="F758" s="168" t="s">
        <v>270</v>
      </c>
      <c r="G758" s="163">
        <v>4</v>
      </c>
      <c r="H758" s="163">
        <v>3</v>
      </c>
      <c r="I758" s="164">
        <v>2141.94</v>
      </c>
      <c r="J758" s="164">
        <v>1753.08</v>
      </c>
      <c r="K758" s="164">
        <v>1544.6799999999998</v>
      </c>
      <c r="L758" s="165">
        <v>61</v>
      </c>
      <c r="M758" s="163" t="s">
        <v>268</v>
      </c>
      <c r="N758" s="163" t="s">
        <v>272</v>
      </c>
      <c r="O758" s="166" t="s">
        <v>1004</v>
      </c>
      <c r="P758" s="167">
        <v>180000</v>
      </c>
      <c r="Q758" s="167">
        <v>0</v>
      </c>
      <c r="R758" s="167">
        <v>0</v>
      </c>
      <c r="S758" s="167">
        <f t="shared" si="210"/>
        <v>180000</v>
      </c>
      <c r="T758" s="167">
        <f t="shared" si="209"/>
        <v>84.035967394044647</v>
      </c>
      <c r="U758" s="167">
        <v>84.035967394044647</v>
      </c>
      <c r="V758" s="149">
        <f t="shared" si="215"/>
        <v>0</v>
      </c>
      <c r="W758" s="149">
        <f t="shared" si="221"/>
        <v>84.035967394044647</v>
      </c>
      <c r="X758" s="149">
        <v>0</v>
      </c>
      <c r="Y758" s="368">
        <v>0</v>
      </c>
      <c r="Z758" s="368">
        <v>0</v>
      </c>
      <c r="AA758" s="368">
        <v>0</v>
      </c>
      <c r="AB758" s="368">
        <v>0</v>
      </c>
      <c r="AC758" s="368">
        <v>0</v>
      </c>
      <c r="AD758" s="368">
        <v>0</v>
      </c>
      <c r="AE758" s="368">
        <v>0</v>
      </c>
      <c r="AF758" s="396">
        <v>0</v>
      </c>
      <c r="AG758" s="368">
        <v>0</v>
      </c>
      <c r="AH758" s="396">
        <v>0</v>
      </c>
      <c r="AI758" s="368">
        <v>0</v>
      </c>
      <c r="AJ758" s="396">
        <v>0</v>
      </c>
      <c r="AK758" s="368">
        <v>0</v>
      </c>
      <c r="AL758" s="368">
        <v>0</v>
      </c>
      <c r="AM758" s="368">
        <v>0</v>
      </c>
      <c r="AN758" s="368"/>
      <c r="AO758" s="368">
        <v>0</v>
      </c>
    </row>
    <row r="759" spans="1:41" s="152" customFormat="1" ht="36" customHeight="1" x14ac:dyDescent="0.9">
      <c r="A759" s="152">
        <v>1</v>
      </c>
      <c r="B759" s="90">
        <f>SUBTOTAL(103,$A$554:A759)</f>
        <v>204</v>
      </c>
      <c r="C759" s="89" t="s">
        <v>437</v>
      </c>
      <c r="D759" s="163">
        <v>1974</v>
      </c>
      <c r="E759" s="163"/>
      <c r="F759" s="168" t="s">
        <v>270</v>
      </c>
      <c r="G759" s="163">
        <v>9</v>
      </c>
      <c r="H759" s="163">
        <v>2</v>
      </c>
      <c r="I759" s="164">
        <v>5409.4</v>
      </c>
      <c r="J759" s="164">
        <v>4377.3999999999996</v>
      </c>
      <c r="K759" s="164">
        <v>4227.7</v>
      </c>
      <c r="L759" s="165">
        <v>190</v>
      </c>
      <c r="M759" s="163" t="s">
        <v>268</v>
      </c>
      <c r="N759" s="163" t="s">
        <v>272</v>
      </c>
      <c r="O759" s="166" t="s">
        <v>1004</v>
      </c>
      <c r="P759" s="167">
        <v>100000</v>
      </c>
      <c r="Q759" s="167">
        <v>0</v>
      </c>
      <c r="R759" s="167">
        <v>0</v>
      </c>
      <c r="S759" s="167">
        <f t="shared" si="210"/>
        <v>100000</v>
      </c>
      <c r="T759" s="167">
        <f t="shared" si="209"/>
        <v>18.48633859577772</v>
      </c>
      <c r="U759" s="167">
        <v>18.48633859577772</v>
      </c>
      <c r="V759" s="149">
        <f t="shared" si="215"/>
        <v>0</v>
      </c>
      <c r="W759" s="149">
        <f t="shared" si="221"/>
        <v>18.48633859577772</v>
      </c>
      <c r="X759" s="149">
        <v>0</v>
      </c>
      <c r="Y759" s="368">
        <v>0</v>
      </c>
      <c r="Z759" s="368">
        <v>0</v>
      </c>
      <c r="AA759" s="368">
        <v>0</v>
      </c>
      <c r="AB759" s="368">
        <v>0</v>
      </c>
      <c r="AC759" s="368">
        <v>0</v>
      </c>
      <c r="AD759" s="368">
        <v>0</v>
      </c>
      <c r="AE759" s="368">
        <v>0</v>
      </c>
      <c r="AF759" s="396">
        <v>0</v>
      </c>
      <c r="AG759" s="368">
        <v>0</v>
      </c>
      <c r="AH759" s="396">
        <v>0</v>
      </c>
      <c r="AI759" s="368">
        <v>0</v>
      </c>
      <c r="AJ759" s="396">
        <v>0</v>
      </c>
      <c r="AK759" s="368">
        <v>0</v>
      </c>
      <c r="AL759" s="368">
        <v>0</v>
      </c>
      <c r="AM759" s="368">
        <v>0</v>
      </c>
      <c r="AN759" s="368"/>
      <c r="AO759" s="368">
        <v>0</v>
      </c>
    </row>
    <row r="760" spans="1:41" s="152" customFormat="1" ht="36" customHeight="1" x14ac:dyDescent="0.9">
      <c r="A760" s="152">
        <v>1</v>
      </c>
      <c r="B760" s="90">
        <f>SUBTOTAL(103,$A$554:A760)</f>
        <v>205</v>
      </c>
      <c r="C760" s="89" t="s">
        <v>438</v>
      </c>
      <c r="D760" s="163">
        <v>1958</v>
      </c>
      <c r="E760" s="163"/>
      <c r="F760" s="168" t="s">
        <v>270</v>
      </c>
      <c r="G760" s="163">
        <v>2</v>
      </c>
      <c r="H760" s="163">
        <v>2</v>
      </c>
      <c r="I760" s="164">
        <v>717.8</v>
      </c>
      <c r="J760" s="164">
        <v>649.4</v>
      </c>
      <c r="K760" s="164">
        <v>507.29999999999995</v>
      </c>
      <c r="L760" s="165">
        <v>47</v>
      </c>
      <c r="M760" s="163" t="s">
        <v>268</v>
      </c>
      <c r="N760" s="163" t="s">
        <v>272</v>
      </c>
      <c r="O760" s="166" t="s">
        <v>329</v>
      </c>
      <c r="P760" s="167">
        <v>150000</v>
      </c>
      <c r="Q760" s="167">
        <v>0</v>
      </c>
      <c r="R760" s="167">
        <v>0</v>
      </c>
      <c r="S760" s="167">
        <f t="shared" si="210"/>
        <v>150000</v>
      </c>
      <c r="T760" s="167">
        <f t="shared" si="209"/>
        <v>208.97185845639456</v>
      </c>
      <c r="U760" s="167">
        <v>208.97185845639456</v>
      </c>
      <c r="V760" s="149">
        <f t="shared" si="215"/>
        <v>0</v>
      </c>
      <c r="W760" s="149">
        <f t="shared" si="221"/>
        <v>208.97185845639456</v>
      </c>
      <c r="X760" s="149">
        <v>0</v>
      </c>
      <c r="Y760" s="368">
        <v>0</v>
      </c>
      <c r="Z760" s="368">
        <v>0</v>
      </c>
      <c r="AA760" s="368">
        <v>0</v>
      </c>
      <c r="AB760" s="368">
        <v>0</v>
      </c>
      <c r="AC760" s="368">
        <v>0</v>
      </c>
      <c r="AD760" s="368">
        <v>0</v>
      </c>
      <c r="AE760" s="368">
        <v>0</v>
      </c>
      <c r="AF760" s="396">
        <v>0</v>
      </c>
      <c r="AG760" s="368">
        <v>0</v>
      </c>
      <c r="AH760" s="396">
        <v>0</v>
      </c>
      <c r="AI760" s="368">
        <v>0</v>
      </c>
      <c r="AJ760" s="396">
        <v>0</v>
      </c>
      <c r="AK760" s="368">
        <v>0</v>
      </c>
      <c r="AL760" s="368">
        <v>0</v>
      </c>
      <c r="AM760" s="368">
        <v>0</v>
      </c>
      <c r="AN760" s="368"/>
      <c r="AO760" s="368">
        <v>0</v>
      </c>
    </row>
    <row r="761" spans="1:41" s="152" customFormat="1" ht="36" customHeight="1" x14ac:dyDescent="0.9">
      <c r="A761" s="152">
        <v>1</v>
      </c>
      <c r="B761" s="90">
        <f>SUBTOTAL(103,$A$554:A761)</f>
        <v>206</v>
      </c>
      <c r="C761" s="89" t="s">
        <v>439</v>
      </c>
      <c r="D761" s="163">
        <v>1956</v>
      </c>
      <c r="E761" s="163"/>
      <c r="F761" s="168" t="s">
        <v>328</v>
      </c>
      <c r="G761" s="163">
        <v>2</v>
      </c>
      <c r="H761" s="163">
        <v>3</v>
      </c>
      <c r="I761" s="164">
        <v>1239.2</v>
      </c>
      <c r="J761" s="164">
        <v>932.1</v>
      </c>
      <c r="K761" s="164">
        <v>643.79999999999995</v>
      </c>
      <c r="L761" s="165">
        <v>44</v>
      </c>
      <c r="M761" s="163" t="s">
        <v>268</v>
      </c>
      <c r="N761" s="163" t="s">
        <v>272</v>
      </c>
      <c r="O761" s="166" t="s">
        <v>325</v>
      </c>
      <c r="P761" s="167">
        <v>150000</v>
      </c>
      <c r="Q761" s="167">
        <v>0</v>
      </c>
      <c r="R761" s="167">
        <v>0</v>
      </c>
      <c r="S761" s="167">
        <f t="shared" si="210"/>
        <v>150000</v>
      </c>
      <c r="T761" s="167">
        <f t="shared" si="209"/>
        <v>121.0458360232408</v>
      </c>
      <c r="U761" s="167">
        <v>121.0458360232408</v>
      </c>
      <c r="V761" s="149">
        <f t="shared" si="215"/>
        <v>0</v>
      </c>
      <c r="W761" s="149">
        <f t="shared" si="221"/>
        <v>121.0458360232408</v>
      </c>
      <c r="X761" s="149">
        <v>0</v>
      </c>
      <c r="Y761" s="368">
        <v>0</v>
      </c>
      <c r="Z761" s="368">
        <v>0</v>
      </c>
      <c r="AA761" s="368">
        <v>0</v>
      </c>
      <c r="AB761" s="368">
        <v>0</v>
      </c>
      <c r="AC761" s="368">
        <v>0</v>
      </c>
      <c r="AD761" s="368">
        <v>0</v>
      </c>
      <c r="AE761" s="368">
        <v>0</v>
      </c>
      <c r="AF761" s="396">
        <v>0</v>
      </c>
      <c r="AG761" s="368">
        <v>0</v>
      </c>
      <c r="AH761" s="396">
        <v>0</v>
      </c>
      <c r="AI761" s="368">
        <v>0</v>
      </c>
      <c r="AJ761" s="396">
        <v>0</v>
      </c>
      <c r="AK761" s="368">
        <v>0</v>
      </c>
      <c r="AL761" s="368">
        <v>0</v>
      </c>
      <c r="AM761" s="368">
        <v>0</v>
      </c>
      <c r="AN761" s="368"/>
      <c r="AO761" s="368">
        <v>0</v>
      </c>
    </row>
    <row r="762" spans="1:41" s="152" customFormat="1" ht="36" customHeight="1" x14ac:dyDescent="0.9">
      <c r="A762" s="152">
        <v>1</v>
      </c>
      <c r="B762" s="90">
        <f>SUBTOTAL(103,$A$554:A762)</f>
        <v>207</v>
      </c>
      <c r="C762" s="89" t="s">
        <v>440</v>
      </c>
      <c r="D762" s="163">
        <v>1968</v>
      </c>
      <c r="E762" s="163"/>
      <c r="F762" s="168" t="s">
        <v>270</v>
      </c>
      <c r="G762" s="163">
        <v>3</v>
      </c>
      <c r="H762" s="163">
        <v>2</v>
      </c>
      <c r="I762" s="164">
        <v>1032.5</v>
      </c>
      <c r="J762" s="164">
        <v>644</v>
      </c>
      <c r="K762" s="164">
        <v>445.9</v>
      </c>
      <c r="L762" s="165">
        <v>76</v>
      </c>
      <c r="M762" s="163" t="s">
        <v>268</v>
      </c>
      <c r="N762" s="163" t="s">
        <v>272</v>
      </c>
      <c r="O762" s="166" t="s">
        <v>332</v>
      </c>
      <c r="P762" s="167">
        <v>120000</v>
      </c>
      <c r="Q762" s="167">
        <v>0</v>
      </c>
      <c r="R762" s="167">
        <v>0</v>
      </c>
      <c r="S762" s="167">
        <f t="shared" si="210"/>
        <v>120000</v>
      </c>
      <c r="T762" s="167">
        <f t="shared" si="209"/>
        <v>116.22276029055691</v>
      </c>
      <c r="U762" s="167">
        <v>116.22276029055691</v>
      </c>
      <c r="V762" s="149">
        <f t="shared" si="215"/>
        <v>0</v>
      </c>
      <c r="W762" s="149">
        <f t="shared" si="221"/>
        <v>116.22276029055691</v>
      </c>
      <c r="X762" s="149">
        <v>0</v>
      </c>
      <c r="Y762" s="368">
        <v>0</v>
      </c>
      <c r="Z762" s="368">
        <v>0</v>
      </c>
      <c r="AA762" s="368">
        <v>0</v>
      </c>
      <c r="AB762" s="368">
        <v>0</v>
      </c>
      <c r="AC762" s="368">
        <v>0</v>
      </c>
      <c r="AD762" s="368">
        <v>0</v>
      </c>
      <c r="AE762" s="368">
        <v>0</v>
      </c>
      <c r="AF762" s="396">
        <v>0</v>
      </c>
      <c r="AG762" s="368">
        <v>0</v>
      </c>
      <c r="AH762" s="396">
        <v>0</v>
      </c>
      <c r="AI762" s="368">
        <v>0</v>
      </c>
      <c r="AJ762" s="396">
        <v>0</v>
      </c>
      <c r="AK762" s="368">
        <v>0</v>
      </c>
      <c r="AL762" s="368">
        <v>0</v>
      </c>
      <c r="AM762" s="368">
        <v>0</v>
      </c>
      <c r="AN762" s="368"/>
      <c r="AO762" s="368">
        <v>0</v>
      </c>
    </row>
    <row r="763" spans="1:41" s="152" customFormat="1" ht="36" customHeight="1" x14ac:dyDescent="0.9">
      <c r="A763" s="152">
        <v>1</v>
      </c>
      <c r="B763" s="90">
        <f>SUBTOTAL(103,$A$554:A763)</f>
        <v>208</v>
      </c>
      <c r="C763" s="89" t="s">
        <v>441</v>
      </c>
      <c r="D763" s="163">
        <v>1969</v>
      </c>
      <c r="E763" s="163"/>
      <c r="F763" s="168" t="s">
        <v>270</v>
      </c>
      <c r="G763" s="163">
        <v>5</v>
      </c>
      <c r="H763" s="163">
        <v>6</v>
      </c>
      <c r="I763" s="164">
        <v>5048.3000000000011</v>
      </c>
      <c r="J763" s="164">
        <v>4487.6000000000004</v>
      </c>
      <c r="K763" s="164">
        <v>3957.13</v>
      </c>
      <c r="L763" s="165">
        <v>204</v>
      </c>
      <c r="M763" s="163" t="s">
        <v>268</v>
      </c>
      <c r="N763" s="163" t="s">
        <v>272</v>
      </c>
      <c r="O763" s="166" t="s">
        <v>332</v>
      </c>
      <c r="P763" s="167">
        <v>180000</v>
      </c>
      <c r="Q763" s="167">
        <v>0</v>
      </c>
      <c r="R763" s="167">
        <v>0</v>
      </c>
      <c r="S763" s="167">
        <f t="shared" si="210"/>
        <v>180000</v>
      </c>
      <c r="T763" s="167">
        <f t="shared" si="209"/>
        <v>35.655567220648528</v>
      </c>
      <c r="U763" s="167">
        <v>35.655567220648528</v>
      </c>
      <c r="V763" s="149">
        <f t="shared" si="215"/>
        <v>0</v>
      </c>
      <c r="W763" s="149">
        <f t="shared" si="221"/>
        <v>35.655567220648528</v>
      </c>
      <c r="X763" s="149">
        <v>0</v>
      </c>
      <c r="Y763" s="368">
        <v>0</v>
      </c>
      <c r="Z763" s="368">
        <v>0</v>
      </c>
      <c r="AA763" s="368">
        <v>0</v>
      </c>
      <c r="AB763" s="368">
        <v>0</v>
      </c>
      <c r="AC763" s="368">
        <v>0</v>
      </c>
      <c r="AD763" s="368">
        <v>0</v>
      </c>
      <c r="AE763" s="368">
        <v>0</v>
      </c>
      <c r="AF763" s="396">
        <v>0</v>
      </c>
      <c r="AG763" s="368">
        <v>0</v>
      </c>
      <c r="AH763" s="396">
        <v>0</v>
      </c>
      <c r="AI763" s="368">
        <v>0</v>
      </c>
      <c r="AJ763" s="396">
        <v>0</v>
      </c>
      <c r="AK763" s="368">
        <v>0</v>
      </c>
      <c r="AL763" s="368">
        <v>0</v>
      </c>
      <c r="AM763" s="368">
        <v>0</v>
      </c>
      <c r="AN763" s="368"/>
      <c r="AO763" s="368">
        <v>0</v>
      </c>
    </row>
    <row r="764" spans="1:41" s="152" customFormat="1" ht="36" customHeight="1" x14ac:dyDescent="0.9">
      <c r="A764" s="152">
        <v>1</v>
      </c>
      <c r="B764" s="90">
        <f>SUBTOTAL(103,$A$554:A764)</f>
        <v>209</v>
      </c>
      <c r="C764" s="89" t="s">
        <v>442</v>
      </c>
      <c r="D764" s="163">
        <v>1943</v>
      </c>
      <c r="E764" s="163"/>
      <c r="F764" s="168" t="s">
        <v>270</v>
      </c>
      <c r="G764" s="163">
        <v>2</v>
      </c>
      <c r="H764" s="163">
        <v>2</v>
      </c>
      <c r="I764" s="164">
        <v>715.9</v>
      </c>
      <c r="J764" s="164">
        <v>646.9</v>
      </c>
      <c r="K764" s="164">
        <v>547.55999999999995</v>
      </c>
      <c r="L764" s="165">
        <v>35</v>
      </c>
      <c r="M764" s="163" t="s">
        <v>268</v>
      </c>
      <c r="N764" s="163" t="s">
        <v>272</v>
      </c>
      <c r="O764" s="166" t="s">
        <v>329</v>
      </c>
      <c r="P764" s="167">
        <v>150000</v>
      </c>
      <c r="Q764" s="167">
        <v>0</v>
      </c>
      <c r="R764" s="167">
        <v>0</v>
      </c>
      <c r="S764" s="167">
        <f t="shared" si="210"/>
        <v>150000</v>
      </c>
      <c r="T764" s="167">
        <f t="shared" si="209"/>
        <v>209.52647017739909</v>
      </c>
      <c r="U764" s="167">
        <v>209.52647017739909</v>
      </c>
      <c r="V764" s="149">
        <f t="shared" si="215"/>
        <v>0</v>
      </c>
      <c r="W764" s="149">
        <f t="shared" si="221"/>
        <v>209.52647017739909</v>
      </c>
      <c r="X764" s="149">
        <v>0</v>
      </c>
      <c r="Y764" s="368">
        <v>0</v>
      </c>
      <c r="Z764" s="368">
        <v>0</v>
      </c>
      <c r="AA764" s="368">
        <v>0</v>
      </c>
      <c r="AB764" s="368">
        <v>0</v>
      </c>
      <c r="AC764" s="368">
        <v>0</v>
      </c>
      <c r="AD764" s="368">
        <v>0</v>
      </c>
      <c r="AE764" s="368">
        <v>0</v>
      </c>
      <c r="AF764" s="396">
        <v>0</v>
      </c>
      <c r="AG764" s="368">
        <v>0</v>
      </c>
      <c r="AH764" s="396">
        <v>0</v>
      </c>
      <c r="AI764" s="368">
        <v>0</v>
      </c>
      <c r="AJ764" s="396">
        <v>0</v>
      </c>
      <c r="AK764" s="368">
        <v>0</v>
      </c>
      <c r="AL764" s="368">
        <v>0</v>
      </c>
      <c r="AM764" s="368">
        <v>0</v>
      </c>
      <c r="AN764" s="368"/>
      <c r="AO764" s="368">
        <v>0</v>
      </c>
    </row>
    <row r="765" spans="1:41" s="152" customFormat="1" ht="36" customHeight="1" x14ac:dyDescent="0.9">
      <c r="A765" s="152">
        <v>1</v>
      </c>
      <c r="B765" s="90">
        <f>SUBTOTAL(103,$A$554:A765)</f>
        <v>210</v>
      </c>
      <c r="C765" s="89" t="s">
        <v>443</v>
      </c>
      <c r="D765" s="163">
        <v>1917</v>
      </c>
      <c r="E765" s="163"/>
      <c r="F765" s="168" t="s">
        <v>334</v>
      </c>
      <c r="G765" s="163">
        <v>2</v>
      </c>
      <c r="H765" s="163">
        <v>2</v>
      </c>
      <c r="I765" s="164">
        <v>643.4</v>
      </c>
      <c r="J765" s="164">
        <v>521.79999999999995</v>
      </c>
      <c r="K765" s="164">
        <v>423.09999999999997</v>
      </c>
      <c r="L765" s="165">
        <v>21</v>
      </c>
      <c r="M765" s="163" t="s">
        <v>268</v>
      </c>
      <c r="N765" s="163" t="s">
        <v>272</v>
      </c>
      <c r="O765" s="166" t="s">
        <v>325</v>
      </c>
      <c r="P765" s="167">
        <v>120000</v>
      </c>
      <c r="Q765" s="167">
        <v>0</v>
      </c>
      <c r="R765" s="167">
        <v>0</v>
      </c>
      <c r="S765" s="167">
        <f t="shared" si="210"/>
        <v>120000</v>
      </c>
      <c r="T765" s="167">
        <f t="shared" si="209"/>
        <v>186.50917003419335</v>
      </c>
      <c r="U765" s="167">
        <v>186.50917003419335</v>
      </c>
      <c r="V765" s="149">
        <f t="shared" si="215"/>
        <v>0</v>
      </c>
      <c r="W765" s="149">
        <f t="shared" si="221"/>
        <v>186.50917003419335</v>
      </c>
      <c r="X765" s="149">
        <v>0</v>
      </c>
      <c r="Y765" s="368">
        <v>0</v>
      </c>
      <c r="Z765" s="368">
        <v>0</v>
      </c>
      <c r="AA765" s="368">
        <v>0</v>
      </c>
      <c r="AB765" s="368">
        <v>0</v>
      </c>
      <c r="AC765" s="368">
        <v>0</v>
      </c>
      <c r="AD765" s="368">
        <v>0</v>
      </c>
      <c r="AE765" s="368">
        <v>0</v>
      </c>
      <c r="AF765" s="396">
        <v>0</v>
      </c>
      <c r="AG765" s="368">
        <v>0</v>
      </c>
      <c r="AH765" s="396">
        <v>0</v>
      </c>
      <c r="AI765" s="368">
        <v>0</v>
      </c>
      <c r="AJ765" s="396">
        <v>0</v>
      </c>
      <c r="AK765" s="368">
        <v>0</v>
      </c>
      <c r="AL765" s="368">
        <v>0</v>
      </c>
      <c r="AM765" s="368">
        <v>0</v>
      </c>
      <c r="AN765" s="368"/>
      <c r="AO765" s="368">
        <v>0</v>
      </c>
    </row>
    <row r="766" spans="1:41" s="152" customFormat="1" ht="36" customHeight="1" x14ac:dyDescent="0.9">
      <c r="A766" s="152">
        <v>1</v>
      </c>
      <c r="B766" s="90">
        <f>SUBTOTAL(103,$A$554:A766)</f>
        <v>211</v>
      </c>
      <c r="C766" s="89" t="s">
        <v>211</v>
      </c>
      <c r="D766" s="163">
        <v>1967</v>
      </c>
      <c r="E766" s="163"/>
      <c r="F766" s="168" t="s">
        <v>270</v>
      </c>
      <c r="G766" s="163">
        <v>2</v>
      </c>
      <c r="H766" s="163">
        <v>2</v>
      </c>
      <c r="I766" s="164">
        <v>678.4</v>
      </c>
      <c r="J766" s="164">
        <v>629.79999999999995</v>
      </c>
      <c r="K766" s="164">
        <v>589.79999999999995</v>
      </c>
      <c r="L766" s="165">
        <v>37</v>
      </c>
      <c r="M766" s="163" t="s">
        <v>268</v>
      </c>
      <c r="N766" s="163" t="s">
        <v>272</v>
      </c>
      <c r="O766" s="166" t="s">
        <v>331</v>
      </c>
      <c r="P766" s="167">
        <v>150000</v>
      </c>
      <c r="Q766" s="167">
        <v>0</v>
      </c>
      <c r="R766" s="167">
        <v>0</v>
      </c>
      <c r="S766" s="167">
        <f t="shared" si="210"/>
        <v>150000</v>
      </c>
      <c r="T766" s="167">
        <f t="shared" si="209"/>
        <v>221.10849056603774</v>
      </c>
      <c r="U766" s="167">
        <v>221.10849056603774</v>
      </c>
      <c r="V766" s="149">
        <f t="shared" si="215"/>
        <v>0</v>
      </c>
      <c r="W766" s="149">
        <f t="shared" si="221"/>
        <v>221.10849056603774</v>
      </c>
      <c r="X766" s="149">
        <v>0</v>
      </c>
      <c r="Y766" s="368">
        <v>0</v>
      </c>
      <c r="Z766" s="368">
        <v>0</v>
      </c>
      <c r="AA766" s="368">
        <v>0</v>
      </c>
      <c r="AB766" s="368">
        <v>0</v>
      </c>
      <c r="AC766" s="368">
        <v>0</v>
      </c>
      <c r="AD766" s="368">
        <v>0</v>
      </c>
      <c r="AE766" s="368">
        <v>0</v>
      </c>
      <c r="AF766" s="396">
        <v>0</v>
      </c>
      <c r="AG766" s="368">
        <v>0</v>
      </c>
      <c r="AH766" s="396">
        <v>0</v>
      </c>
      <c r="AI766" s="368">
        <v>0</v>
      </c>
      <c r="AJ766" s="396">
        <v>0</v>
      </c>
      <c r="AK766" s="368">
        <v>0</v>
      </c>
      <c r="AL766" s="368">
        <v>0</v>
      </c>
      <c r="AM766" s="368">
        <v>0</v>
      </c>
      <c r="AN766" s="368"/>
      <c r="AO766" s="368">
        <v>0</v>
      </c>
    </row>
    <row r="767" spans="1:41" s="152" customFormat="1" ht="36" customHeight="1" x14ac:dyDescent="0.9">
      <c r="A767" s="152">
        <v>1</v>
      </c>
      <c r="B767" s="90">
        <f>SUBTOTAL(103,$A$554:A767)</f>
        <v>212</v>
      </c>
      <c r="C767" s="89" t="s">
        <v>210</v>
      </c>
      <c r="D767" s="163">
        <v>1975</v>
      </c>
      <c r="E767" s="163"/>
      <c r="F767" s="168" t="s">
        <v>270</v>
      </c>
      <c r="G767" s="163">
        <v>2</v>
      </c>
      <c r="H767" s="163">
        <v>2</v>
      </c>
      <c r="I767" s="164">
        <v>817.4</v>
      </c>
      <c r="J767" s="164">
        <v>756.3</v>
      </c>
      <c r="K767" s="164">
        <v>652</v>
      </c>
      <c r="L767" s="165">
        <v>43</v>
      </c>
      <c r="M767" s="163" t="s">
        <v>268</v>
      </c>
      <c r="N767" s="163" t="s">
        <v>272</v>
      </c>
      <c r="O767" s="166" t="s">
        <v>331</v>
      </c>
      <c r="P767" s="167">
        <v>150000</v>
      </c>
      <c r="Q767" s="167">
        <v>0</v>
      </c>
      <c r="R767" s="167">
        <v>0</v>
      </c>
      <c r="S767" s="167">
        <f t="shared" si="210"/>
        <v>150000</v>
      </c>
      <c r="T767" s="167">
        <f t="shared" ref="T767:T830" si="222">P767/I767</f>
        <v>183.50868607780768</v>
      </c>
      <c r="U767" s="167">
        <v>183.50868607780768</v>
      </c>
      <c r="V767" s="149">
        <f t="shared" si="215"/>
        <v>0</v>
      </c>
      <c r="W767" s="149">
        <f t="shared" si="221"/>
        <v>183.50868607780768</v>
      </c>
      <c r="X767" s="149">
        <v>0</v>
      </c>
      <c r="Y767" s="368">
        <v>0</v>
      </c>
      <c r="Z767" s="368">
        <v>0</v>
      </c>
      <c r="AA767" s="368">
        <v>0</v>
      </c>
      <c r="AB767" s="368">
        <v>0</v>
      </c>
      <c r="AC767" s="368">
        <v>0</v>
      </c>
      <c r="AD767" s="368">
        <v>0</v>
      </c>
      <c r="AE767" s="368">
        <v>0</v>
      </c>
      <c r="AF767" s="396">
        <v>0</v>
      </c>
      <c r="AG767" s="368">
        <v>0</v>
      </c>
      <c r="AH767" s="396">
        <v>0</v>
      </c>
      <c r="AI767" s="368">
        <v>0</v>
      </c>
      <c r="AJ767" s="396">
        <v>0</v>
      </c>
      <c r="AK767" s="368">
        <v>0</v>
      </c>
      <c r="AL767" s="368">
        <v>0</v>
      </c>
      <c r="AM767" s="368">
        <v>0</v>
      </c>
      <c r="AN767" s="368"/>
      <c r="AO767" s="368">
        <v>0</v>
      </c>
    </row>
    <row r="768" spans="1:41" s="152" customFormat="1" ht="36" customHeight="1" x14ac:dyDescent="0.9">
      <c r="A768" s="152">
        <v>1</v>
      </c>
      <c r="B768" s="90">
        <f>SUBTOTAL(103,$A$554:A768)</f>
        <v>213</v>
      </c>
      <c r="C768" s="89" t="s">
        <v>445</v>
      </c>
      <c r="D768" s="163">
        <v>1950</v>
      </c>
      <c r="E768" s="163"/>
      <c r="F768" s="168" t="s">
        <v>270</v>
      </c>
      <c r="G768" s="163">
        <v>2</v>
      </c>
      <c r="H768" s="163">
        <v>1</v>
      </c>
      <c r="I768" s="164">
        <v>411.15</v>
      </c>
      <c r="J768" s="164">
        <v>369.45</v>
      </c>
      <c r="K768" s="164">
        <v>369.45</v>
      </c>
      <c r="L768" s="165">
        <v>17</v>
      </c>
      <c r="M768" s="163" t="s">
        <v>268</v>
      </c>
      <c r="N768" s="163" t="s">
        <v>272</v>
      </c>
      <c r="O768" s="166" t="s">
        <v>325</v>
      </c>
      <c r="P768" s="167">
        <v>120000</v>
      </c>
      <c r="Q768" s="167">
        <v>0</v>
      </c>
      <c r="R768" s="167">
        <v>0</v>
      </c>
      <c r="S768" s="167">
        <f t="shared" si="210"/>
        <v>120000</v>
      </c>
      <c r="T768" s="167">
        <f t="shared" si="222"/>
        <v>291.86428310835464</v>
      </c>
      <c r="U768" s="167">
        <v>291.86428310835464</v>
      </c>
      <c r="V768" s="149">
        <f t="shared" si="215"/>
        <v>0</v>
      </c>
      <c r="W768" s="149">
        <f t="shared" si="221"/>
        <v>291.86428310835464</v>
      </c>
      <c r="X768" s="149">
        <v>0</v>
      </c>
      <c r="Y768" s="368">
        <v>0</v>
      </c>
      <c r="Z768" s="368">
        <v>0</v>
      </c>
      <c r="AA768" s="368">
        <v>0</v>
      </c>
      <c r="AB768" s="368">
        <v>0</v>
      </c>
      <c r="AC768" s="368">
        <v>0</v>
      </c>
      <c r="AD768" s="368">
        <v>0</v>
      </c>
      <c r="AE768" s="368">
        <v>0</v>
      </c>
      <c r="AF768" s="396">
        <v>0</v>
      </c>
      <c r="AG768" s="368">
        <v>0</v>
      </c>
      <c r="AH768" s="396">
        <v>0</v>
      </c>
      <c r="AI768" s="368">
        <v>0</v>
      </c>
      <c r="AJ768" s="396">
        <v>0</v>
      </c>
      <c r="AK768" s="368">
        <v>0</v>
      </c>
      <c r="AL768" s="368">
        <v>0</v>
      </c>
      <c r="AM768" s="368">
        <v>0</v>
      </c>
      <c r="AN768" s="368"/>
      <c r="AO768" s="368">
        <v>0</v>
      </c>
    </row>
    <row r="769" spans="1:41" s="152" customFormat="1" ht="36" customHeight="1" x14ac:dyDescent="0.9">
      <c r="A769" s="152">
        <v>1</v>
      </c>
      <c r="B769" s="90">
        <f>SUBTOTAL(103,$A$554:A769)</f>
        <v>214</v>
      </c>
      <c r="C769" s="89" t="s">
        <v>446</v>
      </c>
      <c r="D769" s="163">
        <v>1966</v>
      </c>
      <c r="E769" s="163"/>
      <c r="F769" s="168" t="s">
        <v>270</v>
      </c>
      <c r="G769" s="163">
        <v>2</v>
      </c>
      <c r="H769" s="163">
        <v>2</v>
      </c>
      <c r="I769" s="164">
        <v>667.6</v>
      </c>
      <c r="J769" s="164">
        <v>626.5</v>
      </c>
      <c r="K769" s="164">
        <v>586.70000000000005</v>
      </c>
      <c r="L769" s="165">
        <v>37</v>
      </c>
      <c r="M769" s="163" t="s">
        <v>268</v>
      </c>
      <c r="N769" s="163" t="s">
        <v>272</v>
      </c>
      <c r="O769" s="166" t="s">
        <v>331</v>
      </c>
      <c r="P769" s="167">
        <v>150000</v>
      </c>
      <c r="Q769" s="167">
        <v>0</v>
      </c>
      <c r="R769" s="167">
        <v>0</v>
      </c>
      <c r="S769" s="167">
        <f t="shared" si="210"/>
        <v>150000</v>
      </c>
      <c r="T769" s="167">
        <f t="shared" si="222"/>
        <v>224.68544038346315</v>
      </c>
      <c r="U769" s="167">
        <v>224.68544038346315</v>
      </c>
      <c r="V769" s="149">
        <f t="shared" si="215"/>
        <v>0</v>
      </c>
      <c r="W769" s="149">
        <f t="shared" si="221"/>
        <v>224.68544038346315</v>
      </c>
      <c r="X769" s="149">
        <v>0</v>
      </c>
      <c r="Y769" s="368">
        <v>0</v>
      </c>
      <c r="Z769" s="368">
        <v>0</v>
      </c>
      <c r="AA769" s="368">
        <v>0</v>
      </c>
      <c r="AB769" s="368">
        <v>0</v>
      </c>
      <c r="AC769" s="368">
        <v>0</v>
      </c>
      <c r="AD769" s="368">
        <v>0</v>
      </c>
      <c r="AE769" s="368">
        <v>0</v>
      </c>
      <c r="AF769" s="396">
        <v>0</v>
      </c>
      <c r="AG769" s="368">
        <v>0</v>
      </c>
      <c r="AH769" s="396">
        <v>0</v>
      </c>
      <c r="AI769" s="368">
        <v>0</v>
      </c>
      <c r="AJ769" s="396">
        <v>0</v>
      </c>
      <c r="AK769" s="368">
        <v>0</v>
      </c>
      <c r="AL769" s="368">
        <v>0</v>
      </c>
      <c r="AM769" s="368">
        <v>0</v>
      </c>
      <c r="AN769" s="368"/>
      <c r="AO769" s="368">
        <v>0</v>
      </c>
    </row>
    <row r="770" spans="1:41" s="152" customFormat="1" ht="36" customHeight="1" x14ac:dyDescent="0.9">
      <c r="A770" s="152">
        <v>1</v>
      </c>
      <c r="B770" s="90">
        <f>SUBTOTAL(103,$A$554:A770)</f>
        <v>215</v>
      </c>
      <c r="C770" s="89" t="s">
        <v>447</v>
      </c>
      <c r="D770" s="163">
        <v>1977</v>
      </c>
      <c r="E770" s="163"/>
      <c r="F770" s="168" t="s">
        <v>270</v>
      </c>
      <c r="G770" s="163">
        <v>9</v>
      </c>
      <c r="H770" s="163">
        <v>1</v>
      </c>
      <c r="I770" s="164">
        <v>2576</v>
      </c>
      <c r="J770" s="164">
        <v>2212.6999999999998</v>
      </c>
      <c r="K770" s="164">
        <v>2123.6999999999998</v>
      </c>
      <c r="L770" s="165">
        <v>106</v>
      </c>
      <c r="M770" s="163" t="s">
        <v>268</v>
      </c>
      <c r="N770" s="163" t="s">
        <v>272</v>
      </c>
      <c r="O770" s="166" t="s">
        <v>331</v>
      </c>
      <c r="P770" s="167">
        <v>120000</v>
      </c>
      <c r="Q770" s="167">
        <v>0</v>
      </c>
      <c r="R770" s="167">
        <v>0</v>
      </c>
      <c r="S770" s="167">
        <f t="shared" si="210"/>
        <v>120000</v>
      </c>
      <c r="T770" s="167">
        <f t="shared" si="222"/>
        <v>46.58385093167702</v>
      </c>
      <c r="U770" s="167">
        <v>46.58385093167702</v>
      </c>
      <c r="V770" s="149">
        <f t="shared" si="215"/>
        <v>0</v>
      </c>
      <c r="W770" s="149">
        <f t="shared" si="221"/>
        <v>46.58385093167702</v>
      </c>
      <c r="X770" s="149">
        <v>0</v>
      </c>
      <c r="Y770" s="368">
        <v>0</v>
      </c>
      <c r="Z770" s="368">
        <v>0</v>
      </c>
      <c r="AA770" s="368">
        <v>0</v>
      </c>
      <c r="AB770" s="368">
        <v>0</v>
      </c>
      <c r="AC770" s="368">
        <v>0</v>
      </c>
      <c r="AD770" s="368">
        <v>0</v>
      </c>
      <c r="AE770" s="368">
        <v>0</v>
      </c>
      <c r="AF770" s="396">
        <v>0</v>
      </c>
      <c r="AG770" s="368">
        <v>0</v>
      </c>
      <c r="AH770" s="396">
        <v>0</v>
      </c>
      <c r="AI770" s="368">
        <v>0</v>
      </c>
      <c r="AJ770" s="396">
        <v>0</v>
      </c>
      <c r="AK770" s="368">
        <v>0</v>
      </c>
      <c r="AL770" s="368">
        <v>0</v>
      </c>
      <c r="AM770" s="368">
        <v>0</v>
      </c>
      <c r="AN770" s="368"/>
      <c r="AO770" s="368">
        <v>0</v>
      </c>
    </row>
    <row r="771" spans="1:41" s="152" customFormat="1" ht="36" customHeight="1" x14ac:dyDescent="0.9">
      <c r="A771" s="152">
        <v>1</v>
      </c>
      <c r="B771" s="90">
        <f>SUBTOTAL(103,$A$554:A771)</f>
        <v>216</v>
      </c>
      <c r="C771" s="89" t="s">
        <v>827</v>
      </c>
      <c r="D771" s="163">
        <v>1988</v>
      </c>
      <c r="E771" s="163"/>
      <c r="F771" s="168" t="s">
        <v>270</v>
      </c>
      <c r="G771" s="163">
        <v>9</v>
      </c>
      <c r="H771" s="163">
        <v>3</v>
      </c>
      <c r="I771" s="164">
        <v>6719</v>
      </c>
      <c r="J771" s="164">
        <v>5795.4</v>
      </c>
      <c r="K771" s="164">
        <v>5264.2</v>
      </c>
      <c r="L771" s="165">
        <v>304</v>
      </c>
      <c r="M771" s="163" t="s">
        <v>268</v>
      </c>
      <c r="N771" s="163" t="s">
        <v>272</v>
      </c>
      <c r="O771" s="166" t="s">
        <v>1001</v>
      </c>
      <c r="P771" s="167">
        <v>100000</v>
      </c>
      <c r="Q771" s="167">
        <v>0</v>
      </c>
      <c r="R771" s="167">
        <v>0</v>
      </c>
      <c r="S771" s="167">
        <f t="shared" si="210"/>
        <v>100000</v>
      </c>
      <c r="T771" s="167">
        <f t="shared" si="222"/>
        <v>14.883167137966959</v>
      </c>
      <c r="U771" s="167">
        <v>14.883167137966959</v>
      </c>
      <c r="V771" s="149">
        <f t="shared" si="215"/>
        <v>0</v>
      </c>
      <c r="W771" s="149">
        <f t="shared" si="221"/>
        <v>14.883167137966959</v>
      </c>
      <c r="X771" s="149">
        <v>0</v>
      </c>
      <c r="Y771" s="368">
        <v>0</v>
      </c>
      <c r="Z771" s="368">
        <v>0</v>
      </c>
      <c r="AA771" s="368">
        <v>0</v>
      </c>
      <c r="AB771" s="368">
        <v>0</v>
      </c>
      <c r="AC771" s="368">
        <v>0</v>
      </c>
      <c r="AD771" s="368">
        <v>0</v>
      </c>
      <c r="AE771" s="368">
        <v>0</v>
      </c>
      <c r="AF771" s="396">
        <v>0</v>
      </c>
      <c r="AG771" s="368">
        <v>0</v>
      </c>
      <c r="AH771" s="396">
        <v>0</v>
      </c>
      <c r="AI771" s="368">
        <v>0</v>
      </c>
      <c r="AJ771" s="396">
        <v>0</v>
      </c>
      <c r="AK771" s="368">
        <v>0</v>
      </c>
      <c r="AL771" s="368">
        <v>0</v>
      </c>
      <c r="AM771" s="368">
        <v>0</v>
      </c>
      <c r="AN771" s="368"/>
      <c r="AO771" s="368">
        <v>0</v>
      </c>
    </row>
    <row r="772" spans="1:41" s="152" customFormat="1" ht="36" customHeight="1" x14ac:dyDescent="0.9">
      <c r="B772" s="382" t="s">
        <v>773</v>
      </c>
      <c r="C772" s="382"/>
      <c r="D772" s="384" t="s">
        <v>903</v>
      </c>
      <c r="E772" s="163" t="s">
        <v>903</v>
      </c>
      <c r="F772" s="384" t="s">
        <v>903</v>
      </c>
      <c r="G772" s="384" t="s">
        <v>903</v>
      </c>
      <c r="H772" s="163" t="s">
        <v>903</v>
      </c>
      <c r="I772" s="386">
        <f>SUM(I773:I793)</f>
        <v>68688.009999999995</v>
      </c>
      <c r="J772" s="164">
        <f>SUM(J773:J793)</f>
        <v>52115.420000000006</v>
      </c>
      <c r="K772" s="164">
        <f>SUM(K773:K793)</f>
        <v>50070.1</v>
      </c>
      <c r="L772" s="165">
        <f>SUM(L773:L793)</f>
        <v>2150</v>
      </c>
      <c r="M772" s="163" t="s">
        <v>903</v>
      </c>
      <c r="N772" s="163" t="s">
        <v>903</v>
      </c>
      <c r="O772" s="166" t="s">
        <v>903</v>
      </c>
      <c r="P772" s="386">
        <v>50116095.18</v>
      </c>
      <c r="Q772" s="164">
        <f>SUM(Q773:Q793)</f>
        <v>0</v>
      </c>
      <c r="R772" s="164">
        <f>SUM(R773:R793)</f>
        <v>0</v>
      </c>
      <c r="S772" s="164">
        <f>SUM(S773:S793)</f>
        <v>50116095.18</v>
      </c>
      <c r="T772" s="387">
        <f t="shared" si="222"/>
        <v>729.61926222640614</v>
      </c>
      <c r="U772" s="387">
        <f>MAX(U773:U793)</f>
        <v>12120.693789015701</v>
      </c>
      <c r="V772" s="149">
        <f t="shared" ref="V772:V788" si="223">U772-T772</f>
        <v>11391.074526789294</v>
      </c>
      <c r="W772" s="149"/>
      <c r="X772" s="149"/>
      <c r="Y772" s="368"/>
      <c r="Z772" s="368"/>
      <c r="AA772" s="368"/>
      <c r="AB772" s="368"/>
      <c r="AC772" s="368"/>
      <c r="AD772" s="368"/>
      <c r="AE772" s="368"/>
      <c r="AF772" s="368"/>
      <c r="AG772" s="368"/>
      <c r="AH772" s="368"/>
      <c r="AI772" s="368"/>
      <c r="AJ772" s="368"/>
      <c r="AK772" s="368"/>
      <c r="AL772" s="368"/>
      <c r="AM772" s="368"/>
      <c r="AN772" s="368"/>
      <c r="AO772" s="368"/>
    </row>
    <row r="773" spans="1:41" s="152" customFormat="1" ht="36" customHeight="1" x14ac:dyDescent="0.9">
      <c r="A773" s="152">
        <v>1</v>
      </c>
      <c r="B773" s="90">
        <f>SUBTOTAL(103,$A$554:A773)</f>
        <v>217</v>
      </c>
      <c r="C773" s="89" t="s">
        <v>786</v>
      </c>
      <c r="D773" s="163">
        <v>1959</v>
      </c>
      <c r="E773" s="163"/>
      <c r="F773" s="168" t="s">
        <v>340</v>
      </c>
      <c r="G773" s="163">
        <v>3</v>
      </c>
      <c r="H773" s="163">
        <v>2</v>
      </c>
      <c r="I773" s="164">
        <v>1267.5</v>
      </c>
      <c r="J773" s="164">
        <v>1160</v>
      </c>
      <c r="K773" s="164">
        <v>785.9</v>
      </c>
      <c r="L773" s="165">
        <v>31</v>
      </c>
      <c r="M773" s="163" t="s">
        <v>268</v>
      </c>
      <c r="N773" s="163" t="s">
        <v>269</v>
      </c>
      <c r="O773" s="166" t="s">
        <v>271</v>
      </c>
      <c r="P773" s="167">
        <v>3593042</v>
      </c>
      <c r="Q773" s="167">
        <v>0</v>
      </c>
      <c r="R773" s="167">
        <v>0</v>
      </c>
      <c r="S773" s="167">
        <f t="shared" ref="S773:S793" si="224">P773-Q773-R773</f>
        <v>3593042</v>
      </c>
      <c r="T773" s="167">
        <f t="shared" si="222"/>
        <v>2834.7471400394479</v>
      </c>
      <c r="U773" s="167">
        <v>3396.3297041420115</v>
      </c>
      <c r="V773" s="149">
        <f t="shared" si="223"/>
        <v>561.58256410256354</v>
      </c>
      <c r="W773" s="149">
        <f t="shared" ref="W773:W782" si="225">X773+Y773+Z773+AA773+AB773+AD773+AF773+AH773+AJ773+AL773+AN773+AO773</f>
        <v>3396.3297041420115</v>
      </c>
      <c r="X773" s="149">
        <v>0</v>
      </c>
      <c r="Y773" s="368">
        <v>0</v>
      </c>
      <c r="Z773" s="368">
        <v>0</v>
      </c>
      <c r="AA773" s="368">
        <v>0</v>
      </c>
      <c r="AB773" s="368">
        <v>0</v>
      </c>
      <c r="AC773" s="368">
        <v>0</v>
      </c>
      <c r="AD773" s="368">
        <v>0</v>
      </c>
      <c r="AE773" s="368">
        <v>690</v>
      </c>
      <c r="AF773" s="396">
        <f>6238.91*AE773/I773</f>
        <v>3396.3297041420115</v>
      </c>
      <c r="AG773" s="368">
        <v>0</v>
      </c>
      <c r="AH773" s="396">
        <v>0</v>
      </c>
      <c r="AI773" s="368">
        <v>0</v>
      </c>
      <c r="AJ773" s="396">
        <v>0</v>
      </c>
      <c r="AK773" s="368">
        <v>0</v>
      </c>
      <c r="AL773" s="368">
        <v>0</v>
      </c>
      <c r="AM773" s="368">
        <v>0</v>
      </c>
      <c r="AN773" s="368"/>
      <c r="AO773" s="368">
        <v>0</v>
      </c>
    </row>
    <row r="774" spans="1:41" s="152" customFormat="1" ht="36" customHeight="1" x14ac:dyDescent="0.9">
      <c r="A774" s="152">
        <v>1</v>
      </c>
      <c r="B774" s="90">
        <f>SUBTOTAL(103,$A$554:A774)</f>
        <v>218</v>
      </c>
      <c r="C774" s="89" t="s">
        <v>788</v>
      </c>
      <c r="D774" s="163">
        <v>1993</v>
      </c>
      <c r="E774" s="163"/>
      <c r="F774" s="168" t="s">
        <v>322</v>
      </c>
      <c r="G774" s="163">
        <v>9</v>
      </c>
      <c r="H774" s="163">
        <v>4</v>
      </c>
      <c r="I774" s="164">
        <v>11047.1</v>
      </c>
      <c r="J774" s="164">
        <v>7851.2</v>
      </c>
      <c r="K774" s="164">
        <v>7851.2</v>
      </c>
      <c r="L774" s="165">
        <v>267</v>
      </c>
      <c r="M774" s="163" t="s">
        <v>268</v>
      </c>
      <c r="N774" s="163" t="s">
        <v>272</v>
      </c>
      <c r="O774" s="166" t="s">
        <v>820</v>
      </c>
      <c r="P774" s="167">
        <v>8449445.7300000004</v>
      </c>
      <c r="Q774" s="167">
        <v>0</v>
      </c>
      <c r="R774" s="167">
        <v>0</v>
      </c>
      <c r="S774" s="167">
        <f t="shared" si="224"/>
        <v>8449445.7300000004</v>
      </c>
      <c r="T774" s="167">
        <f t="shared" si="222"/>
        <v>764.85645372993815</v>
      </c>
      <c r="U774" s="167">
        <v>889.93491504557755</v>
      </c>
      <c r="V774" s="149">
        <f t="shared" si="223"/>
        <v>125.0784613156394</v>
      </c>
      <c r="W774" s="149">
        <f t="shared" si="225"/>
        <v>889.93491504557755</v>
      </c>
      <c r="X774" s="149">
        <v>0</v>
      </c>
      <c r="Y774" s="368">
        <v>0</v>
      </c>
      <c r="Z774" s="368">
        <v>0</v>
      </c>
      <c r="AA774" s="368">
        <v>0</v>
      </c>
      <c r="AB774" s="368">
        <v>0</v>
      </c>
      <c r="AC774" s="368">
        <v>4</v>
      </c>
      <c r="AD774" s="396">
        <f>2457800*AC774/I774</f>
        <v>889.93491504557755</v>
      </c>
      <c r="AE774" s="368">
        <v>0</v>
      </c>
      <c r="AF774" s="396">
        <v>0</v>
      </c>
      <c r="AG774" s="368">
        <v>0</v>
      </c>
      <c r="AH774" s="396">
        <v>0</v>
      </c>
      <c r="AI774" s="368">
        <v>0</v>
      </c>
      <c r="AJ774" s="396">
        <v>0</v>
      </c>
      <c r="AK774" s="368">
        <v>0</v>
      </c>
      <c r="AL774" s="368">
        <v>0</v>
      </c>
      <c r="AM774" s="368">
        <v>0</v>
      </c>
      <c r="AN774" s="368"/>
      <c r="AO774" s="368">
        <v>0</v>
      </c>
    </row>
    <row r="775" spans="1:41" s="152" customFormat="1" ht="36" customHeight="1" x14ac:dyDescent="0.9">
      <c r="A775" s="152">
        <v>1</v>
      </c>
      <c r="B775" s="90">
        <f>SUBTOTAL(103,$A$554:A775)</f>
        <v>219</v>
      </c>
      <c r="C775" s="89" t="s">
        <v>1091</v>
      </c>
      <c r="D775" s="163">
        <v>1960</v>
      </c>
      <c r="E775" s="163"/>
      <c r="F775" s="168" t="s">
        <v>270</v>
      </c>
      <c r="G775" s="163">
        <v>3</v>
      </c>
      <c r="H775" s="163">
        <v>2</v>
      </c>
      <c r="I775" s="164">
        <v>1377.9</v>
      </c>
      <c r="J775" s="164">
        <v>966.6</v>
      </c>
      <c r="K775" s="164">
        <v>966.6</v>
      </c>
      <c r="L775" s="165">
        <v>28</v>
      </c>
      <c r="M775" s="163" t="s">
        <v>268</v>
      </c>
      <c r="N775" s="163" t="s">
        <v>269</v>
      </c>
      <c r="O775" s="166" t="s">
        <v>271</v>
      </c>
      <c r="P775" s="167">
        <v>2932000</v>
      </c>
      <c r="Q775" s="167">
        <v>0</v>
      </c>
      <c r="R775" s="167">
        <v>0</v>
      </c>
      <c r="S775" s="167">
        <f t="shared" si="224"/>
        <v>2932000</v>
      </c>
      <c r="T775" s="167">
        <f t="shared" si="222"/>
        <v>2127.8757529573986</v>
      </c>
      <c r="U775" s="167">
        <v>2671.4252848537626</v>
      </c>
      <c r="V775" s="149">
        <f t="shared" si="223"/>
        <v>543.54953189636399</v>
      </c>
      <c r="W775" s="149">
        <f t="shared" si="225"/>
        <v>2671.4252848537626</v>
      </c>
      <c r="X775" s="149">
        <v>0</v>
      </c>
      <c r="Y775" s="368">
        <v>0</v>
      </c>
      <c r="Z775" s="368">
        <v>0</v>
      </c>
      <c r="AA775" s="368">
        <v>0</v>
      </c>
      <c r="AB775" s="368">
        <v>0</v>
      </c>
      <c r="AC775" s="368">
        <v>0</v>
      </c>
      <c r="AD775" s="368">
        <v>0</v>
      </c>
      <c r="AE775" s="368">
        <v>590</v>
      </c>
      <c r="AF775" s="396">
        <f t="shared" ref="AF775:AF776" si="226">6238.91*AE775/I775</f>
        <v>2671.4252848537626</v>
      </c>
      <c r="AG775" s="368">
        <v>0</v>
      </c>
      <c r="AH775" s="396">
        <v>0</v>
      </c>
      <c r="AI775" s="368">
        <v>0</v>
      </c>
      <c r="AJ775" s="396">
        <v>0</v>
      </c>
      <c r="AK775" s="368">
        <v>0</v>
      </c>
      <c r="AL775" s="368">
        <v>0</v>
      </c>
      <c r="AM775" s="368">
        <v>0</v>
      </c>
      <c r="AN775" s="368"/>
      <c r="AO775" s="368">
        <v>0</v>
      </c>
    </row>
    <row r="776" spans="1:41" s="152" customFormat="1" ht="36" customHeight="1" x14ac:dyDescent="0.9">
      <c r="A776" s="152">
        <v>1</v>
      </c>
      <c r="B776" s="90">
        <f>SUBTOTAL(103,$A$554:A776)</f>
        <v>220</v>
      </c>
      <c r="C776" s="89" t="s">
        <v>791</v>
      </c>
      <c r="D776" s="163">
        <v>1966</v>
      </c>
      <c r="E776" s="163"/>
      <c r="F776" s="168" t="s">
        <v>270</v>
      </c>
      <c r="G776" s="163">
        <v>4</v>
      </c>
      <c r="H776" s="163">
        <v>4</v>
      </c>
      <c r="I776" s="164">
        <v>3436.5</v>
      </c>
      <c r="J776" s="164">
        <v>2673</v>
      </c>
      <c r="K776" s="164">
        <v>2483.9</v>
      </c>
      <c r="L776" s="165">
        <v>109</v>
      </c>
      <c r="M776" s="163" t="s">
        <v>268</v>
      </c>
      <c r="N776" s="163" t="s">
        <v>272</v>
      </c>
      <c r="O776" s="166" t="s">
        <v>816</v>
      </c>
      <c r="P776" s="167">
        <v>5501631.04</v>
      </c>
      <c r="Q776" s="167">
        <v>0</v>
      </c>
      <c r="R776" s="167">
        <v>0</v>
      </c>
      <c r="S776" s="167">
        <f t="shared" si="224"/>
        <v>5501631.04</v>
      </c>
      <c r="T776" s="167">
        <f t="shared" si="222"/>
        <v>1600.9402124254329</v>
      </c>
      <c r="U776" s="167">
        <v>2095.0682787720061</v>
      </c>
      <c r="V776" s="149">
        <f t="shared" si="223"/>
        <v>494.12806634657318</v>
      </c>
      <c r="W776" s="149">
        <f t="shared" si="225"/>
        <v>2095.0682787720061</v>
      </c>
      <c r="X776" s="149">
        <v>0</v>
      </c>
      <c r="Y776" s="368">
        <v>0</v>
      </c>
      <c r="Z776" s="368">
        <v>0</v>
      </c>
      <c r="AA776" s="368">
        <v>0</v>
      </c>
      <c r="AB776" s="368">
        <v>0</v>
      </c>
      <c r="AC776" s="368">
        <v>0</v>
      </c>
      <c r="AD776" s="368">
        <v>0</v>
      </c>
      <c r="AE776" s="368">
        <v>1154</v>
      </c>
      <c r="AF776" s="396">
        <f t="shared" si="226"/>
        <v>2095.0682787720061</v>
      </c>
      <c r="AG776" s="368">
        <v>0</v>
      </c>
      <c r="AH776" s="396">
        <v>0</v>
      </c>
      <c r="AI776" s="368">
        <v>0</v>
      </c>
      <c r="AJ776" s="396">
        <v>0</v>
      </c>
      <c r="AK776" s="368">
        <v>0</v>
      </c>
      <c r="AL776" s="368">
        <v>0</v>
      </c>
      <c r="AM776" s="368">
        <v>0</v>
      </c>
      <c r="AN776" s="368"/>
      <c r="AO776" s="368">
        <v>0</v>
      </c>
    </row>
    <row r="777" spans="1:41" s="152" customFormat="1" ht="36" customHeight="1" x14ac:dyDescent="0.9">
      <c r="A777" s="152">
        <v>1</v>
      </c>
      <c r="B777" s="90">
        <f>SUBTOTAL(103,$A$554:A777)</f>
        <v>221</v>
      </c>
      <c r="C777" s="89" t="s">
        <v>793</v>
      </c>
      <c r="D777" s="163">
        <v>1990</v>
      </c>
      <c r="E777" s="163"/>
      <c r="F777" s="168" t="s">
        <v>270</v>
      </c>
      <c r="G777" s="163">
        <v>9</v>
      </c>
      <c r="H777" s="163">
        <v>1</v>
      </c>
      <c r="I777" s="164">
        <v>5846.4</v>
      </c>
      <c r="J777" s="164">
        <v>4863.8999999999996</v>
      </c>
      <c r="K777" s="164">
        <v>4863.8999999999996</v>
      </c>
      <c r="L777" s="165">
        <v>374</v>
      </c>
      <c r="M777" s="163" t="s">
        <v>268</v>
      </c>
      <c r="N777" s="163" t="s">
        <v>272</v>
      </c>
      <c r="O777" s="166" t="s">
        <v>822</v>
      </c>
      <c r="P777" s="167">
        <v>2114616.9300000002</v>
      </c>
      <c r="Q777" s="167">
        <v>0</v>
      </c>
      <c r="R777" s="167">
        <v>0</v>
      </c>
      <c r="S777" s="167">
        <f t="shared" si="224"/>
        <v>2114616.9300000002</v>
      </c>
      <c r="T777" s="167">
        <f t="shared" si="222"/>
        <v>361.69556137110021</v>
      </c>
      <c r="U777" s="167">
        <v>420.39545703338808</v>
      </c>
      <c r="V777" s="149">
        <f t="shared" si="223"/>
        <v>58.699895662287872</v>
      </c>
      <c r="W777" s="149">
        <f t="shared" si="225"/>
        <v>420.39545703338808</v>
      </c>
      <c r="X777" s="149">
        <v>0</v>
      </c>
      <c r="Y777" s="368">
        <v>0</v>
      </c>
      <c r="Z777" s="368">
        <v>0</v>
      </c>
      <c r="AA777" s="368">
        <v>0</v>
      </c>
      <c r="AB777" s="368">
        <v>0</v>
      </c>
      <c r="AC777" s="368">
        <v>1</v>
      </c>
      <c r="AD777" s="396">
        <f>2457800*AC777/I777</f>
        <v>420.39545703338808</v>
      </c>
      <c r="AE777" s="368">
        <v>0</v>
      </c>
      <c r="AF777" s="396">
        <v>0</v>
      </c>
      <c r="AG777" s="368">
        <v>0</v>
      </c>
      <c r="AH777" s="396">
        <v>0</v>
      </c>
      <c r="AI777" s="368">
        <v>0</v>
      </c>
      <c r="AJ777" s="396">
        <v>0</v>
      </c>
      <c r="AK777" s="368">
        <v>0</v>
      </c>
      <c r="AL777" s="368">
        <v>0</v>
      </c>
      <c r="AM777" s="368">
        <v>0</v>
      </c>
      <c r="AN777" s="368"/>
      <c r="AO777" s="368">
        <v>0</v>
      </c>
    </row>
    <row r="778" spans="1:41" s="152" customFormat="1" ht="36" customHeight="1" x14ac:dyDescent="0.9">
      <c r="A778" s="152">
        <v>1</v>
      </c>
      <c r="B778" s="90">
        <f>SUBTOTAL(103,$A$554:A778)</f>
        <v>222</v>
      </c>
      <c r="C778" s="89" t="s">
        <v>1624</v>
      </c>
      <c r="D778" s="163">
        <v>1980</v>
      </c>
      <c r="E778" s="163"/>
      <c r="F778" s="168" t="s">
        <v>270</v>
      </c>
      <c r="G778" s="163">
        <v>5</v>
      </c>
      <c r="H778" s="163">
        <v>1</v>
      </c>
      <c r="I778" s="164">
        <v>2427.5</v>
      </c>
      <c r="J778" s="164">
        <v>2065.6999999999998</v>
      </c>
      <c r="K778" s="164">
        <f>J778-430.2</f>
        <v>1635.4999999999998</v>
      </c>
      <c r="L778" s="165">
        <v>58</v>
      </c>
      <c r="M778" s="163" t="s">
        <v>268</v>
      </c>
      <c r="N778" s="163" t="s">
        <v>269</v>
      </c>
      <c r="O778" s="166" t="s">
        <v>271</v>
      </c>
      <c r="P778" s="167">
        <v>3890000</v>
      </c>
      <c r="Q778" s="167">
        <v>0</v>
      </c>
      <c r="R778" s="167">
        <v>0</v>
      </c>
      <c r="S778" s="167">
        <f t="shared" si="224"/>
        <v>3890000</v>
      </c>
      <c r="T778" s="167">
        <f t="shared" si="222"/>
        <v>1602.4716786817714</v>
      </c>
      <c r="U778" s="167">
        <v>1999.5353161688979</v>
      </c>
      <c r="V778" s="149">
        <f t="shared" si="223"/>
        <v>397.06363748712647</v>
      </c>
      <c r="W778" s="149">
        <f t="shared" si="225"/>
        <v>1999.5353161688979</v>
      </c>
      <c r="X778" s="149">
        <v>0</v>
      </c>
      <c r="Y778" s="368">
        <v>0</v>
      </c>
      <c r="Z778" s="368">
        <v>0</v>
      </c>
      <c r="AA778" s="368">
        <v>0</v>
      </c>
      <c r="AB778" s="368">
        <v>0</v>
      </c>
      <c r="AC778" s="368">
        <v>0</v>
      </c>
      <c r="AD778" s="368">
        <v>0</v>
      </c>
      <c r="AE778" s="368">
        <v>778</v>
      </c>
      <c r="AF778" s="396">
        <f t="shared" ref="AF778:AF779" si="227">6238.91*AE778/I778</f>
        <v>1999.5353161688979</v>
      </c>
      <c r="AG778" s="368">
        <v>0</v>
      </c>
      <c r="AH778" s="396">
        <v>0</v>
      </c>
      <c r="AI778" s="368">
        <v>0</v>
      </c>
      <c r="AJ778" s="396">
        <v>0</v>
      </c>
      <c r="AK778" s="368">
        <v>0</v>
      </c>
      <c r="AL778" s="368">
        <v>0</v>
      </c>
      <c r="AM778" s="368">
        <v>0</v>
      </c>
      <c r="AN778" s="368"/>
      <c r="AO778" s="368">
        <v>0</v>
      </c>
    </row>
    <row r="779" spans="1:41" s="152" customFormat="1" ht="36" customHeight="1" x14ac:dyDescent="0.9">
      <c r="A779" s="152">
        <v>1</v>
      </c>
      <c r="B779" s="90">
        <f>SUBTOTAL(103,$A$554:A779)</f>
        <v>223</v>
      </c>
      <c r="C779" s="89" t="s">
        <v>1184</v>
      </c>
      <c r="D779" s="163">
        <v>1937</v>
      </c>
      <c r="E779" s="163"/>
      <c r="F779" s="168" t="s">
        <v>270</v>
      </c>
      <c r="G779" s="163" t="s">
        <v>312</v>
      </c>
      <c r="H779" s="163" t="s">
        <v>316</v>
      </c>
      <c r="I779" s="167">
        <v>1585.9</v>
      </c>
      <c r="J779" s="167">
        <v>1465.1</v>
      </c>
      <c r="K779" s="167">
        <v>1465.1</v>
      </c>
      <c r="L779" s="165">
        <v>39</v>
      </c>
      <c r="M779" s="163" t="s">
        <v>268</v>
      </c>
      <c r="N779" s="163" t="s">
        <v>269</v>
      </c>
      <c r="O779" s="166" t="s">
        <v>271</v>
      </c>
      <c r="P779" s="167">
        <v>7503621.0100000007</v>
      </c>
      <c r="Q779" s="167">
        <v>0</v>
      </c>
      <c r="R779" s="167">
        <v>0</v>
      </c>
      <c r="S779" s="167">
        <f t="shared" si="224"/>
        <v>7503621.0100000007</v>
      </c>
      <c r="T779" s="167">
        <f t="shared" si="222"/>
        <v>4731.4591146982784</v>
      </c>
      <c r="U779" s="167">
        <v>12120.693789015701</v>
      </c>
      <c r="V779" s="149">
        <f t="shared" si="223"/>
        <v>7389.2346743174221</v>
      </c>
      <c r="W779" s="149">
        <f t="shared" si="225"/>
        <v>12120.693789015701</v>
      </c>
      <c r="X779" s="149">
        <v>0</v>
      </c>
      <c r="Y779" s="368">
        <v>0</v>
      </c>
      <c r="Z779" s="368">
        <v>0</v>
      </c>
      <c r="AA779" s="368">
        <v>0</v>
      </c>
      <c r="AB779" s="368">
        <v>0</v>
      </c>
      <c r="AC779" s="368">
        <v>0</v>
      </c>
      <c r="AD779" s="368">
        <v>0</v>
      </c>
      <c r="AE779" s="368">
        <v>627</v>
      </c>
      <c r="AF779" s="396">
        <f t="shared" si="227"/>
        <v>2466.6098556024967</v>
      </c>
      <c r="AG779" s="368">
        <v>0</v>
      </c>
      <c r="AH779" s="396">
        <v>0</v>
      </c>
      <c r="AI779" s="368">
        <v>2058.1</v>
      </c>
      <c r="AJ779" s="397">
        <f>7439.1*AI779/I779</f>
        <v>9654.0839334132033</v>
      </c>
      <c r="AK779" s="368">
        <v>0</v>
      </c>
      <c r="AL779" s="368">
        <v>0</v>
      </c>
      <c r="AM779" s="368">
        <v>0</v>
      </c>
      <c r="AN779" s="368"/>
      <c r="AO779" s="368">
        <v>0</v>
      </c>
    </row>
    <row r="780" spans="1:41" s="152" customFormat="1" ht="36" customHeight="1" x14ac:dyDescent="0.9">
      <c r="A780" s="152">
        <v>1</v>
      </c>
      <c r="B780" s="90">
        <f>SUBTOTAL(103,$A$554:A780)</f>
        <v>224</v>
      </c>
      <c r="C780" s="89" t="s">
        <v>1699</v>
      </c>
      <c r="D780" s="163">
        <v>1991</v>
      </c>
      <c r="E780" s="163"/>
      <c r="F780" s="168" t="s">
        <v>322</v>
      </c>
      <c r="G780" s="163">
        <v>9</v>
      </c>
      <c r="H780" s="163">
        <v>2</v>
      </c>
      <c r="I780" s="167">
        <v>5099.5</v>
      </c>
      <c r="J780" s="167">
        <v>3949.7</v>
      </c>
      <c r="K780" s="167">
        <v>3949.7</v>
      </c>
      <c r="L780" s="165">
        <v>168</v>
      </c>
      <c r="M780" s="163" t="s">
        <v>268</v>
      </c>
      <c r="N780" s="163" t="s">
        <v>272</v>
      </c>
      <c r="O780" s="166" t="s">
        <v>1700</v>
      </c>
      <c r="P780" s="167">
        <v>4548734.6400000006</v>
      </c>
      <c r="Q780" s="167">
        <v>0</v>
      </c>
      <c r="R780" s="167">
        <v>0</v>
      </c>
      <c r="S780" s="167">
        <f t="shared" si="224"/>
        <v>4548734.6400000006</v>
      </c>
      <c r="T780" s="167">
        <f t="shared" si="222"/>
        <v>891.99620354936769</v>
      </c>
      <c r="U780" s="167">
        <v>963.93764094519065</v>
      </c>
      <c r="V780" s="149">
        <f t="shared" si="223"/>
        <v>71.941437395822959</v>
      </c>
      <c r="W780" s="149">
        <f t="shared" si="225"/>
        <v>963.93764094519065</v>
      </c>
      <c r="X780" s="149">
        <v>0</v>
      </c>
      <c r="Y780" s="368">
        <v>0</v>
      </c>
      <c r="Z780" s="368">
        <v>0</v>
      </c>
      <c r="AA780" s="368">
        <v>0</v>
      </c>
      <c r="AB780" s="368">
        <v>0</v>
      </c>
      <c r="AC780" s="368">
        <v>2</v>
      </c>
      <c r="AD780" s="396">
        <f>2457800*AC780/I780</f>
        <v>963.93764094519065</v>
      </c>
      <c r="AE780" s="368">
        <v>0</v>
      </c>
      <c r="AF780" s="396">
        <v>0</v>
      </c>
      <c r="AG780" s="368">
        <v>0</v>
      </c>
      <c r="AH780" s="396">
        <v>0</v>
      </c>
      <c r="AI780" s="368">
        <v>0</v>
      </c>
      <c r="AJ780" s="396">
        <v>0</v>
      </c>
      <c r="AK780" s="368">
        <v>0</v>
      </c>
      <c r="AL780" s="368">
        <v>0</v>
      </c>
      <c r="AM780" s="368">
        <v>0</v>
      </c>
      <c r="AN780" s="368"/>
      <c r="AO780" s="368">
        <v>0</v>
      </c>
    </row>
    <row r="781" spans="1:41" s="152" customFormat="1" ht="36" customHeight="1" x14ac:dyDescent="0.9">
      <c r="A781" s="152">
        <v>1</v>
      </c>
      <c r="B781" s="90">
        <f>SUBTOTAL(103,$A$554:A781)</f>
        <v>225</v>
      </c>
      <c r="C781" s="358" t="s">
        <v>783</v>
      </c>
      <c r="D781" s="355">
        <v>1962</v>
      </c>
      <c r="E781" s="355"/>
      <c r="F781" s="357" t="s">
        <v>270</v>
      </c>
      <c r="G781" s="355">
        <v>6</v>
      </c>
      <c r="H781" s="355">
        <v>5</v>
      </c>
      <c r="I781" s="353">
        <v>5489.1</v>
      </c>
      <c r="J781" s="353">
        <v>4498.1000000000004</v>
      </c>
      <c r="K781" s="353">
        <v>4151.8999999999996</v>
      </c>
      <c r="L781" s="356">
        <v>130</v>
      </c>
      <c r="M781" s="355" t="s">
        <v>268</v>
      </c>
      <c r="N781" s="355" t="s">
        <v>272</v>
      </c>
      <c r="O781" s="354" t="s">
        <v>819</v>
      </c>
      <c r="P781" s="353">
        <v>7930053</v>
      </c>
      <c r="Q781" s="353">
        <v>0</v>
      </c>
      <c r="R781" s="353">
        <v>0</v>
      </c>
      <c r="S781" s="353">
        <f t="shared" si="224"/>
        <v>7930053</v>
      </c>
      <c r="T781" s="167">
        <f t="shared" si="222"/>
        <v>1444.6909329398261</v>
      </c>
      <c r="U781" s="167">
        <v>1499.4820272357945</v>
      </c>
      <c r="V781" s="149">
        <f t="shared" si="223"/>
        <v>54.791094295968378</v>
      </c>
      <c r="W781" s="149">
        <f t="shared" si="225"/>
        <v>1499.4820272357945</v>
      </c>
      <c r="X781" s="149">
        <v>0</v>
      </c>
      <c r="Y781" s="368">
        <v>0</v>
      </c>
      <c r="Z781" s="368">
        <v>0</v>
      </c>
      <c r="AA781" s="368">
        <v>0</v>
      </c>
      <c r="AB781" s="368">
        <v>0</v>
      </c>
      <c r="AC781" s="368">
        <v>0</v>
      </c>
      <c r="AD781" s="368">
        <v>0</v>
      </c>
      <c r="AE781" s="368">
        <v>1319.27</v>
      </c>
      <c r="AF781" s="396">
        <f>6238.91*AE781/I781</f>
        <v>1499.4820272357945</v>
      </c>
      <c r="AG781" s="368">
        <v>0</v>
      </c>
      <c r="AH781" s="396">
        <v>0</v>
      </c>
      <c r="AI781" s="368">
        <v>0</v>
      </c>
      <c r="AJ781" s="396">
        <v>0</v>
      </c>
      <c r="AK781" s="368">
        <v>0</v>
      </c>
      <c r="AL781" s="368">
        <v>0</v>
      </c>
      <c r="AM781" s="368">
        <v>0</v>
      </c>
      <c r="AN781" s="368"/>
      <c r="AO781" s="368">
        <v>0</v>
      </c>
    </row>
    <row r="782" spans="1:41" s="152" customFormat="1" ht="36" customHeight="1" x14ac:dyDescent="0.9">
      <c r="A782" s="152">
        <v>1</v>
      </c>
      <c r="B782" s="90">
        <f>SUBTOTAL(103,$A$554:A782)</f>
        <v>226</v>
      </c>
      <c r="C782" s="358" t="s">
        <v>1181</v>
      </c>
      <c r="D782" s="355">
        <v>1937</v>
      </c>
      <c r="E782" s="355"/>
      <c r="F782" s="357" t="s">
        <v>270</v>
      </c>
      <c r="G782" s="355">
        <v>3</v>
      </c>
      <c r="H782" s="355">
        <v>4</v>
      </c>
      <c r="I782" s="353">
        <v>2626</v>
      </c>
      <c r="J782" s="353">
        <v>2539.62</v>
      </c>
      <c r="K782" s="353">
        <v>2422.8000000000002</v>
      </c>
      <c r="L782" s="356">
        <v>96</v>
      </c>
      <c r="M782" s="355" t="s">
        <v>268</v>
      </c>
      <c r="N782" s="355" t="s">
        <v>272</v>
      </c>
      <c r="O782" s="354" t="s">
        <v>823</v>
      </c>
      <c r="P782" s="353">
        <v>2332950.83</v>
      </c>
      <c r="Q782" s="353">
        <v>0</v>
      </c>
      <c r="R782" s="353">
        <v>0</v>
      </c>
      <c r="S782" s="353">
        <f t="shared" si="224"/>
        <v>2332950.83</v>
      </c>
      <c r="T782" s="167">
        <f t="shared" si="222"/>
        <v>888.40473343488202</v>
      </c>
      <c r="U782" s="167">
        <v>3546.19</v>
      </c>
      <c r="V782" s="149">
        <f t="shared" si="223"/>
        <v>2657.785266565118</v>
      </c>
      <c r="W782" s="149">
        <f t="shared" si="225"/>
        <v>3546.19</v>
      </c>
      <c r="X782" s="149">
        <v>101.55</v>
      </c>
      <c r="Y782" s="368">
        <v>0</v>
      </c>
      <c r="Z782" s="368">
        <v>3259.66</v>
      </c>
      <c r="AA782" s="368">
        <v>184.98</v>
      </c>
      <c r="AB782" s="368">
        <v>0</v>
      </c>
      <c r="AC782" s="368">
        <v>0</v>
      </c>
      <c r="AD782" s="368">
        <v>0</v>
      </c>
      <c r="AE782" s="368">
        <v>0</v>
      </c>
      <c r="AF782" s="396">
        <v>0</v>
      </c>
      <c r="AG782" s="368">
        <v>0</v>
      </c>
      <c r="AH782" s="396">
        <v>0</v>
      </c>
      <c r="AI782" s="368">
        <v>0</v>
      </c>
      <c r="AJ782" s="396">
        <v>0</v>
      </c>
      <c r="AK782" s="368">
        <v>0</v>
      </c>
      <c r="AL782" s="368">
        <v>0</v>
      </c>
      <c r="AM782" s="368">
        <v>0</v>
      </c>
      <c r="AN782" s="368"/>
      <c r="AO782" s="368">
        <v>0</v>
      </c>
    </row>
    <row r="783" spans="1:41" s="152" customFormat="1" ht="36" customHeight="1" x14ac:dyDescent="0.9">
      <c r="A783" s="152">
        <v>1</v>
      </c>
      <c r="B783" s="90">
        <f>SUBTOTAL(103,$A$554:A783)</f>
        <v>227</v>
      </c>
      <c r="C783" s="89" t="s">
        <v>795</v>
      </c>
      <c r="D783" s="163">
        <v>1961</v>
      </c>
      <c r="E783" s="163"/>
      <c r="F783" s="168" t="s">
        <v>270</v>
      </c>
      <c r="G783" s="163">
        <v>3</v>
      </c>
      <c r="H783" s="163">
        <v>2</v>
      </c>
      <c r="I783" s="164">
        <v>1044</v>
      </c>
      <c r="J783" s="164">
        <v>968.1</v>
      </c>
      <c r="K783" s="164">
        <v>968.1</v>
      </c>
      <c r="L783" s="165">
        <v>46</v>
      </c>
      <c r="M783" s="163" t="s">
        <v>268</v>
      </c>
      <c r="N783" s="163" t="s">
        <v>272</v>
      </c>
      <c r="O783" s="166" t="s">
        <v>814</v>
      </c>
      <c r="P783" s="167">
        <v>110000</v>
      </c>
      <c r="Q783" s="167">
        <v>0</v>
      </c>
      <c r="R783" s="167">
        <v>0</v>
      </c>
      <c r="S783" s="167">
        <f t="shared" si="224"/>
        <v>110000</v>
      </c>
      <c r="T783" s="167">
        <f t="shared" si="222"/>
        <v>105.3639846743295</v>
      </c>
      <c r="U783" s="167">
        <v>105.3639846743295</v>
      </c>
      <c r="V783" s="149">
        <f t="shared" si="223"/>
        <v>0</v>
      </c>
      <c r="W783" s="149">
        <f t="shared" ref="W783:W793" si="228">T783</f>
        <v>105.3639846743295</v>
      </c>
      <c r="X783" s="149">
        <v>0</v>
      </c>
      <c r="Y783" s="368">
        <v>0</v>
      </c>
      <c r="Z783" s="368">
        <v>0</v>
      </c>
      <c r="AA783" s="368">
        <v>0</v>
      </c>
      <c r="AB783" s="368">
        <v>0</v>
      </c>
      <c r="AC783" s="368">
        <v>0</v>
      </c>
      <c r="AD783" s="368">
        <v>0</v>
      </c>
      <c r="AE783" s="368">
        <v>0</v>
      </c>
      <c r="AF783" s="396">
        <v>0</v>
      </c>
      <c r="AG783" s="368">
        <v>0</v>
      </c>
      <c r="AH783" s="396">
        <v>0</v>
      </c>
      <c r="AI783" s="368">
        <v>0</v>
      </c>
      <c r="AJ783" s="396">
        <v>0</v>
      </c>
      <c r="AK783" s="368">
        <v>0</v>
      </c>
      <c r="AL783" s="368">
        <v>0</v>
      </c>
      <c r="AM783" s="368">
        <v>0</v>
      </c>
      <c r="AN783" s="368"/>
      <c r="AO783" s="368">
        <v>0</v>
      </c>
    </row>
    <row r="784" spans="1:41" s="152" customFormat="1" ht="36" customHeight="1" x14ac:dyDescent="0.9">
      <c r="A784" s="152">
        <v>1</v>
      </c>
      <c r="B784" s="90">
        <f>SUBTOTAL(103,$A$554:A784)</f>
        <v>228</v>
      </c>
      <c r="C784" s="89" t="s">
        <v>796</v>
      </c>
      <c r="D784" s="163">
        <v>1960</v>
      </c>
      <c r="E784" s="163"/>
      <c r="F784" s="168" t="s">
        <v>270</v>
      </c>
      <c r="G784" s="163">
        <v>2</v>
      </c>
      <c r="H784" s="163">
        <v>2</v>
      </c>
      <c r="I784" s="164">
        <v>711.5</v>
      </c>
      <c r="J784" s="164">
        <v>515.1</v>
      </c>
      <c r="K784" s="164">
        <v>515.1</v>
      </c>
      <c r="L784" s="165">
        <v>13</v>
      </c>
      <c r="M784" s="163" t="s">
        <v>268</v>
      </c>
      <c r="N784" s="163" t="s">
        <v>269</v>
      </c>
      <c r="O784" s="166" t="s">
        <v>271</v>
      </c>
      <c r="P784" s="167">
        <v>110000</v>
      </c>
      <c r="Q784" s="167">
        <v>0</v>
      </c>
      <c r="R784" s="167">
        <v>0</v>
      </c>
      <c r="S784" s="167">
        <f t="shared" si="224"/>
        <v>110000</v>
      </c>
      <c r="T784" s="167">
        <f t="shared" si="222"/>
        <v>154.60295151089247</v>
      </c>
      <c r="U784" s="167">
        <v>154.60295151089247</v>
      </c>
      <c r="V784" s="149">
        <f t="shared" si="223"/>
        <v>0</v>
      </c>
      <c r="W784" s="149">
        <f t="shared" si="228"/>
        <v>154.60295151089247</v>
      </c>
      <c r="X784" s="149">
        <v>0</v>
      </c>
      <c r="Y784" s="368">
        <v>0</v>
      </c>
      <c r="Z784" s="368">
        <v>0</v>
      </c>
      <c r="AA784" s="368">
        <v>0</v>
      </c>
      <c r="AB784" s="368">
        <v>0</v>
      </c>
      <c r="AC784" s="368">
        <v>0</v>
      </c>
      <c r="AD784" s="368">
        <v>0</v>
      </c>
      <c r="AE784" s="368">
        <v>0</v>
      </c>
      <c r="AF784" s="396">
        <v>0</v>
      </c>
      <c r="AG784" s="368">
        <v>0</v>
      </c>
      <c r="AH784" s="396">
        <v>0</v>
      </c>
      <c r="AI784" s="368">
        <v>0</v>
      </c>
      <c r="AJ784" s="396">
        <v>0</v>
      </c>
      <c r="AK784" s="368">
        <v>0</v>
      </c>
      <c r="AL784" s="368">
        <v>0</v>
      </c>
      <c r="AM784" s="368">
        <v>0</v>
      </c>
      <c r="AN784" s="368"/>
      <c r="AO784" s="368">
        <v>0</v>
      </c>
    </row>
    <row r="785" spans="1:41" s="152" customFormat="1" ht="36" customHeight="1" x14ac:dyDescent="0.9">
      <c r="A785" s="152">
        <v>1</v>
      </c>
      <c r="B785" s="90">
        <f>SUBTOTAL(103,$A$554:A785)</f>
        <v>229</v>
      </c>
      <c r="C785" s="89" t="s">
        <v>1092</v>
      </c>
      <c r="D785" s="163">
        <v>1962</v>
      </c>
      <c r="E785" s="163"/>
      <c r="F785" s="168" t="s">
        <v>270</v>
      </c>
      <c r="G785" s="163">
        <v>4</v>
      </c>
      <c r="H785" s="163">
        <v>2</v>
      </c>
      <c r="I785" s="164">
        <v>1321.3</v>
      </c>
      <c r="J785" s="164">
        <v>1280</v>
      </c>
      <c r="K785" s="164">
        <v>975</v>
      </c>
      <c r="L785" s="165">
        <v>60</v>
      </c>
      <c r="M785" s="163" t="s">
        <v>268</v>
      </c>
      <c r="N785" s="163" t="s">
        <v>272</v>
      </c>
      <c r="O785" s="166" t="s">
        <v>818</v>
      </c>
      <c r="P785" s="167">
        <v>110000</v>
      </c>
      <c r="Q785" s="167">
        <v>0</v>
      </c>
      <c r="R785" s="167">
        <v>0</v>
      </c>
      <c r="S785" s="167">
        <f t="shared" si="224"/>
        <v>110000</v>
      </c>
      <c r="T785" s="167">
        <f t="shared" si="222"/>
        <v>83.251343373949894</v>
      </c>
      <c r="U785" s="167">
        <v>83.251343373949908</v>
      </c>
      <c r="V785" s="149">
        <f t="shared" si="223"/>
        <v>0</v>
      </c>
      <c r="W785" s="149">
        <f t="shared" si="228"/>
        <v>83.251343373949894</v>
      </c>
      <c r="X785" s="149">
        <v>0</v>
      </c>
      <c r="Y785" s="368">
        <v>0</v>
      </c>
      <c r="Z785" s="368">
        <v>0</v>
      </c>
      <c r="AA785" s="368">
        <v>0</v>
      </c>
      <c r="AB785" s="368">
        <v>0</v>
      </c>
      <c r="AC785" s="368">
        <v>0</v>
      </c>
      <c r="AD785" s="368">
        <v>0</v>
      </c>
      <c r="AE785" s="368">
        <v>0</v>
      </c>
      <c r="AF785" s="396">
        <v>0</v>
      </c>
      <c r="AG785" s="368">
        <v>0</v>
      </c>
      <c r="AH785" s="396">
        <v>0</v>
      </c>
      <c r="AI785" s="368">
        <v>0</v>
      </c>
      <c r="AJ785" s="396">
        <v>0</v>
      </c>
      <c r="AK785" s="368">
        <v>0</v>
      </c>
      <c r="AL785" s="368">
        <v>0</v>
      </c>
      <c r="AM785" s="368">
        <v>0</v>
      </c>
      <c r="AN785" s="368"/>
      <c r="AO785" s="368">
        <v>0</v>
      </c>
    </row>
    <row r="786" spans="1:41" s="152" customFormat="1" ht="36" customHeight="1" x14ac:dyDescent="0.9">
      <c r="A786" s="152">
        <v>1</v>
      </c>
      <c r="B786" s="90">
        <f>SUBTOTAL(103,$A$554:A786)</f>
        <v>230</v>
      </c>
      <c r="C786" s="89" t="s">
        <v>798</v>
      </c>
      <c r="D786" s="163">
        <v>1991</v>
      </c>
      <c r="E786" s="163"/>
      <c r="F786" s="168" t="s">
        <v>322</v>
      </c>
      <c r="G786" s="163">
        <v>9</v>
      </c>
      <c r="H786" s="163">
        <v>4</v>
      </c>
      <c r="I786" s="164">
        <v>10990.1</v>
      </c>
      <c r="J786" s="164">
        <v>7793.3</v>
      </c>
      <c r="K786" s="164">
        <v>7793.3</v>
      </c>
      <c r="L786" s="165">
        <v>318</v>
      </c>
      <c r="M786" s="163" t="s">
        <v>268</v>
      </c>
      <c r="N786" s="163" t="s">
        <v>272</v>
      </c>
      <c r="O786" s="166" t="s">
        <v>820</v>
      </c>
      <c r="P786" s="167">
        <v>120000</v>
      </c>
      <c r="Q786" s="167">
        <v>0</v>
      </c>
      <c r="R786" s="167">
        <v>0</v>
      </c>
      <c r="S786" s="167">
        <f t="shared" si="224"/>
        <v>120000</v>
      </c>
      <c r="T786" s="167">
        <f t="shared" si="222"/>
        <v>10.918917935232619</v>
      </c>
      <c r="U786" s="167">
        <v>10.918917935232619</v>
      </c>
      <c r="V786" s="149">
        <f t="shared" si="223"/>
        <v>0</v>
      </c>
      <c r="W786" s="149">
        <f t="shared" si="228"/>
        <v>10.918917935232619</v>
      </c>
      <c r="X786" s="149">
        <v>0</v>
      </c>
      <c r="Y786" s="368">
        <v>0</v>
      </c>
      <c r="Z786" s="368">
        <v>0</v>
      </c>
      <c r="AA786" s="368">
        <v>0</v>
      </c>
      <c r="AB786" s="368">
        <v>0</v>
      </c>
      <c r="AC786" s="368">
        <v>0</v>
      </c>
      <c r="AD786" s="368">
        <v>0</v>
      </c>
      <c r="AE786" s="368">
        <v>0</v>
      </c>
      <c r="AF786" s="396">
        <v>0</v>
      </c>
      <c r="AG786" s="368">
        <v>0</v>
      </c>
      <c r="AH786" s="396">
        <v>0</v>
      </c>
      <c r="AI786" s="368">
        <v>0</v>
      </c>
      <c r="AJ786" s="396">
        <v>0</v>
      </c>
      <c r="AK786" s="368">
        <v>0</v>
      </c>
      <c r="AL786" s="368">
        <v>0</v>
      </c>
      <c r="AM786" s="368">
        <v>0</v>
      </c>
      <c r="AN786" s="368"/>
      <c r="AO786" s="368">
        <v>0</v>
      </c>
    </row>
    <row r="787" spans="1:41" s="152" customFormat="1" ht="36" customHeight="1" x14ac:dyDescent="0.9">
      <c r="A787" s="152">
        <v>1</v>
      </c>
      <c r="B787" s="90">
        <f>SUBTOTAL(103,$A$554:A787)</f>
        <v>231</v>
      </c>
      <c r="C787" s="89" t="s">
        <v>800</v>
      </c>
      <c r="D787" s="163">
        <v>1937</v>
      </c>
      <c r="E787" s="163"/>
      <c r="F787" s="168" t="s">
        <v>270</v>
      </c>
      <c r="G787" s="163">
        <v>3</v>
      </c>
      <c r="H787" s="163">
        <v>4</v>
      </c>
      <c r="I787" s="164">
        <v>2758</v>
      </c>
      <c r="J787" s="164">
        <v>1462.7</v>
      </c>
      <c r="K787" s="164">
        <v>1347.2</v>
      </c>
      <c r="L787" s="165">
        <v>62</v>
      </c>
      <c r="M787" s="163" t="s">
        <v>268</v>
      </c>
      <c r="N787" s="163" t="s">
        <v>272</v>
      </c>
      <c r="O787" s="166" t="s">
        <v>818</v>
      </c>
      <c r="P787" s="167">
        <v>140000</v>
      </c>
      <c r="Q787" s="167">
        <v>0</v>
      </c>
      <c r="R787" s="167">
        <v>0</v>
      </c>
      <c r="S787" s="167">
        <f t="shared" si="224"/>
        <v>140000</v>
      </c>
      <c r="T787" s="167">
        <f t="shared" si="222"/>
        <v>50.761421319796952</v>
      </c>
      <c r="U787" s="167">
        <v>50.761421319796952</v>
      </c>
      <c r="V787" s="149">
        <f t="shared" si="223"/>
        <v>0</v>
      </c>
      <c r="W787" s="149">
        <f t="shared" si="228"/>
        <v>50.761421319796952</v>
      </c>
      <c r="X787" s="149">
        <v>0</v>
      </c>
      <c r="Y787" s="368">
        <v>0</v>
      </c>
      <c r="Z787" s="368">
        <v>0</v>
      </c>
      <c r="AA787" s="368">
        <v>0</v>
      </c>
      <c r="AB787" s="368">
        <v>0</v>
      </c>
      <c r="AC787" s="368">
        <v>0</v>
      </c>
      <c r="AD787" s="368">
        <v>0</v>
      </c>
      <c r="AE787" s="368">
        <v>0</v>
      </c>
      <c r="AF787" s="396">
        <v>0</v>
      </c>
      <c r="AG787" s="368">
        <v>0</v>
      </c>
      <c r="AH787" s="396">
        <v>0</v>
      </c>
      <c r="AI787" s="368">
        <v>0</v>
      </c>
      <c r="AJ787" s="396">
        <v>0</v>
      </c>
      <c r="AK787" s="368">
        <v>0</v>
      </c>
      <c r="AL787" s="368">
        <v>0</v>
      </c>
      <c r="AM787" s="368">
        <v>0</v>
      </c>
      <c r="AN787" s="368"/>
      <c r="AO787" s="368">
        <v>0</v>
      </c>
    </row>
    <row r="788" spans="1:41" s="152" customFormat="1" ht="36" customHeight="1" x14ac:dyDescent="0.9">
      <c r="A788" s="152">
        <v>1</v>
      </c>
      <c r="B788" s="90">
        <f>SUBTOTAL(103,$A$554:A788)</f>
        <v>232</v>
      </c>
      <c r="C788" s="89" t="s">
        <v>801</v>
      </c>
      <c r="D788" s="163">
        <v>1959</v>
      </c>
      <c r="E788" s="163"/>
      <c r="F788" s="168" t="s">
        <v>270</v>
      </c>
      <c r="G788" s="163">
        <v>4</v>
      </c>
      <c r="H788" s="163">
        <v>2</v>
      </c>
      <c r="I788" s="164">
        <v>1352</v>
      </c>
      <c r="J788" s="164">
        <v>809</v>
      </c>
      <c r="K788" s="164">
        <v>809</v>
      </c>
      <c r="L788" s="165">
        <v>67</v>
      </c>
      <c r="M788" s="163" t="s">
        <v>268</v>
      </c>
      <c r="N788" s="163" t="s">
        <v>272</v>
      </c>
      <c r="O788" s="166" t="s">
        <v>818</v>
      </c>
      <c r="P788" s="167">
        <v>110000</v>
      </c>
      <c r="Q788" s="167">
        <v>0</v>
      </c>
      <c r="R788" s="167">
        <v>0</v>
      </c>
      <c r="S788" s="167">
        <f t="shared" si="224"/>
        <v>110000</v>
      </c>
      <c r="T788" s="167">
        <f t="shared" si="222"/>
        <v>81.360946745562131</v>
      </c>
      <c r="U788" s="167">
        <v>81.360946745562131</v>
      </c>
      <c r="V788" s="149">
        <f t="shared" si="223"/>
        <v>0</v>
      </c>
      <c r="W788" s="149">
        <f t="shared" si="228"/>
        <v>81.360946745562131</v>
      </c>
      <c r="X788" s="149">
        <v>0</v>
      </c>
      <c r="Y788" s="368">
        <v>0</v>
      </c>
      <c r="Z788" s="368">
        <v>0</v>
      </c>
      <c r="AA788" s="368">
        <v>0</v>
      </c>
      <c r="AB788" s="368">
        <v>0</v>
      </c>
      <c r="AC788" s="368">
        <v>0</v>
      </c>
      <c r="AD788" s="368">
        <v>0</v>
      </c>
      <c r="AE788" s="368">
        <v>0</v>
      </c>
      <c r="AF788" s="396">
        <v>0</v>
      </c>
      <c r="AG788" s="368">
        <v>0</v>
      </c>
      <c r="AH788" s="396">
        <v>0</v>
      </c>
      <c r="AI788" s="368">
        <v>0</v>
      </c>
      <c r="AJ788" s="396">
        <v>0</v>
      </c>
      <c r="AK788" s="368">
        <v>0</v>
      </c>
      <c r="AL788" s="368">
        <v>0</v>
      </c>
      <c r="AM788" s="368">
        <v>0</v>
      </c>
      <c r="AN788" s="368"/>
      <c r="AO788" s="368">
        <v>0</v>
      </c>
    </row>
    <row r="789" spans="1:41" s="152" customFormat="1" ht="36" customHeight="1" x14ac:dyDescent="0.9">
      <c r="A789" s="152">
        <v>1</v>
      </c>
      <c r="B789" s="90">
        <f>SUBTOTAL(103,$A$554:A789)</f>
        <v>233</v>
      </c>
      <c r="C789" s="89" t="s">
        <v>802</v>
      </c>
      <c r="D789" s="163">
        <v>1965</v>
      </c>
      <c r="E789" s="163"/>
      <c r="F789" s="168" t="s">
        <v>270</v>
      </c>
      <c r="G789" s="163">
        <v>5</v>
      </c>
      <c r="H789" s="163">
        <v>2</v>
      </c>
      <c r="I789" s="164">
        <v>2042.45</v>
      </c>
      <c r="J789" s="164">
        <v>1565</v>
      </c>
      <c r="K789" s="164">
        <v>1565</v>
      </c>
      <c r="L789" s="165">
        <v>65</v>
      </c>
      <c r="M789" s="163" t="s">
        <v>268</v>
      </c>
      <c r="N789" s="163" t="s">
        <v>272</v>
      </c>
      <c r="O789" s="166" t="s">
        <v>816</v>
      </c>
      <c r="P789" s="167">
        <v>110000</v>
      </c>
      <c r="Q789" s="167">
        <v>0</v>
      </c>
      <c r="R789" s="167">
        <v>0</v>
      </c>
      <c r="S789" s="167">
        <f t="shared" si="224"/>
        <v>110000</v>
      </c>
      <c r="T789" s="167">
        <f t="shared" si="222"/>
        <v>53.856887561507016</v>
      </c>
      <c r="U789" s="167">
        <v>53.856887561507016</v>
      </c>
      <c r="V789" s="149">
        <f t="shared" ref="V789:V793" si="229">U789-T789</f>
        <v>0</v>
      </c>
      <c r="W789" s="149">
        <f t="shared" si="228"/>
        <v>53.856887561507016</v>
      </c>
      <c r="X789" s="149">
        <v>0</v>
      </c>
      <c r="Y789" s="368">
        <v>0</v>
      </c>
      <c r="Z789" s="368">
        <v>0</v>
      </c>
      <c r="AA789" s="368">
        <v>0</v>
      </c>
      <c r="AB789" s="368">
        <v>0</v>
      </c>
      <c r="AC789" s="368">
        <v>0</v>
      </c>
      <c r="AD789" s="368">
        <v>0</v>
      </c>
      <c r="AE789" s="368">
        <v>0</v>
      </c>
      <c r="AF789" s="396">
        <v>0</v>
      </c>
      <c r="AG789" s="368">
        <v>0</v>
      </c>
      <c r="AH789" s="396">
        <v>0</v>
      </c>
      <c r="AI789" s="368">
        <v>0</v>
      </c>
      <c r="AJ789" s="396">
        <v>0</v>
      </c>
      <c r="AK789" s="368">
        <v>0</v>
      </c>
      <c r="AL789" s="368">
        <v>0</v>
      </c>
      <c r="AM789" s="368">
        <v>0</v>
      </c>
      <c r="AN789" s="368"/>
      <c r="AO789" s="368">
        <v>0</v>
      </c>
    </row>
    <row r="790" spans="1:41" s="152" customFormat="1" ht="36" customHeight="1" x14ac:dyDescent="0.9">
      <c r="A790" s="152">
        <v>1</v>
      </c>
      <c r="B790" s="90">
        <f>SUBTOTAL(103,$A$554:A790)</f>
        <v>234</v>
      </c>
      <c r="C790" s="89" t="s">
        <v>803</v>
      </c>
      <c r="D790" s="163">
        <v>1955</v>
      </c>
      <c r="E790" s="163"/>
      <c r="F790" s="168" t="s">
        <v>340</v>
      </c>
      <c r="G790" s="163">
        <v>2</v>
      </c>
      <c r="H790" s="163">
        <v>2</v>
      </c>
      <c r="I790" s="164">
        <v>685.7</v>
      </c>
      <c r="J790" s="164">
        <v>629.20000000000005</v>
      </c>
      <c r="K790" s="164">
        <v>629.20000000000005</v>
      </c>
      <c r="L790" s="165">
        <v>28</v>
      </c>
      <c r="M790" s="163" t="s">
        <v>268</v>
      </c>
      <c r="N790" s="163" t="s">
        <v>269</v>
      </c>
      <c r="O790" s="166" t="s">
        <v>271</v>
      </c>
      <c r="P790" s="167">
        <v>130000</v>
      </c>
      <c r="Q790" s="167">
        <v>0</v>
      </c>
      <c r="R790" s="167">
        <v>0</v>
      </c>
      <c r="S790" s="167">
        <f t="shared" si="224"/>
        <v>130000</v>
      </c>
      <c r="T790" s="167">
        <f t="shared" si="222"/>
        <v>189.58728306839726</v>
      </c>
      <c r="U790" s="167">
        <v>189.58728306839726</v>
      </c>
      <c r="V790" s="149">
        <f t="shared" si="229"/>
        <v>0</v>
      </c>
      <c r="W790" s="149">
        <f t="shared" si="228"/>
        <v>189.58728306839726</v>
      </c>
      <c r="X790" s="149">
        <v>0</v>
      </c>
      <c r="Y790" s="368">
        <v>0</v>
      </c>
      <c r="Z790" s="368">
        <v>0</v>
      </c>
      <c r="AA790" s="368">
        <v>0</v>
      </c>
      <c r="AB790" s="368">
        <v>0</v>
      </c>
      <c r="AC790" s="368">
        <v>0</v>
      </c>
      <c r="AD790" s="368">
        <v>0</v>
      </c>
      <c r="AE790" s="368">
        <v>0</v>
      </c>
      <c r="AF790" s="396">
        <v>0</v>
      </c>
      <c r="AG790" s="368">
        <v>0</v>
      </c>
      <c r="AH790" s="396">
        <v>0</v>
      </c>
      <c r="AI790" s="368">
        <v>0</v>
      </c>
      <c r="AJ790" s="396">
        <v>0</v>
      </c>
      <c r="AK790" s="368">
        <v>0</v>
      </c>
      <c r="AL790" s="368">
        <v>0</v>
      </c>
      <c r="AM790" s="368">
        <v>0</v>
      </c>
      <c r="AN790" s="368"/>
      <c r="AO790" s="368">
        <v>0</v>
      </c>
    </row>
    <row r="791" spans="1:41" s="152" customFormat="1" ht="36" customHeight="1" x14ac:dyDescent="0.9">
      <c r="A791" s="152">
        <v>1</v>
      </c>
      <c r="B791" s="90">
        <f>SUBTOTAL(103,$A$554:A791)</f>
        <v>235</v>
      </c>
      <c r="C791" s="89" t="s">
        <v>804</v>
      </c>
      <c r="D791" s="163">
        <v>1975</v>
      </c>
      <c r="E791" s="163"/>
      <c r="F791" s="168" t="s">
        <v>270</v>
      </c>
      <c r="G791" s="163">
        <v>5</v>
      </c>
      <c r="H791" s="163">
        <v>6</v>
      </c>
      <c r="I791" s="164">
        <v>6824.86</v>
      </c>
      <c r="J791" s="164">
        <v>4475.3</v>
      </c>
      <c r="K791" s="164">
        <v>4306.8999999999996</v>
      </c>
      <c r="L791" s="165">
        <v>160</v>
      </c>
      <c r="M791" s="163" t="s">
        <v>268</v>
      </c>
      <c r="N791" s="163" t="s">
        <v>272</v>
      </c>
      <c r="O791" s="166" t="s">
        <v>823</v>
      </c>
      <c r="P791" s="167">
        <v>200000</v>
      </c>
      <c r="Q791" s="167">
        <v>0</v>
      </c>
      <c r="R791" s="167">
        <v>0</v>
      </c>
      <c r="S791" s="167">
        <f t="shared" si="224"/>
        <v>200000</v>
      </c>
      <c r="T791" s="167">
        <f t="shared" si="222"/>
        <v>29.3046304246534</v>
      </c>
      <c r="U791" s="167">
        <v>29.3046304246534</v>
      </c>
      <c r="V791" s="149">
        <f t="shared" si="229"/>
        <v>0</v>
      </c>
      <c r="W791" s="149">
        <f t="shared" si="228"/>
        <v>29.3046304246534</v>
      </c>
      <c r="X791" s="149">
        <v>0</v>
      </c>
      <c r="Y791" s="368">
        <v>0</v>
      </c>
      <c r="Z791" s="368">
        <v>0</v>
      </c>
      <c r="AA791" s="368">
        <v>0</v>
      </c>
      <c r="AB791" s="368">
        <v>0</v>
      </c>
      <c r="AC791" s="368">
        <v>0</v>
      </c>
      <c r="AD791" s="368">
        <v>0</v>
      </c>
      <c r="AE791" s="368">
        <v>0</v>
      </c>
      <c r="AF791" s="396">
        <v>0</v>
      </c>
      <c r="AG791" s="368">
        <v>0</v>
      </c>
      <c r="AH791" s="396">
        <v>0</v>
      </c>
      <c r="AI791" s="368">
        <v>0</v>
      </c>
      <c r="AJ791" s="396">
        <v>0</v>
      </c>
      <c r="AK791" s="368">
        <v>0</v>
      </c>
      <c r="AL791" s="368">
        <v>0</v>
      </c>
      <c r="AM791" s="368">
        <v>0</v>
      </c>
      <c r="AN791" s="368"/>
      <c r="AO791" s="368">
        <v>0</v>
      </c>
    </row>
    <row r="792" spans="1:41" s="152" customFormat="1" ht="36" customHeight="1" x14ac:dyDescent="0.9">
      <c r="A792" s="152">
        <v>1</v>
      </c>
      <c r="B792" s="90">
        <f>SUBTOTAL(103,$A$554:A792)</f>
        <v>236</v>
      </c>
      <c r="C792" s="89" t="s">
        <v>826</v>
      </c>
      <c r="D792" s="163">
        <v>1959</v>
      </c>
      <c r="E792" s="163"/>
      <c r="F792" s="168" t="s">
        <v>270</v>
      </c>
      <c r="G792" s="163">
        <v>2</v>
      </c>
      <c r="H792" s="163">
        <v>1</v>
      </c>
      <c r="I792" s="164">
        <v>309.2</v>
      </c>
      <c r="J792" s="164">
        <v>287.5</v>
      </c>
      <c r="K792" s="164">
        <v>287.5</v>
      </c>
      <c r="L792" s="165">
        <v>14</v>
      </c>
      <c r="M792" s="163" t="s">
        <v>268</v>
      </c>
      <c r="N792" s="163" t="s">
        <v>272</v>
      </c>
      <c r="O792" s="166" t="s">
        <v>1000</v>
      </c>
      <c r="P792" s="167">
        <v>80000</v>
      </c>
      <c r="Q792" s="167">
        <v>0</v>
      </c>
      <c r="R792" s="167">
        <v>0</v>
      </c>
      <c r="S792" s="167">
        <f t="shared" si="224"/>
        <v>80000</v>
      </c>
      <c r="T792" s="167">
        <f t="shared" si="222"/>
        <v>258.73221216041401</v>
      </c>
      <c r="U792" s="167">
        <v>258.73221216041401</v>
      </c>
      <c r="V792" s="149">
        <f t="shared" si="229"/>
        <v>0</v>
      </c>
      <c r="W792" s="149">
        <f t="shared" si="228"/>
        <v>258.73221216041401</v>
      </c>
      <c r="X792" s="149">
        <v>0</v>
      </c>
      <c r="Y792" s="368">
        <v>0</v>
      </c>
      <c r="Z792" s="368">
        <v>0</v>
      </c>
      <c r="AA792" s="368">
        <v>0</v>
      </c>
      <c r="AB792" s="368">
        <v>0</v>
      </c>
      <c r="AC792" s="368">
        <v>0</v>
      </c>
      <c r="AD792" s="368">
        <v>0</v>
      </c>
      <c r="AE792" s="368">
        <v>0</v>
      </c>
      <c r="AF792" s="396">
        <v>0</v>
      </c>
      <c r="AG792" s="368">
        <v>0</v>
      </c>
      <c r="AH792" s="396">
        <v>0</v>
      </c>
      <c r="AI792" s="368">
        <v>0</v>
      </c>
      <c r="AJ792" s="396">
        <v>0</v>
      </c>
      <c r="AK792" s="368">
        <v>0</v>
      </c>
      <c r="AL792" s="368">
        <v>0</v>
      </c>
      <c r="AM792" s="368">
        <v>0</v>
      </c>
      <c r="AN792" s="368"/>
      <c r="AO792" s="368">
        <v>0</v>
      </c>
    </row>
    <row r="793" spans="1:41" s="152" customFormat="1" ht="36" customHeight="1" x14ac:dyDescent="0.9">
      <c r="A793" s="152">
        <v>1</v>
      </c>
      <c r="B793" s="90">
        <f>SUBTOTAL(103,$A$554:A793)</f>
        <v>237</v>
      </c>
      <c r="C793" s="89" t="s">
        <v>1625</v>
      </c>
      <c r="D793" s="163">
        <v>1958</v>
      </c>
      <c r="E793" s="163"/>
      <c r="F793" s="168" t="s">
        <v>270</v>
      </c>
      <c r="G793" s="163">
        <v>2</v>
      </c>
      <c r="H793" s="163">
        <v>2</v>
      </c>
      <c r="I793" s="164">
        <v>445.5</v>
      </c>
      <c r="J793" s="164">
        <v>297.3</v>
      </c>
      <c r="K793" s="164">
        <v>297.3</v>
      </c>
      <c r="L793" s="165">
        <v>17</v>
      </c>
      <c r="M793" s="163" t="s">
        <v>268</v>
      </c>
      <c r="N793" s="163" t="s">
        <v>269</v>
      </c>
      <c r="O793" s="166" t="s">
        <v>271</v>
      </c>
      <c r="P793" s="167">
        <v>100000</v>
      </c>
      <c r="Q793" s="167">
        <v>0</v>
      </c>
      <c r="R793" s="167">
        <v>0</v>
      </c>
      <c r="S793" s="167">
        <f t="shared" si="224"/>
        <v>100000</v>
      </c>
      <c r="T793" s="167">
        <f t="shared" si="222"/>
        <v>224.46689113355779</v>
      </c>
      <c r="U793" s="167">
        <v>224.46689113355779</v>
      </c>
      <c r="V793" s="149">
        <f t="shared" si="229"/>
        <v>0</v>
      </c>
      <c r="W793" s="149">
        <f t="shared" si="228"/>
        <v>224.46689113355779</v>
      </c>
      <c r="X793" s="149">
        <v>0</v>
      </c>
      <c r="Y793" s="368">
        <v>0</v>
      </c>
      <c r="Z793" s="368">
        <v>0</v>
      </c>
      <c r="AA793" s="368">
        <v>0</v>
      </c>
      <c r="AB793" s="368">
        <v>0</v>
      </c>
      <c r="AC793" s="368">
        <v>0</v>
      </c>
      <c r="AD793" s="368">
        <v>0</v>
      </c>
      <c r="AE793" s="368">
        <v>0</v>
      </c>
      <c r="AF793" s="396">
        <v>0</v>
      </c>
      <c r="AG793" s="368">
        <v>0</v>
      </c>
      <c r="AH793" s="396">
        <v>0</v>
      </c>
      <c r="AI793" s="368">
        <v>0</v>
      </c>
      <c r="AJ793" s="396">
        <v>0</v>
      </c>
      <c r="AK793" s="368">
        <v>0</v>
      </c>
      <c r="AL793" s="368">
        <v>0</v>
      </c>
      <c r="AM793" s="368">
        <v>0</v>
      </c>
      <c r="AN793" s="368"/>
      <c r="AO793" s="368">
        <v>0</v>
      </c>
    </row>
    <row r="794" spans="1:41" s="152" customFormat="1" ht="36" customHeight="1" x14ac:dyDescent="0.9">
      <c r="B794" s="382" t="s">
        <v>771</v>
      </c>
      <c r="C794" s="388"/>
      <c r="D794" s="384" t="s">
        <v>903</v>
      </c>
      <c r="E794" s="163" t="s">
        <v>903</v>
      </c>
      <c r="F794" s="384" t="s">
        <v>903</v>
      </c>
      <c r="G794" s="384" t="s">
        <v>903</v>
      </c>
      <c r="H794" s="163" t="s">
        <v>903</v>
      </c>
      <c r="I794" s="386">
        <f>SUM(I795:I799)</f>
        <v>36347.64</v>
      </c>
      <c r="J794" s="164">
        <f>SUM(J795:J799)</f>
        <v>32373.7</v>
      </c>
      <c r="K794" s="164">
        <f>SUM(K795:K799)</f>
        <v>31391.65</v>
      </c>
      <c r="L794" s="165">
        <f>SUM(L795:L799)</f>
        <v>1590</v>
      </c>
      <c r="M794" s="163" t="s">
        <v>903</v>
      </c>
      <c r="N794" s="163" t="s">
        <v>903</v>
      </c>
      <c r="O794" s="166" t="s">
        <v>903</v>
      </c>
      <c r="P794" s="386">
        <v>47943565.089999996</v>
      </c>
      <c r="Q794" s="164">
        <f>SUM(Q795:Q799)</f>
        <v>0</v>
      </c>
      <c r="R794" s="164">
        <f>SUM(R795:R799)</f>
        <v>0</v>
      </c>
      <c r="S794" s="164">
        <f>SUM(S795:S799)</f>
        <v>47943565.089999996</v>
      </c>
      <c r="T794" s="387">
        <f t="shared" si="222"/>
        <v>1319.0282805155987</v>
      </c>
      <c r="U794" s="387">
        <f>MAX(U795:U799)</f>
        <v>5506.3531291305098</v>
      </c>
      <c r="V794" s="149">
        <f t="shared" ref="V794:V852" si="230">U794-T794</f>
        <v>4187.3248486149114</v>
      </c>
      <c r="W794" s="149"/>
      <c r="X794" s="149"/>
      <c r="Y794" s="368"/>
      <c r="Z794" s="368"/>
      <c r="AA794" s="368"/>
      <c r="AB794" s="368"/>
      <c r="AC794" s="368"/>
      <c r="AD794" s="368"/>
      <c r="AE794" s="368"/>
      <c r="AF794" s="368"/>
      <c r="AG794" s="368"/>
      <c r="AH794" s="368"/>
      <c r="AI794" s="368"/>
      <c r="AJ794" s="368"/>
      <c r="AK794" s="368"/>
      <c r="AL794" s="368"/>
      <c r="AM794" s="368"/>
      <c r="AN794" s="368"/>
      <c r="AO794" s="368"/>
    </row>
    <row r="795" spans="1:41" s="152" customFormat="1" ht="36" customHeight="1" x14ac:dyDescent="0.9">
      <c r="A795" s="152">
        <v>1</v>
      </c>
      <c r="B795" s="90">
        <f>SUBTOTAL(103,$A$554:A795)</f>
        <v>238</v>
      </c>
      <c r="C795" s="89" t="s">
        <v>388</v>
      </c>
      <c r="D795" s="163">
        <v>1982</v>
      </c>
      <c r="E795" s="163">
        <v>2015</v>
      </c>
      <c r="F795" s="168" t="s">
        <v>322</v>
      </c>
      <c r="G795" s="163">
        <v>9</v>
      </c>
      <c r="H795" s="163">
        <v>4</v>
      </c>
      <c r="I795" s="164">
        <v>8597</v>
      </c>
      <c r="J795" s="164">
        <v>7716.1</v>
      </c>
      <c r="K795" s="164">
        <v>7419.5</v>
      </c>
      <c r="L795" s="165">
        <v>358</v>
      </c>
      <c r="M795" s="163" t="s">
        <v>268</v>
      </c>
      <c r="N795" s="163" t="s">
        <v>272</v>
      </c>
      <c r="O795" s="166" t="s">
        <v>323</v>
      </c>
      <c r="P795" s="167">
        <v>8993212</v>
      </c>
      <c r="Q795" s="167">
        <v>0</v>
      </c>
      <c r="R795" s="167">
        <v>0</v>
      </c>
      <c r="S795" s="167">
        <f>P795-Q795-R795</f>
        <v>8993212</v>
      </c>
      <c r="T795" s="167">
        <f t="shared" si="222"/>
        <v>1046.0872397347912</v>
      </c>
      <c r="U795" s="167">
        <v>1143.561707572409</v>
      </c>
      <c r="V795" s="149">
        <f t="shared" si="230"/>
        <v>97.474467837617794</v>
      </c>
      <c r="W795" s="149">
        <f t="shared" ref="W795:W799" si="231">X795+Y795+Z795+AA795+AB795+AD795+AF795+AH795+AJ795+AL795+AN795+AO795</f>
        <v>1143.561707572409</v>
      </c>
      <c r="X795" s="149">
        <v>0</v>
      </c>
      <c r="Y795" s="368">
        <v>0</v>
      </c>
      <c r="Z795" s="368">
        <v>0</v>
      </c>
      <c r="AA795" s="368">
        <v>0</v>
      </c>
      <c r="AB795" s="368">
        <v>0</v>
      </c>
      <c r="AC795" s="368">
        <v>4</v>
      </c>
      <c r="AD795" s="396">
        <f>2457800*AC795/I795</f>
        <v>1143.561707572409</v>
      </c>
      <c r="AE795" s="368">
        <v>0</v>
      </c>
      <c r="AF795" s="396">
        <v>0</v>
      </c>
      <c r="AG795" s="368">
        <v>0</v>
      </c>
      <c r="AH795" s="396">
        <v>0</v>
      </c>
      <c r="AI795" s="368">
        <v>0</v>
      </c>
      <c r="AJ795" s="396">
        <v>0</v>
      </c>
      <c r="AK795" s="368">
        <v>0</v>
      </c>
      <c r="AL795" s="368">
        <v>0</v>
      </c>
      <c r="AM795" s="368">
        <v>0</v>
      </c>
      <c r="AN795" s="368"/>
      <c r="AO795" s="368">
        <v>0</v>
      </c>
    </row>
    <row r="796" spans="1:41" s="152" customFormat="1" ht="36" customHeight="1" x14ac:dyDescent="0.9">
      <c r="A796" s="152">
        <v>1</v>
      </c>
      <c r="B796" s="90">
        <f>SUBTOTAL(103,$A$554:A796)</f>
        <v>239</v>
      </c>
      <c r="C796" s="89" t="s">
        <v>1678</v>
      </c>
      <c r="D796" s="163">
        <v>1981</v>
      </c>
      <c r="E796" s="163">
        <v>2015</v>
      </c>
      <c r="F796" s="168" t="s">
        <v>322</v>
      </c>
      <c r="G796" s="163">
        <v>5</v>
      </c>
      <c r="H796" s="163">
        <v>5</v>
      </c>
      <c r="I796" s="164">
        <v>3967.3</v>
      </c>
      <c r="J796" s="164">
        <v>3426.1</v>
      </c>
      <c r="K796" s="164">
        <f>J796</f>
        <v>3426.1</v>
      </c>
      <c r="L796" s="165">
        <v>178</v>
      </c>
      <c r="M796" s="163" t="s">
        <v>268</v>
      </c>
      <c r="N796" s="163" t="s">
        <v>272</v>
      </c>
      <c r="O796" s="166" t="s">
        <v>324</v>
      </c>
      <c r="P796" s="167">
        <v>7201018.8100000005</v>
      </c>
      <c r="Q796" s="167">
        <v>0</v>
      </c>
      <c r="R796" s="167">
        <v>0</v>
      </c>
      <c r="S796" s="167">
        <f>P796-Q796-R796</f>
        <v>7201018.8100000005</v>
      </c>
      <c r="T796" s="167">
        <f t="shared" si="222"/>
        <v>1815.093088498475</v>
      </c>
      <c r="U796" s="167">
        <v>4586.9399999999996</v>
      </c>
      <c r="V796" s="149">
        <f t="shared" si="230"/>
        <v>2771.8469115015246</v>
      </c>
      <c r="W796" s="149">
        <f t="shared" si="231"/>
        <v>4586.9399999999996</v>
      </c>
      <c r="X796" s="149">
        <v>101.55</v>
      </c>
      <c r="Y796" s="368">
        <v>245.44</v>
      </c>
      <c r="Z796" s="368">
        <v>3259.66</v>
      </c>
      <c r="AA796" s="368">
        <v>184.98</v>
      </c>
      <c r="AB796" s="368">
        <v>795.31</v>
      </c>
      <c r="AC796" s="368">
        <v>0</v>
      </c>
      <c r="AD796" s="368">
        <v>0</v>
      </c>
      <c r="AE796" s="368">
        <v>0</v>
      </c>
      <c r="AF796" s="396">
        <v>0</v>
      </c>
      <c r="AG796" s="368">
        <v>0</v>
      </c>
      <c r="AH796" s="396">
        <v>0</v>
      </c>
      <c r="AI796" s="368">
        <v>0</v>
      </c>
      <c r="AJ796" s="396">
        <v>0</v>
      </c>
      <c r="AK796" s="368">
        <v>0</v>
      </c>
      <c r="AL796" s="368">
        <v>0</v>
      </c>
      <c r="AM796" s="368">
        <v>0</v>
      </c>
      <c r="AN796" s="368"/>
      <c r="AO796" s="368">
        <v>0</v>
      </c>
    </row>
    <row r="797" spans="1:41" s="152" customFormat="1" ht="36" customHeight="1" x14ac:dyDescent="0.9">
      <c r="A797" s="152">
        <v>1</v>
      </c>
      <c r="B797" s="90">
        <f>SUBTOTAL(103,$A$554:A797)</f>
        <v>240</v>
      </c>
      <c r="C797" s="89" t="s">
        <v>389</v>
      </c>
      <c r="D797" s="163">
        <v>1973</v>
      </c>
      <c r="E797" s="163">
        <v>2017</v>
      </c>
      <c r="F797" s="168" t="s">
        <v>322</v>
      </c>
      <c r="G797" s="163">
        <v>5</v>
      </c>
      <c r="H797" s="163">
        <v>5</v>
      </c>
      <c r="I797" s="164">
        <v>3822.1</v>
      </c>
      <c r="J797" s="164">
        <v>3359.9</v>
      </c>
      <c r="K797" s="164">
        <v>3299.3</v>
      </c>
      <c r="L797" s="165">
        <v>168</v>
      </c>
      <c r="M797" s="163" t="s">
        <v>268</v>
      </c>
      <c r="N797" s="163" t="s">
        <v>272</v>
      </c>
      <c r="O797" s="166" t="s">
        <v>324</v>
      </c>
      <c r="P797" s="167">
        <v>5661983.8399999999</v>
      </c>
      <c r="Q797" s="167">
        <v>0</v>
      </c>
      <c r="R797" s="167">
        <v>0</v>
      </c>
      <c r="S797" s="167">
        <f>P797-Q797-R797</f>
        <v>5661983.8399999999</v>
      </c>
      <c r="T797" s="167">
        <f t="shared" si="222"/>
        <v>1481.3803511158787</v>
      </c>
      <c r="U797" s="167">
        <v>5056.4571070877264</v>
      </c>
      <c r="V797" s="149">
        <f t="shared" si="230"/>
        <v>3575.0767559718479</v>
      </c>
      <c r="W797" s="149">
        <f t="shared" si="231"/>
        <v>5056.4571070877264</v>
      </c>
      <c r="X797" s="149">
        <v>0</v>
      </c>
      <c r="Y797" s="368">
        <v>0</v>
      </c>
      <c r="Z797" s="368">
        <v>0</v>
      </c>
      <c r="AA797" s="368">
        <v>0</v>
      </c>
      <c r="AB797" s="368">
        <v>0</v>
      </c>
      <c r="AC797" s="368">
        <v>0</v>
      </c>
      <c r="AD797" s="368">
        <v>0</v>
      </c>
      <c r="AE797" s="368">
        <v>0</v>
      </c>
      <c r="AF797" s="396">
        <v>0</v>
      </c>
      <c r="AG797" s="368">
        <v>0</v>
      </c>
      <c r="AH797" s="396">
        <v>0</v>
      </c>
      <c r="AI797" s="368">
        <v>2476.9</v>
      </c>
      <c r="AJ797" s="397">
        <f>7802.61*AI797/I797</f>
        <v>5056.4571070877264</v>
      </c>
      <c r="AK797" s="368">
        <v>0</v>
      </c>
      <c r="AL797" s="368">
        <v>0</v>
      </c>
      <c r="AM797" s="368">
        <v>0</v>
      </c>
      <c r="AN797" s="368"/>
      <c r="AO797" s="368">
        <v>0</v>
      </c>
    </row>
    <row r="798" spans="1:41" s="152" customFormat="1" ht="36" customHeight="1" x14ac:dyDescent="0.9">
      <c r="A798" s="152">
        <v>1</v>
      </c>
      <c r="B798" s="90">
        <f>SUBTOTAL(103,$A$554:A798)</f>
        <v>241</v>
      </c>
      <c r="C798" s="89" t="s">
        <v>1191</v>
      </c>
      <c r="D798" s="163">
        <v>1979</v>
      </c>
      <c r="E798" s="163">
        <v>2016</v>
      </c>
      <c r="F798" s="168" t="s">
        <v>322</v>
      </c>
      <c r="G798" s="163">
        <v>9</v>
      </c>
      <c r="H798" s="163">
        <v>4</v>
      </c>
      <c r="I798" s="167">
        <v>7780.54</v>
      </c>
      <c r="J798" s="167">
        <v>7022.3</v>
      </c>
      <c r="K798" s="167">
        <v>6468.65</v>
      </c>
      <c r="L798" s="165">
        <v>388</v>
      </c>
      <c r="M798" s="163" t="s">
        <v>268</v>
      </c>
      <c r="N798" s="163" t="s">
        <v>272</v>
      </c>
      <c r="O798" s="166" t="s">
        <v>323</v>
      </c>
      <c r="P798" s="167">
        <v>11772100.469999999</v>
      </c>
      <c r="Q798" s="167">
        <v>0</v>
      </c>
      <c r="R798" s="167">
        <v>0</v>
      </c>
      <c r="S798" s="167">
        <f>P798-Q798-R798</f>
        <v>11772100.469999999</v>
      </c>
      <c r="T798" s="167">
        <f t="shared" si="222"/>
        <v>1513.0184370236511</v>
      </c>
      <c r="U798" s="167">
        <v>3791.6299999999997</v>
      </c>
      <c r="V798" s="149">
        <f t="shared" si="230"/>
        <v>2278.6115629763485</v>
      </c>
      <c r="W798" s="149">
        <f t="shared" si="231"/>
        <v>3791.6299999999997</v>
      </c>
      <c r="X798" s="149">
        <v>101.55</v>
      </c>
      <c r="Y798" s="368">
        <v>245.44</v>
      </c>
      <c r="Z798" s="368">
        <v>3259.66</v>
      </c>
      <c r="AA798" s="368">
        <v>184.98</v>
      </c>
      <c r="AB798" s="368">
        <v>0</v>
      </c>
      <c r="AC798" s="368">
        <v>0</v>
      </c>
      <c r="AD798" s="368">
        <v>0</v>
      </c>
      <c r="AE798" s="368">
        <v>0</v>
      </c>
      <c r="AF798" s="396">
        <v>0</v>
      </c>
      <c r="AG798" s="368">
        <v>0</v>
      </c>
      <c r="AH798" s="396">
        <v>0</v>
      </c>
      <c r="AI798" s="368">
        <v>0</v>
      </c>
      <c r="AJ798" s="396">
        <v>0</v>
      </c>
      <c r="AK798" s="368">
        <v>0</v>
      </c>
      <c r="AL798" s="368">
        <v>0</v>
      </c>
      <c r="AM798" s="368">
        <v>0</v>
      </c>
      <c r="AN798" s="368"/>
      <c r="AO798" s="368">
        <v>0</v>
      </c>
    </row>
    <row r="799" spans="1:41" s="152" customFormat="1" ht="36" customHeight="1" x14ac:dyDescent="0.9">
      <c r="A799" s="152">
        <v>1</v>
      </c>
      <c r="B799" s="90">
        <f>SUBTOTAL(103,$A$554:A799)</f>
        <v>242</v>
      </c>
      <c r="C799" s="89" t="s">
        <v>387</v>
      </c>
      <c r="D799" s="163">
        <v>1980</v>
      </c>
      <c r="E799" s="163">
        <v>2015</v>
      </c>
      <c r="F799" s="168" t="s">
        <v>315</v>
      </c>
      <c r="G799" s="163">
        <v>9</v>
      </c>
      <c r="H799" s="163">
        <v>5</v>
      </c>
      <c r="I799" s="167">
        <v>12180.699999999999</v>
      </c>
      <c r="J799" s="167">
        <v>10849.3</v>
      </c>
      <c r="K799" s="167">
        <v>10778.1</v>
      </c>
      <c r="L799" s="165">
        <v>498</v>
      </c>
      <c r="M799" s="163" t="s">
        <v>268</v>
      </c>
      <c r="N799" s="163" t="s">
        <v>272</v>
      </c>
      <c r="O799" s="166" t="s">
        <v>323</v>
      </c>
      <c r="P799" s="167">
        <v>14315249.970000001</v>
      </c>
      <c r="Q799" s="167">
        <v>0</v>
      </c>
      <c r="R799" s="167">
        <v>0</v>
      </c>
      <c r="S799" s="167">
        <f>P799-Q799-R799</f>
        <v>14315249.970000001</v>
      </c>
      <c r="T799" s="167">
        <f t="shared" si="222"/>
        <v>1175.2403367622553</v>
      </c>
      <c r="U799" s="167">
        <v>5506.3531291305098</v>
      </c>
      <c r="V799" s="149">
        <f t="shared" si="230"/>
        <v>4331.1127923682543</v>
      </c>
      <c r="W799" s="149">
        <f t="shared" si="231"/>
        <v>5506.3531291305098</v>
      </c>
      <c r="X799" s="149">
        <v>0</v>
      </c>
      <c r="Y799" s="368">
        <v>0</v>
      </c>
      <c r="Z799" s="368">
        <v>0</v>
      </c>
      <c r="AA799" s="368">
        <v>0</v>
      </c>
      <c r="AB799" s="368">
        <v>0</v>
      </c>
      <c r="AC799" s="368">
        <v>0</v>
      </c>
      <c r="AD799" s="368">
        <v>0</v>
      </c>
      <c r="AE799" s="368">
        <v>0</v>
      </c>
      <c r="AF799" s="396">
        <v>0</v>
      </c>
      <c r="AG799" s="368">
        <v>0</v>
      </c>
      <c r="AH799" s="396">
        <v>0</v>
      </c>
      <c r="AI799" s="368">
        <v>8596</v>
      </c>
      <c r="AJ799" s="397">
        <f>7802.61*AI799/I799</f>
        <v>5506.3531291305098</v>
      </c>
      <c r="AK799" s="368">
        <v>0</v>
      </c>
      <c r="AL799" s="368">
        <v>0</v>
      </c>
      <c r="AM799" s="368">
        <v>0</v>
      </c>
      <c r="AN799" s="368"/>
      <c r="AO799" s="368">
        <v>0</v>
      </c>
    </row>
    <row r="800" spans="1:41" s="152" customFormat="1" ht="36" customHeight="1" x14ac:dyDescent="0.9">
      <c r="B800" s="382" t="s">
        <v>828</v>
      </c>
      <c r="C800" s="388"/>
      <c r="D800" s="384" t="s">
        <v>903</v>
      </c>
      <c r="E800" s="163" t="s">
        <v>903</v>
      </c>
      <c r="F800" s="384" t="s">
        <v>903</v>
      </c>
      <c r="G800" s="384" t="s">
        <v>903</v>
      </c>
      <c r="H800" s="163" t="s">
        <v>903</v>
      </c>
      <c r="I800" s="386">
        <f>SUM(I801:I819)</f>
        <v>42243.709999999992</v>
      </c>
      <c r="J800" s="164">
        <f>SUM(J801:J819)</f>
        <v>22092.04</v>
      </c>
      <c r="K800" s="164">
        <f>SUM(K801:K819)</f>
        <v>21862.140000000003</v>
      </c>
      <c r="L800" s="165">
        <f>SUM(L801:L819)</f>
        <v>1529</v>
      </c>
      <c r="M800" s="163" t="s">
        <v>903</v>
      </c>
      <c r="N800" s="163" t="s">
        <v>903</v>
      </c>
      <c r="O800" s="166" t="s">
        <v>903</v>
      </c>
      <c r="P800" s="386">
        <v>84154449.210000008</v>
      </c>
      <c r="Q800" s="164">
        <f>SUM(Q801:Q819)</f>
        <v>0</v>
      </c>
      <c r="R800" s="164">
        <f>SUM(R801:R819)</f>
        <v>0</v>
      </c>
      <c r="S800" s="164">
        <f>SUM(S801:S819)</f>
        <v>84154449.210000008</v>
      </c>
      <c r="T800" s="387">
        <f t="shared" si="222"/>
        <v>1992.1178610969544</v>
      </c>
      <c r="U800" s="387">
        <f>MAX(U801:U819)</f>
        <v>9856.9208221492281</v>
      </c>
      <c r="V800" s="149">
        <f t="shared" si="230"/>
        <v>7864.8029610522735</v>
      </c>
      <c r="W800" s="149"/>
      <c r="X800" s="149"/>
      <c r="Y800" s="368"/>
      <c r="Z800" s="368"/>
      <c r="AA800" s="368"/>
      <c r="AB800" s="368"/>
      <c r="AC800" s="368"/>
      <c r="AD800" s="368"/>
      <c r="AE800" s="368"/>
      <c r="AF800" s="368"/>
      <c r="AG800" s="368"/>
      <c r="AH800" s="368"/>
      <c r="AI800" s="368"/>
      <c r="AJ800" s="368"/>
      <c r="AK800" s="368"/>
      <c r="AL800" s="368"/>
      <c r="AM800" s="368"/>
      <c r="AN800" s="368"/>
      <c r="AO800" s="368"/>
    </row>
    <row r="801" spans="1:41" s="152" customFormat="1" ht="36" customHeight="1" x14ac:dyDescent="0.9">
      <c r="A801" s="152">
        <v>1</v>
      </c>
      <c r="B801" s="90">
        <f>SUBTOTAL(103,$A$554:A801)</f>
        <v>243</v>
      </c>
      <c r="C801" s="89" t="s">
        <v>619</v>
      </c>
      <c r="D801" s="163">
        <v>1965</v>
      </c>
      <c r="E801" s="163"/>
      <c r="F801" s="168" t="s">
        <v>270</v>
      </c>
      <c r="G801" s="163">
        <v>5</v>
      </c>
      <c r="H801" s="163">
        <v>4</v>
      </c>
      <c r="I801" s="164">
        <v>4109.6000000000004</v>
      </c>
      <c r="J801" s="164">
        <v>3177</v>
      </c>
      <c r="K801" s="164">
        <v>3176.6</v>
      </c>
      <c r="L801" s="165">
        <v>137</v>
      </c>
      <c r="M801" s="163" t="s">
        <v>268</v>
      </c>
      <c r="N801" s="163" t="s">
        <v>272</v>
      </c>
      <c r="O801" s="166" t="s">
        <v>1096</v>
      </c>
      <c r="P801" s="167">
        <v>4335833</v>
      </c>
      <c r="Q801" s="167">
        <v>0</v>
      </c>
      <c r="R801" s="167">
        <v>0</v>
      </c>
      <c r="S801" s="167">
        <f t="shared" ref="S801:S819" si="232">P801-Q801-R801</f>
        <v>4335833</v>
      </c>
      <c r="T801" s="167">
        <f t="shared" si="222"/>
        <v>1055.0498832003113</v>
      </c>
      <c r="U801" s="167">
        <v>1173.5150452598791</v>
      </c>
      <c r="V801" s="149">
        <f t="shared" si="230"/>
        <v>118.46516205956777</v>
      </c>
      <c r="W801" s="149">
        <f t="shared" ref="W801:W819" si="233">X801+Y801+Z801+AA801+AB801+AD801+AF801+AH801+AJ801+AL801+AN801+AO801</f>
        <v>1173.5150452598791</v>
      </c>
      <c r="X801" s="149">
        <v>0</v>
      </c>
      <c r="Y801" s="368">
        <v>0</v>
      </c>
      <c r="Z801" s="368">
        <v>0</v>
      </c>
      <c r="AA801" s="368">
        <v>0</v>
      </c>
      <c r="AB801" s="368">
        <v>0</v>
      </c>
      <c r="AC801" s="368">
        <v>0</v>
      </c>
      <c r="AD801" s="368">
        <v>0</v>
      </c>
      <c r="AE801" s="368">
        <v>773</v>
      </c>
      <c r="AF801" s="396">
        <f t="shared" ref="AF801:AF809" si="234">6238.91*AE801/I801</f>
        <v>1173.5150452598791</v>
      </c>
      <c r="AG801" s="368">
        <v>0</v>
      </c>
      <c r="AH801" s="396">
        <v>0</v>
      </c>
      <c r="AI801" s="368">
        <v>0</v>
      </c>
      <c r="AJ801" s="396">
        <v>0</v>
      </c>
      <c r="AK801" s="368">
        <v>0</v>
      </c>
      <c r="AL801" s="368">
        <v>0</v>
      </c>
      <c r="AM801" s="368">
        <v>0</v>
      </c>
      <c r="AN801" s="368"/>
      <c r="AO801" s="368">
        <v>0</v>
      </c>
    </row>
    <row r="802" spans="1:41" s="152" customFormat="1" ht="36" customHeight="1" x14ac:dyDescent="0.9">
      <c r="A802" s="152">
        <v>1</v>
      </c>
      <c r="B802" s="90">
        <f>SUBTOTAL(103,$A$554:A802)</f>
        <v>244</v>
      </c>
      <c r="C802" s="89" t="s">
        <v>620</v>
      </c>
      <c r="D802" s="163">
        <v>1987</v>
      </c>
      <c r="E802" s="163"/>
      <c r="F802" s="168" t="s">
        <v>270</v>
      </c>
      <c r="G802" s="163">
        <v>10</v>
      </c>
      <c r="H802" s="163">
        <v>1</v>
      </c>
      <c r="I802" s="164">
        <v>4233.46</v>
      </c>
      <c r="J802" s="164">
        <v>1997.7</v>
      </c>
      <c r="K802" s="164">
        <v>1997.7</v>
      </c>
      <c r="L802" s="165">
        <v>156</v>
      </c>
      <c r="M802" s="163" t="s">
        <v>268</v>
      </c>
      <c r="N802" s="163" t="s">
        <v>272</v>
      </c>
      <c r="O802" s="166" t="s">
        <v>718</v>
      </c>
      <c r="P802" s="167">
        <v>5909484.1499999994</v>
      </c>
      <c r="Q802" s="167">
        <v>0</v>
      </c>
      <c r="R802" s="167">
        <v>0</v>
      </c>
      <c r="S802" s="167">
        <f t="shared" si="232"/>
        <v>5909484.1499999994</v>
      </c>
      <c r="T802" s="167">
        <f t="shared" si="222"/>
        <v>1395.8993707274899</v>
      </c>
      <c r="U802" s="167">
        <v>1547.399880948444</v>
      </c>
      <c r="V802" s="149">
        <f t="shared" si="230"/>
        <v>151.50051022095408</v>
      </c>
      <c r="W802" s="149">
        <f t="shared" si="233"/>
        <v>1547.399880948444</v>
      </c>
      <c r="X802" s="149">
        <v>0</v>
      </c>
      <c r="Y802" s="368">
        <v>0</v>
      </c>
      <c r="Z802" s="368">
        <v>0</v>
      </c>
      <c r="AA802" s="368">
        <v>0</v>
      </c>
      <c r="AB802" s="368">
        <v>0</v>
      </c>
      <c r="AC802" s="368">
        <v>0</v>
      </c>
      <c r="AD802" s="368">
        <v>0</v>
      </c>
      <c r="AE802" s="368">
        <v>1050</v>
      </c>
      <c r="AF802" s="396">
        <f t="shared" si="234"/>
        <v>1547.399880948444</v>
      </c>
      <c r="AG802" s="368">
        <v>0</v>
      </c>
      <c r="AH802" s="396">
        <v>0</v>
      </c>
      <c r="AI802" s="368">
        <v>0</v>
      </c>
      <c r="AJ802" s="396">
        <v>0</v>
      </c>
      <c r="AK802" s="368">
        <v>0</v>
      </c>
      <c r="AL802" s="368">
        <v>0</v>
      </c>
      <c r="AM802" s="368">
        <v>0</v>
      </c>
      <c r="AN802" s="368"/>
      <c r="AO802" s="368">
        <v>0</v>
      </c>
    </row>
    <row r="803" spans="1:41" s="152" customFormat="1" ht="36" customHeight="1" x14ac:dyDescent="0.9">
      <c r="A803" s="152">
        <v>1</v>
      </c>
      <c r="B803" s="90">
        <f>SUBTOTAL(103,$A$554:A803)</f>
        <v>245</v>
      </c>
      <c r="C803" s="89" t="s">
        <v>621</v>
      </c>
      <c r="D803" s="163">
        <v>1984</v>
      </c>
      <c r="E803" s="163"/>
      <c r="F803" s="168" t="s">
        <v>270</v>
      </c>
      <c r="G803" s="163">
        <v>2</v>
      </c>
      <c r="H803" s="163">
        <v>1</v>
      </c>
      <c r="I803" s="164">
        <v>3054.2</v>
      </c>
      <c r="J803" s="164">
        <v>560.29999999999995</v>
      </c>
      <c r="K803" s="164">
        <v>560.29999999999995</v>
      </c>
      <c r="L803" s="165">
        <v>31</v>
      </c>
      <c r="M803" s="163" t="s">
        <v>268</v>
      </c>
      <c r="N803" s="163" t="s">
        <v>272</v>
      </c>
      <c r="O803" s="166" t="s">
        <v>718</v>
      </c>
      <c r="P803" s="167">
        <v>4721220</v>
      </c>
      <c r="Q803" s="167">
        <v>0</v>
      </c>
      <c r="R803" s="167">
        <v>0</v>
      </c>
      <c r="S803" s="167">
        <f t="shared" si="232"/>
        <v>4721220</v>
      </c>
      <c r="T803" s="167">
        <f t="shared" si="222"/>
        <v>1545.8123240128348</v>
      </c>
      <c r="U803" s="167">
        <v>1930.3810981599111</v>
      </c>
      <c r="V803" s="149">
        <f t="shared" si="230"/>
        <v>384.56877414707628</v>
      </c>
      <c r="W803" s="149">
        <f t="shared" si="233"/>
        <v>1930.3810981599111</v>
      </c>
      <c r="X803" s="149">
        <v>0</v>
      </c>
      <c r="Y803" s="368">
        <v>0</v>
      </c>
      <c r="Z803" s="368">
        <v>0</v>
      </c>
      <c r="AA803" s="368">
        <v>0</v>
      </c>
      <c r="AB803" s="368">
        <v>0</v>
      </c>
      <c r="AC803" s="368">
        <v>0</v>
      </c>
      <c r="AD803" s="368">
        <v>0</v>
      </c>
      <c r="AE803" s="368">
        <v>945</v>
      </c>
      <c r="AF803" s="396">
        <f t="shared" si="234"/>
        <v>1930.3810981599111</v>
      </c>
      <c r="AG803" s="368">
        <v>0</v>
      </c>
      <c r="AH803" s="396">
        <v>0</v>
      </c>
      <c r="AI803" s="368">
        <v>0</v>
      </c>
      <c r="AJ803" s="396">
        <v>0</v>
      </c>
      <c r="AK803" s="368">
        <v>0</v>
      </c>
      <c r="AL803" s="368">
        <v>0</v>
      </c>
      <c r="AM803" s="368">
        <v>0</v>
      </c>
      <c r="AN803" s="368"/>
      <c r="AO803" s="368">
        <v>0</v>
      </c>
    </row>
    <row r="804" spans="1:41" s="152" customFormat="1" ht="36" customHeight="1" x14ac:dyDescent="0.9">
      <c r="A804" s="152">
        <v>1</v>
      </c>
      <c r="B804" s="90">
        <f>SUBTOTAL(103,$A$554:A804)</f>
        <v>246</v>
      </c>
      <c r="C804" s="89" t="s">
        <v>625</v>
      </c>
      <c r="D804" s="163">
        <v>1955</v>
      </c>
      <c r="E804" s="163"/>
      <c r="F804" s="168" t="s">
        <v>270</v>
      </c>
      <c r="G804" s="163">
        <v>2</v>
      </c>
      <c r="H804" s="163">
        <v>1</v>
      </c>
      <c r="I804" s="164">
        <v>424.9</v>
      </c>
      <c r="J804" s="164">
        <v>377.6</v>
      </c>
      <c r="K804" s="164">
        <v>377.6</v>
      </c>
      <c r="L804" s="165">
        <v>21</v>
      </c>
      <c r="M804" s="163" t="s">
        <v>268</v>
      </c>
      <c r="N804" s="163" t="s">
        <v>269</v>
      </c>
      <c r="O804" s="166" t="s">
        <v>271</v>
      </c>
      <c r="P804" s="167">
        <v>3393650</v>
      </c>
      <c r="Q804" s="167">
        <v>0</v>
      </c>
      <c r="R804" s="167">
        <v>0</v>
      </c>
      <c r="S804" s="167">
        <f t="shared" si="232"/>
        <v>3393650</v>
      </c>
      <c r="T804" s="167">
        <f t="shared" si="222"/>
        <v>7986.9381030830791</v>
      </c>
      <c r="U804" s="167">
        <v>9544.108025417745</v>
      </c>
      <c r="V804" s="149">
        <f t="shared" si="230"/>
        <v>1557.1699223346659</v>
      </c>
      <c r="W804" s="149">
        <f t="shared" si="233"/>
        <v>9544.108025417745</v>
      </c>
      <c r="X804" s="149">
        <v>0</v>
      </c>
      <c r="Y804" s="368">
        <v>0</v>
      </c>
      <c r="Z804" s="368">
        <v>0</v>
      </c>
      <c r="AA804" s="368">
        <v>0</v>
      </c>
      <c r="AB804" s="368">
        <v>0</v>
      </c>
      <c r="AC804" s="368">
        <v>0</v>
      </c>
      <c r="AD804" s="368">
        <v>0</v>
      </c>
      <c r="AE804" s="368">
        <v>650</v>
      </c>
      <c r="AF804" s="396">
        <f t="shared" si="234"/>
        <v>9544.108025417745</v>
      </c>
      <c r="AG804" s="368">
        <v>0</v>
      </c>
      <c r="AH804" s="396">
        <v>0</v>
      </c>
      <c r="AI804" s="368">
        <v>0</v>
      </c>
      <c r="AJ804" s="396">
        <v>0</v>
      </c>
      <c r="AK804" s="368">
        <v>0</v>
      </c>
      <c r="AL804" s="368">
        <v>0</v>
      </c>
      <c r="AM804" s="368">
        <v>0</v>
      </c>
      <c r="AN804" s="368"/>
      <c r="AO804" s="368">
        <v>0</v>
      </c>
    </row>
    <row r="805" spans="1:41" s="152" customFormat="1" ht="36" customHeight="1" x14ac:dyDescent="0.9">
      <c r="A805" s="152">
        <v>1</v>
      </c>
      <c r="B805" s="90">
        <f>SUBTOTAL(103,$A$554:A805)</f>
        <v>247</v>
      </c>
      <c r="C805" s="89" t="s">
        <v>626</v>
      </c>
      <c r="D805" s="163">
        <v>1965</v>
      </c>
      <c r="E805" s="163"/>
      <c r="F805" s="168" t="s">
        <v>270</v>
      </c>
      <c r="G805" s="163">
        <v>5</v>
      </c>
      <c r="H805" s="163">
        <v>2</v>
      </c>
      <c r="I805" s="164">
        <v>4398.3999999999996</v>
      </c>
      <c r="J805" s="164">
        <v>2300.6799999999998</v>
      </c>
      <c r="K805" s="164">
        <v>2300.6799999999998</v>
      </c>
      <c r="L805" s="165">
        <v>202</v>
      </c>
      <c r="M805" s="163" t="s">
        <v>268</v>
      </c>
      <c r="N805" s="163" t="s">
        <v>272</v>
      </c>
      <c r="O805" s="166" t="s">
        <v>1099</v>
      </c>
      <c r="P805" s="167">
        <v>5195840</v>
      </c>
      <c r="Q805" s="167">
        <v>0</v>
      </c>
      <c r="R805" s="167">
        <v>0</v>
      </c>
      <c r="S805" s="167">
        <f t="shared" si="232"/>
        <v>5195840</v>
      </c>
      <c r="T805" s="167">
        <f t="shared" si="222"/>
        <v>1181.3022917424519</v>
      </c>
      <c r="U805" s="167">
        <v>1475.1878865041833</v>
      </c>
      <c r="V805" s="149">
        <f t="shared" si="230"/>
        <v>293.88559476173145</v>
      </c>
      <c r="W805" s="149">
        <f t="shared" si="233"/>
        <v>1475.1878865041833</v>
      </c>
      <c r="X805" s="149">
        <v>0</v>
      </c>
      <c r="Y805" s="368">
        <v>0</v>
      </c>
      <c r="Z805" s="368">
        <v>0</v>
      </c>
      <c r="AA805" s="368">
        <v>0</v>
      </c>
      <c r="AB805" s="368">
        <v>0</v>
      </c>
      <c r="AC805" s="368">
        <v>0</v>
      </c>
      <c r="AD805" s="368">
        <v>0</v>
      </c>
      <c r="AE805" s="368">
        <v>1040</v>
      </c>
      <c r="AF805" s="396">
        <f t="shared" si="234"/>
        <v>1475.1878865041833</v>
      </c>
      <c r="AG805" s="368">
        <v>0</v>
      </c>
      <c r="AH805" s="396">
        <v>0</v>
      </c>
      <c r="AI805" s="368">
        <v>0</v>
      </c>
      <c r="AJ805" s="396">
        <v>0</v>
      </c>
      <c r="AK805" s="368">
        <v>0</v>
      </c>
      <c r="AL805" s="368">
        <v>0</v>
      </c>
      <c r="AM805" s="368">
        <v>0</v>
      </c>
      <c r="AN805" s="368"/>
      <c r="AO805" s="368">
        <v>0</v>
      </c>
    </row>
    <row r="806" spans="1:41" s="152" customFormat="1" ht="36" customHeight="1" x14ac:dyDescent="0.9">
      <c r="A806" s="152">
        <v>1</v>
      </c>
      <c r="B806" s="90">
        <f>SUBTOTAL(103,$A$554:A806)</f>
        <v>248</v>
      </c>
      <c r="C806" s="89" t="s">
        <v>624</v>
      </c>
      <c r="D806" s="163">
        <v>1993</v>
      </c>
      <c r="E806" s="163"/>
      <c r="F806" s="168" t="s">
        <v>315</v>
      </c>
      <c r="G806" s="163">
        <v>9</v>
      </c>
      <c r="H806" s="163">
        <v>2</v>
      </c>
      <c r="I806" s="164">
        <v>4008</v>
      </c>
      <c r="J806" s="164">
        <v>2472.3000000000002</v>
      </c>
      <c r="K806" s="164">
        <v>2472.3000000000002</v>
      </c>
      <c r="L806" s="165">
        <v>281</v>
      </c>
      <c r="M806" s="163" t="s">
        <v>268</v>
      </c>
      <c r="N806" s="163" t="s">
        <v>272</v>
      </c>
      <c r="O806" s="166" t="s">
        <v>1096</v>
      </c>
      <c r="P806" s="167">
        <v>4892077</v>
      </c>
      <c r="Q806" s="167">
        <v>0</v>
      </c>
      <c r="R806" s="167">
        <v>0</v>
      </c>
      <c r="S806" s="167">
        <f t="shared" si="232"/>
        <v>4892077</v>
      </c>
      <c r="T806" s="167">
        <f t="shared" si="222"/>
        <v>1220.5780938123753</v>
      </c>
      <c r="U806" s="167">
        <v>1458.5475723552895</v>
      </c>
      <c r="V806" s="149">
        <f t="shared" si="230"/>
        <v>237.9694785429142</v>
      </c>
      <c r="W806" s="149">
        <f t="shared" si="233"/>
        <v>1458.5475723552895</v>
      </c>
      <c r="X806" s="149">
        <v>0</v>
      </c>
      <c r="Y806" s="368">
        <v>0</v>
      </c>
      <c r="Z806" s="368">
        <v>0</v>
      </c>
      <c r="AA806" s="368">
        <v>0</v>
      </c>
      <c r="AB806" s="368">
        <v>0</v>
      </c>
      <c r="AC806" s="368">
        <v>0</v>
      </c>
      <c r="AD806" s="368">
        <v>0</v>
      </c>
      <c r="AE806" s="368">
        <v>937</v>
      </c>
      <c r="AF806" s="396">
        <f t="shared" si="234"/>
        <v>1458.5475723552895</v>
      </c>
      <c r="AG806" s="368">
        <v>0</v>
      </c>
      <c r="AH806" s="396">
        <v>0</v>
      </c>
      <c r="AI806" s="368">
        <v>0</v>
      </c>
      <c r="AJ806" s="396">
        <v>0</v>
      </c>
      <c r="AK806" s="368">
        <v>0</v>
      </c>
      <c r="AL806" s="368">
        <v>0</v>
      </c>
      <c r="AM806" s="368">
        <v>0</v>
      </c>
      <c r="AN806" s="368"/>
      <c r="AO806" s="368">
        <v>0</v>
      </c>
    </row>
    <row r="807" spans="1:41" s="152" customFormat="1" ht="36" customHeight="1" x14ac:dyDescent="0.9">
      <c r="A807" s="152">
        <v>1</v>
      </c>
      <c r="B807" s="90">
        <f>SUBTOTAL(103,$A$554:A807)</f>
        <v>249</v>
      </c>
      <c r="C807" s="89" t="s">
        <v>616</v>
      </c>
      <c r="D807" s="163">
        <v>1959</v>
      </c>
      <c r="E807" s="163"/>
      <c r="F807" s="168" t="s">
        <v>270</v>
      </c>
      <c r="G807" s="163">
        <v>2</v>
      </c>
      <c r="H807" s="163">
        <v>2</v>
      </c>
      <c r="I807" s="164">
        <v>676.9</v>
      </c>
      <c r="J807" s="164">
        <v>525.79999999999995</v>
      </c>
      <c r="K807" s="164">
        <v>525.79999999999995</v>
      </c>
      <c r="L807" s="165">
        <v>29</v>
      </c>
      <c r="M807" s="163" t="s">
        <v>268</v>
      </c>
      <c r="N807" s="163" t="s">
        <v>272</v>
      </c>
      <c r="O807" s="166" t="s">
        <v>716</v>
      </c>
      <c r="P807" s="167">
        <v>2921671.6</v>
      </c>
      <c r="Q807" s="167">
        <v>0</v>
      </c>
      <c r="R807" s="167">
        <v>0</v>
      </c>
      <c r="S807" s="167">
        <f t="shared" si="232"/>
        <v>2921671.6</v>
      </c>
      <c r="T807" s="167">
        <f t="shared" si="222"/>
        <v>4316.2529177131046</v>
      </c>
      <c r="U807" s="167">
        <v>5157.7692953168862</v>
      </c>
      <c r="V807" s="149">
        <f t="shared" si="230"/>
        <v>841.51637760378162</v>
      </c>
      <c r="W807" s="149">
        <f t="shared" si="233"/>
        <v>5157.7692953168862</v>
      </c>
      <c r="X807" s="149">
        <v>0</v>
      </c>
      <c r="Y807" s="368">
        <v>0</v>
      </c>
      <c r="Z807" s="368">
        <v>0</v>
      </c>
      <c r="AA807" s="368">
        <v>0</v>
      </c>
      <c r="AB807" s="368">
        <v>0</v>
      </c>
      <c r="AC807" s="368">
        <v>0</v>
      </c>
      <c r="AD807" s="368">
        <v>0</v>
      </c>
      <c r="AE807" s="368">
        <v>559.6</v>
      </c>
      <c r="AF807" s="396">
        <f t="shared" si="234"/>
        <v>5157.7692953168862</v>
      </c>
      <c r="AG807" s="368">
        <v>0</v>
      </c>
      <c r="AH807" s="396">
        <v>0</v>
      </c>
      <c r="AI807" s="368">
        <v>0</v>
      </c>
      <c r="AJ807" s="396">
        <v>0</v>
      </c>
      <c r="AK807" s="368">
        <v>0</v>
      </c>
      <c r="AL807" s="368">
        <v>0</v>
      </c>
      <c r="AM807" s="368">
        <v>0</v>
      </c>
      <c r="AN807" s="368"/>
      <c r="AO807" s="368">
        <v>0</v>
      </c>
    </row>
    <row r="808" spans="1:41" s="152" customFormat="1" ht="36" customHeight="1" x14ac:dyDescent="0.9">
      <c r="A808" s="152">
        <v>1</v>
      </c>
      <c r="B808" s="90">
        <f>SUBTOTAL(103,$A$554:A808)</f>
        <v>250</v>
      </c>
      <c r="C808" s="89" t="s">
        <v>630</v>
      </c>
      <c r="D808" s="163">
        <v>1962</v>
      </c>
      <c r="E808" s="163"/>
      <c r="F808" s="168" t="s">
        <v>270</v>
      </c>
      <c r="G808" s="163">
        <v>2</v>
      </c>
      <c r="H808" s="163">
        <v>2</v>
      </c>
      <c r="I808" s="164">
        <v>1671.6</v>
      </c>
      <c r="J808" s="164">
        <v>623.6</v>
      </c>
      <c r="K808" s="164">
        <v>623.6</v>
      </c>
      <c r="L808" s="165">
        <v>42</v>
      </c>
      <c r="M808" s="163" t="s">
        <v>268</v>
      </c>
      <c r="N808" s="163" t="s">
        <v>286</v>
      </c>
      <c r="O808" s="166" t="s">
        <v>271</v>
      </c>
      <c r="P808" s="167">
        <v>4923403</v>
      </c>
      <c r="Q808" s="167">
        <v>0</v>
      </c>
      <c r="R808" s="167">
        <v>0</v>
      </c>
      <c r="S808" s="167">
        <f t="shared" si="232"/>
        <v>4923403</v>
      </c>
      <c r="T808" s="167">
        <f t="shared" si="222"/>
        <v>2945.3236420196222</v>
      </c>
      <c r="U808" s="167">
        <v>3519.557388131132</v>
      </c>
      <c r="V808" s="149">
        <f t="shared" si="230"/>
        <v>574.23374611150984</v>
      </c>
      <c r="W808" s="149">
        <f t="shared" si="233"/>
        <v>3519.557388131132</v>
      </c>
      <c r="X808" s="149">
        <v>0</v>
      </c>
      <c r="Y808" s="368">
        <v>0</v>
      </c>
      <c r="Z808" s="368">
        <v>0</v>
      </c>
      <c r="AA808" s="368">
        <v>0</v>
      </c>
      <c r="AB808" s="368">
        <v>0</v>
      </c>
      <c r="AC808" s="368">
        <v>0</v>
      </c>
      <c r="AD808" s="368">
        <v>0</v>
      </c>
      <c r="AE808" s="368">
        <v>943</v>
      </c>
      <c r="AF808" s="396">
        <f t="shared" si="234"/>
        <v>3519.557388131132</v>
      </c>
      <c r="AG808" s="368">
        <v>0</v>
      </c>
      <c r="AH808" s="396">
        <v>0</v>
      </c>
      <c r="AI808" s="368">
        <v>0</v>
      </c>
      <c r="AJ808" s="396">
        <v>0</v>
      </c>
      <c r="AK808" s="368">
        <v>0</v>
      </c>
      <c r="AL808" s="368">
        <v>0</v>
      </c>
      <c r="AM808" s="368">
        <v>0</v>
      </c>
      <c r="AN808" s="368"/>
      <c r="AO808" s="368">
        <v>0</v>
      </c>
    </row>
    <row r="809" spans="1:41" s="152" customFormat="1" ht="36" customHeight="1" x14ac:dyDescent="0.9">
      <c r="A809" s="152">
        <v>1</v>
      </c>
      <c r="B809" s="90">
        <f>SUBTOTAL(103,$A$554:A809)</f>
        <v>251</v>
      </c>
      <c r="C809" s="89" t="s">
        <v>629</v>
      </c>
      <c r="D809" s="163">
        <v>1956</v>
      </c>
      <c r="E809" s="163"/>
      <c r="F809" s="168" t="s">
        <v>270</v>
      </c>
      <c r="G809" s="163">
        <v>2</v>
      </c>
      <c r="H809" s="163">
        <v>1</v>
      </c>
      <c r="I809" s="164">
        <v>418.2</v>
      </c>
      <c r="J809" s="164">
        <v>261.2</v>
      </c>
      <c r="K809" s="164">
        <v>261.2</v>
      </c>
      <c r="L809" s="165">
        <v>21</v>
      </c>
      <c r="M809" s="163" t="s">
        <v>268</v>
      </c>
      <c r="N809" s="163" t="s">
        <v>269</v>
      </c>
      <c r="O809" s="166" t="s">
        <v>271</v>
      </c>
      <c r="P809" s="167">
        <v>2767130</v>
      </c>
      <c r="Q809" s="167">
        <v>0</v>
      </c>
      <c r="R809" s="167">
        <v>0</v>
      </c>
      <c r="S809" s="167">
        <f t="shared" si="232"/>
        <v>2767130</v>
      </c>
      <c r="T809" s="167">
        <f t="shared" si="222"/>
        <v>6616.7623146819706</v>
      </c>
      <c r="U809" s="167">
        <v>7906.7965088474411</v>
      </c>
      <c r="V809" s="149">
        <f t="shared" si="230"/>
        <v>1290.0341941654706</v>
      </c>
      <c r="W809" s="149">
        <f t="shared" si="233"/>
        <v>7906.7965088474411</v>
      </c>
      <c r="X809" s="149">
        <v>0</v>
      </c>
      <c r="Y809" s="368">
        <v>0</v>
      </c>
      <c r="Z809" s="368">
        <v>0</v>
      </c>
      <c r="AA809" s="368">
        <v>0</v>
      </c>
      <c r="AB809" s="368">
        <v>0</v>
      </c>
      <c r="AC809" s="368">
        <v>0</v>
      </c>
      <c r="AD809" s="368">
        <v>0</v>
      </c>
      <c r="AE809" s="368">
        <v>530</v>
      </c>
      <c r="AF809" s="396">
        <f t="shared" si="234"/>
        <v>7906.7965088474411</v>
      </c>
      <c r="AG809" s="368">
        <v>0</v>
      </c>
      <c r="AH809" s="396">
        <v>0</v>
      </c>
      <c r="AI809" s="368">
        <v>0</v>
      </c>
      <c r="AJ809" s="396">
        <v>0</v>
      </c>
      <c r="AK809" s="368">
        <v>0</v>
      </c>
      <c r="AL809" s="368">
        <v>0</v>
      </c>
      <c r="AM809" s="368">
        <v>0</v>
      </c>
      <c r="AN809" s="368"/>
      <c r="AO809" s="368">
        <v>0</v>
      </c>
    </row>
    <row r="810" spans="1:41" s="152" customFormat="1" ht="36" customHeight="1" x14ac:dyDescent="0.9">
      <c r="A810" s="152">
        <v>1</v>
      </c>
      <c r="B810" s="90">
        <f>SUBTOTAL(103,$A$554:A810)</f>
        <v>252</v>
      </c>
      <c r="C810" s="89" t="s">
        <v>634</v>
      </c>
      <c r="D810" s="163">
        <v>1963</v>
      </c>
      <c r="E810" s="163"/>
      <c r="F810" s="168" t="s">
        <v>270</v>
      </c>
      <c r="G810" s="163">
        <v>9</v>
      </c>
      <c r="H810" s="163">
        <v>1</v>
      </c>
      <c r="I810" s="164">
        <v>2814.2</v>
      </c>
      <c r="J810" s="164">
        <v>388.96</v>
      </c>
      <c r="K810" s="164">
        <v>388.96</v>
      </c>
      <c r="L810" s="165">
        <v>13</v>
      </c>
      <c r="M810" s="163" t="s">
        <v>268</v>
      </c>
      <c r="N810" s="163" t="s">
        <v>272</v>
      </c>
      <c r="O810" s="166" t="s">
        <v>716</v>
      </c>
      <c r="P810" s="167">
        <v>2248303</v>
      </c>
      <c r="Q810" s="167">
        <v>0</v>
      </c>
      <c r="R810" s="167">
        <v>0</v>
      </c>
      <c r="S810" s="167">
        <f t="shared" si="232"/>
        <v>2248303</v>
      </c>
      <c r="T810" s="167">
        <f t="shared" si="222"/>
        <v>798.91372326060696</v>
      </c>
      <c r="U810" s="167">
        <v>873.35654893042431</v>
      </c>
      <c r="V810" s="149">
        <f t="shared" si="230"/>
        <v>74.442825669817353</v>
      </c>
      <c r="W810" s="149">
        <f t="shared" si="233"/>
        <v>873.35654893042431</v>
      </c>
      <c r="X810" s="149">
        <v>0</v>
      </c>
      <c r="Y810" s="368">
        <v>0</v>
      </c>
      <c r="Z810" s="368">
        <v>0</v>
      </c>
      <c r="AA810" s="368">
        <v>0</v>
      </c>
      <c r="AB810" s="368">
        <v>0</v>
      </c>
      <c r="AC810" s="368">
        <v>1</v>
      </c>
      <c r="AD810" s="396">
        <f>2457800*AC810/I810</f>
        <v>873.35654893042431</v>
      </c>
      <c r="AE810" s="368">
        <v>0</v>
      </c>
      <c r="AF810" s="396">
        <v>0</v>
      </c>
      <c r="AG810" s="368">
        <v>0</v>
      </c>
      <c r="AH810" s="396">
        <v>0</v>
      </c>
      <c r="AI810" s="368">
        <v>0</v>
      </c>
      <c r="AJ810" s="396">
        <v>0</v>
      </c>
      <c r="AK810" s="368">
        <v>0</v>
      </c>
      <c r="AL810" s="368">
        <v>0</v>
      </c>
      <c r="AM810" s="368">
        <v>0</v>
      </c>
      <c r="AN810" s="368"/>
      <c r="AO810" s="368">
        <v>0</v>
      </c>
    </row>
    <row r="811" spans="1:41" s="152" customFormat="1" ht="36" customHeight="1" x14ac:dyDescent="0.9">
      <c r="A811" s="152">
        <v>1</v>
      </c>
      <c r="B811" s="90">
        <f>SUBTOTAL(103,$A$554:A811)</f>
        <v>253</v>
      </c>
      <c r="C811" s="89" t="s">
        <v>641</v>
      </c>
      <c r="D811" s="163">
        <v>1990</v>
      </c>
      <c r="E811" s="163"/>
      <c r="F811" s="168" t="s">
        <v>270</v>
      </c>
      <c r="G811" s="163">
        <v>2</v>
      </c>
      <c r="H811" s="163">
        <v>1</v>
      </c>
      <c r="I811" s="164">
        <v>2805.67</v>
      </c>
      <c r="J811" s="164">
        <v>317</v>
      </c>
      <c r="K811" s="164">
        <v>317</v>
      </c>
      <c r="L811" s="165">
        <v>31</v>
      </c>
      <c r="M811" s="163" t="s">
        <v>268</v>
      </c>
      <c r="N811" s="163" t="s">
        <v>286</v>
      </c>
      <c r="O811" s="166" t="s">
        <v>271</v>
      </c>
      <c r="P811" s="167">
        <v>5495600.0099999998</v>
      </c>
      <c r="Q811" s="167">
        <v>0</v>
      </c>
      <c r="R811" s="167">
        <v>0</v>
      </c>
      <c r="S811" s="167">
        <f t="shared" si="232"/>
        <v>5495600.0099999998</v>
      </c>
      <c r="T811" s="167">
        <f t="shared" si="222"/>
        <v>1958.7478249402102</v>
      </c>
      <c r="U811" s="167">
        <v>2446.0471117415805</v>
      </c>
      <c r="V811" s="149">
        <f t="shared" si="230"/>
        <v>487.29928680137027</v>
      </c>
      <c r="W811" s="149">
        <f t="shared" si="233"/>
        <v>2446.0471117415805</v>
      </c>
      <c r="X811" s="149">
        <v>0</v>
      </c>
      <c r="Y811" s="368">
        <v>0</v>
      </c>
      <c r="Z811" s="368">
        <v>0</v>
      </c>
      <c r="AA811" s="368">
        <v>0</v>
      </c>
      <c r="AB811" s="368">
        <v>0</v>
      </c>
      <c r="AC811" s="368">
        <v>0</v>
      </c>
      <c r="AD811" s="368">
        <v>0</v>
      </c>
      <c r="AE811" s="368">
        <v>1100</v>
      </c>
      <c r="AF811" s="396">
        <f t="shared" ref="AF811:AF817" si="235">6238.91*AE811/I811</f>
        <v>2446.0471117415805</v>
      </c>
      <c r="AG811" s="368">
        <v>0</v>
      </c>
      <c r="AH811" s="396">
        <v>0</v>
      </c>
      <c r="AI811" s="368">
        <v>0</v>
      </c>
      <c r="AJ811" s="396">
        <v>0</v>
      </c>
      <c r="AK811" s="368">
        <v>0</v>
      </c>
      <c r="AL811" s="368">
        <v>0</v>
      </c>
      <c r="AM811" s="368">
        <v>0</v>
      </c>
      <c r="AN811" s="368"/>
      <c r="AO811" s="368">
        <v>0</v>
      </c>
    </row>
    <row r="812" spans="1:41" s="152" customFormat="1" ht="36" customHeight="1" x14ac:dyDescent="0.9">
      <c r="A812" s="152">
        <v>1</v>
      </c>
      <c r="B812" s="90">
        <f>SUBTOTAL(103,$A$554:A812)</f>
        <v>254</v>
      </c>
      <c r="C812" s="89" t="s">
        <v>632</v>
      </c>
      <c r="D812" s="163">
        <v>1965</v>
      </c>
      <c r="E812" s="163"/>
      <c r="F812" s="168" t="s">
        <v>270</v>
      </c>
      <c r="G812" s="163">
        <v>5</v>
      </c>
      <c r="H812" s="163">
        <v>3</v>
      </c>
      <c r="I812" s="164">
        <v>2423.8000000000002</v>
      </c>
      <c r="J812" s="164">
        <v>2218.9</v>
      </c>
      <c r="K812" s="164">
        <v>2218.9</v>
      </c>
      <c r="L812" s="165">
        <v>120</v>
      </c>
      <c r="M812" s="163" t="s">
        <v>268</v>
      </c>
      <c r="N812" s="163" t="s">
        <v>272</v>
      </c>
      <c r="O812" s="166" t="s">
        <v>716</v>
      </c>
      <c r="P812" s="167">
        <v>4364006</v>
      </c>
      <c r="Q812" s="167">
        <v>0</v>
      </c>
      <c r="R812" s="167">
        <v>0</v>
      </c>
      <c r="S812" s="167">
        <f t="shared" si="232"/>
        <v>4364006</v>
      </c>
      <c r="T812" s="167">
        <f t="shared" si="222"/>
        <v>1800.4810627939598</v>
      </c>
      <c r="U812" s="167">
        <v>2248.4065867645841</v>
      </c>
      <c r="V812" s="149">
        <f t="shared" si="230"/>
        <v>447.92552397062423</v>
      </c>
      <c r="W812" s="149">
        <f t="shared" si="233"/>
        <v>2248.4065867645841</v>
      </c>
      <c r="X812" s="149">
        <v>0</v>
      </c>
      <c r="Y812" s="368">
        <v>0</v>
      </c>
      <c r="Z812" s="368">
        <v>0</v>
      </c>
      <c r="AA812" s="368">
        <v>0</v>
      </c>
      <c r="AB812" s="368">
        <v>0</v>
      </c>
      <c r="AC812" s="368">
        <v>0</v>
      </c>
      <c r="AD812" s="368">
        <v>0</v>
      </c>
      <c r="AE812" s="368">
        <v>873.5</v>
      </c>
      <c r="AF812" s="396">
        <f t="shared" si="235"/>
        <v>2248.4065867645841</v>
      </c>
      <c r="AG812" s="368">
        <v>0</v>
      </c>
      <c r="AH812" s="396">
        <v>0</v>
      </c>
      <c r="AI812" s="368">
        <v>0</v>
      </c>
      <c r="AJ812" s="396">
        <v>0</v>
      </c>
      <c r="AK812" s="368">
        <v>0</v>
      </c>
      <c r="AL812" s="368">
        <v>0</v>
      </c>
      <c r="AM812" s="368">
        <v>0</v>
      </c>
      <c r="AN812" s="368"/>
      <c r="AO812" s="368">
        <v>0</v>
      </c>
    </row>
    <row r="813" spans="1:41" s="152" customFormat="1" ht="36" customHeight="1" x14ac:dyDescent="0.9">
      <c r="A813" s="152">
        <v>1</v>
      </c>
      <c r="B813" s="90">
        <f>SUBTOTAL(103,$A$554:A813)</f>
        <v>255</v>
      </c>
      <c r="C813" s="89" t="s">
        <v>1618</v>
      </c>
      <c r="D813" s="163">
        <v>1969</v>
      </c>
      <c r="E813" s="163"/>
      <c r="F813" s="168" t="s">
        <v>1619</v>
      </c>
      <c r="G813" s="163">
        <v>2</v>
      </c>
      <c r="H813" s="163">
        <v>2</v>
      </c>
      <c r="I813" s="167">
        <v>784.54</v>
      </c>
      <c r="J813" s="167">
        <v>723.44</v>
      </c>
      <c r="K813" s="167">
        <f>J813</f>
        <v>723.44</v>
      </c>
      <c r="L813" s="165">
        <v>28</v>
      </c>
      <c r="M813" s="163" t="s">
        <v>268</v>
      </c>
      <c r="N813" s="163" t="s">
        <v>272</v>
      </c>
      <c r="O813" s="166" t="s">
        <v>719</v>
      </c>
      <c r="P813" s="167">
        <v>3850862.6100000003</v>
      </c>
      <c r="Q813" s="167">
        <v>0</v>
      </c>
      <c r="R813" s="167">
        <v>0</v>
      </c>
      <c r="S813" s="167">
        <f t="shared" si="232"/>
        <v>3850862.6100000003</v>
      </c>
      <c r="T813" s="167">
        <f t="shared" si="222"/>
        <v>4908.4337446146792</v>
      </c>
      <c r="U813" s="167">
        <v>6091.4740612333344</v>
      </c>
      <c r="V813" s="149">
        <f t="shared" si="230"/>
        <v>1183.0403166186552</v>
      </c>
      <c r="W813" s="149">
        <f t="shared" si="233"/>
        <v>6091.4740612333344</v>
      </c>
      <c r="X813" s="149">
        <v>0</v>
      </c>
      <c r="Y813" s="368">
        <v>0</v>
      </c>
      <c r="Z813" s="368">
        <v>0</v>
      </c>
      <c r="AA813" s="368">
        <v>0</v>
      </c>
      <c r="AB813" s="368">
        <v>0</v>
      </c>
      <c r="AC813" s="368">
        <v>0</v>
      </c>
      <c r="AD813" s="368">
        <v>0</v>
      </c>
      <c r="AE813" s="368">
        <v>766</v>
      </c>
      <c r="AF813" s="396">
        <f t="shared" si="235"/>
        <v>6091.4740612333344</v>
      </c>
      <c r="AG813" s="368">
        <v>0</v>
      </c>
      <c r="AH813" s="396">
        <v>0</v>
      </c>
      <c r="AI813" s="368">
        <v>0</v>
      </c>
      <c r="AJ813" s="396">
        <v>0</v>
      </c>
      <c r="AK813" s="368">
        <v>0</v>
      </c>
      <c r="AL813" s="368">
        <v>0</v>
      </c>
      <c r="AM813" s="368">
        <v>0</v>
      </c>
      <c r="AN813" s="368"/>
      <c r="AO813" s="368">
        <v>0</v>
      </c>
    </row>
    <row r="814" spans="1:41" s="152" customFormat="1" ht="36" customHeight="1" x14ac:dyDescent="0.9">
      <c r="A814" s="152">
        <v>1</v>
      </c>
      <c r="B814" s="90">
        <f>SUBTOTAL(103,$A$554:A814)</f>
        <v>256</v>
      </c>
      <c r="C814" s="89" t="s">
        <v>1641</v>
      </c>
      <c r="D814" s="163">
        <v>1978</v>
      </c>
      <c r="E814" s="163"/>
      <c r="F814" s="168" t="s">
        <v>322</v>
      </c>
      <c r="G814" s="163">
        <v>5</v>
      </c>
      <c r="H814" s="163">
        <v>4</v>
      </c>
      <c r="I814" s="164">
        <v>2708</v>
      </c>
      <c r="J814" s="164">
        <v>1818.5</v>
      </c>
      <c r="K814" s="164">
        <f>J814-29.2</f>
        <v>1789.3</v>
      </c>
      <c r="L814" s="165">
        <v>123</v>
      </c>
      <c r="M814" s="163" t="s">
        <v>268</v>
      </c>
      <c r="N814" s="163" t="s">
        <v>272</v>
      </c>
      <c r="O814" s="166" t="s">
        <v>1675</v>
      </c>
      <c r="P814" s="167">
        <v>2693242.85</v>
      </c>
      <c r="Q814" s="167">
        <v>0</v>
      </c>
      <c r="R814" s="167">
        <v>0</v>
      </c>
      <c r="S814" s="167">
        <f t="shared" si="232"/>
        <v>2693242.85</v>
      </c>
      <c r="T814" s="167">
        <f t="shared" si="222"/>
        <v>994.55053545051703</v>
      </c>
      <c r="U814" s="167">
        <v>1681.2111500369276</v>
      </c>
      <c r="V814" s="149">
        <f t="shared" si="230"/>
        <v>686.66061458641059</v>
      </c>
      <c r="W814" s="149">
        <f t="shared" si="233"/>
        <v>1681.2111500369276</v>
      </c>
      <c r="X814" s="149">
        <v>0</v>
      </c>
      <c r="Y814" s="368">
        <v>0</v>
      </c>
      <c r="Z814" s="368">
        <v>0</v>
      </c>
      <c r="AA814" s="368">
        <v>0</v>
      </c>
      <c r="AB814" s="368">
        <v>0</v>
      </c>
      <c r="AC814" s="368">
        <v>0</v>
      </c>
      <c r="AD814" s="368">
        <v>0</v>
      </c>
      <c r="AE814" s="368">
        <v>729.73</v>
      </c>
      <c r="AF814" s="396">
        <f t="shared" si="235"/>
        <v>1681.2111500369276</v>
      </c>
      <c r="AG814" s="368">
        <v>0</v>
      </c>
      <c r="AH814" s="396">
        <v>0</v>
      </c>
      <c r="AI814" s="368">
        <v>0</v>
      </c>
      <c r="AJ814" s="396">
        <v>0</v>
      </c>
      <c r="AK814" s="368">
        <v>0</v>
      </c>
      <c r="AL814" s="368">
        <v>0</v>
      </c>
      <c r="AM814" s="368">
        <v>0</v>
      </c>
      <c r="AN814" s="368"/>
      <c r="AO814" s="368">
        <v>0</v>
      </c>
    </row>
    <row r="815" spans="1:41" s="152" customFormat="1" ht="36" customHeight="1" x14ac:dyDescent="0.9">
      <c r="A815" s="152">
        <v>1</v>
      </c>
      <c r="B815" s="90">
        <f>SUBTOTAL(103,$A$554:A815)</f>
        <v>257</v>
      </c>
      <c r="C815" s="89" t="s">
        <v>1642</v>
      </c>
      <c r="D815" s="163">
        <v>1955</v>
      </c>
      <c r="E815" s="163"/>
      <c r="F815" s="168" t="s">
        <v>1359</v>
      </c>
      <c r="G815" s="163">
        <v>2</v>
      </c>
      <c r="H815" s="163">
        <v>1</v>
      </c>
      <c r="I815" s="164">
        <v>370.1</v>
      </c>
      <c r="J815" s="164">
        <v>335.1</v>
      </c>
      <c r="K815" s="164">
        <f>J815-161.7</f>
        <v>173.40000000000003</v>
      </c>
      <c r="L815" s="165">
        <v>28</v>
      </c>
      <c r="M815" s="163" t="s">
        <v>268</v>
      </c>
      <c r="N815" s="163" t="s">
        <v>272</v>
      </c>
      <c r="O815" s="166" t="s">
        <v>716</v>
      </c>
      <c r="P815" s="167">
        <v>2003970.19</v>
      </c>
      <c r="Q815" s="167">
        <v>0</v>
      </c>
      <c r="R815" s="167">
        <v>0</v>
      </c>
      <c r="S815" s="167">
        <f t="shared" si="232"/>
        <v>2003970.19</v>
      </c>
      <c r="T815" s="167">
        <f t="shared" si="222"/>
        <v>5414.672223723318</v>
      </c>
      <c r="U815" s="167">
        <v>6469.350150499864</v>
      </c>
      <c r="V815" s="149">
        <f t="shared" si="230"/>
        <v>1054.677926776546</v>
      </c>
      <c r="W815" s="149">
        <f t="shared" si="233"/>
        <v>6469.350150499864</v>
      </c>
      <c r="X815" s="149">
        <v>0</v>
      </c>
      <c r="Y815" s="368">
        <v>0</v>
      </c>
      <c r="Z815" s="368">
        <v>0</v>
      </c>
      <c r="AA815" s="368">
        <v>0</v>
      </c>
      <c r="AB815" s="368">
        <v>0</v>
      </c>
      <c r="AC815" s="368">
        <v>0</v>
      </c>
      <c r="AD815" s="368">
        <v>0</v>
      </c>
      <c r="AE815" s="368">
        <v>383.77</v>
      </c>
      <c r="AF815" s="396">
        <f t="shared" si="235"/>
        <v>6469.350150499864</v>
      </c>
      <c r="AG815" s="368">
        <v>0</v>
      </c>
      <c r="AH815" s="396">
        <v>0</v>
      </c>
      <c r="AI815" s="368">
        <v>0</v>
      </c>
      <c r="AJ815" s="396">
        <v>0</v>
      </c>
      <c r="AK815" s="368">
        <v>0</v>
      </c>
      <c r="AL815" s="368">
        <v>0</v>
      </c>
      <c r="AM815" s="368">
        <v>0</v>
      </c>
      <c r="AN815" s="368"/>
      <c r="AO815" s="368">
        <v>0</v>
      </c>
    </row>
    <row r="816" spans="1:41" s="152" customFormat="1" ht="36" customHeight="1" x14ac:dyDescent="0.9">
      <c r="A816" s="152">
        <v>1</v>
      </c>
      <c r="B816" s="90">
        <f>SUBTOTAL(103,$A$554:A816)</f>
        <v>258</v>
      </c>
      <c r="C816" s="89" t="s">
        <v>1643</v>
      </c>
      <c r="D816" s="163">
        <v>1962</v>
      </c>
      <c r="E816" s="163"/>
      <c r="F816" s="168" t="s">
        <v>1359</v>
      </c>
      <c r="G816" s="163">
        <v>2</v>
      </c>
      <c r="H816" s="163">
        <v>4</v>
      </c>
      <c r="I816" s="164">
        <v>780.2</v>
      </c>
      <c r="J816" s="164">
        <v>709.6</v>
      </c>
      <c r="K816" s="164">
        <f>J816-25.5</f>
        <v>684.1</v>
      </c>
      <c r="L816" s="165">
        <v>27</v>
      </c>
      <c r="M816" s="163" t="s">
        <v>268</v>
      </c>
      <c r="N816" s="163" t="s">
        <v>269</v>
      </c>
      <c r="O816" s="166" t="s">
        <v>271</v>
      </c>
      <c r="P816" s="167">
        <v>3795204.2399999998</v>
      </c>
      <c r="Q816" s="167">
        <v>0</v>
      </c>
      <c r="R816" s="167">
        <v>0</v>
      </c>
      <c r="S816" s="167">
        <f t="shared" si="232"/>
        <v>3795204.2399999998</v>
      </c>
      <c r="T816" s="167">
        <f t="shared" si="222"/>
        <v>4864.3991796975133</v>
      </c>
      <c r="U816" s="167">
        <v>5811.8941143296579</v>
      </c>
      <c r="V816" s="149">
        <f t="shared" si="230"/>
        <v>947.49493463214458</v>
      </c>
      <c r="W816" s="149">
        <f t="shared" si="233"/>
        <v>5811.8941143296588</v>
      </c>
      <c r="X816" s="149">
        <v>0</v>
      </c>
      <c r="Y816" s="368">
        <v>0</v>
      </c>
      <c r="Z816" s="368">
        <v>0</v>
      </c>
      <c r="AA816" s="368">
        <v>0</v>
      </c>
      <c r="AB816" s="368">
        <v>0</v>
      </c>
      <c r="AC816" s="368">
        <v>0</v>
      </c>
      <c r="AD816" s="368">
        <v>0</v>
      </c>
      <c r="AE816" s="368">
        <v>726.8</v>
      </c>
      <c r="AF816" s="396">
        <f t="shared" si="235"/>
        <v>5811.8941143296588</v>
      </c>
      <c r="AG816" s="368">
        <v>0</v>
      </c>
      <c r="AH816" s="396">
        <v>0</v>
      </c>
      <c r="AI816" s="368">
        <v>0</v>
      </c>
      <c r="AJ816" s="396">
        <v>0</v>
      </c>
      <c r="AK816" s="368">
        <v>0</v>
      </c>
      <c r="AL816" s="368">
        <v>0</v>
      </c>
      <c r="AM816" s="368">
        <v>0</v>
      </c>
      <c r="AN816" s="368"/>
      <c r="AO816" s="368">
        <v>0</v>
      </c>
    </row>
    <row r="817" spans="1:41" s="152" customFormat="1" ht="36" customHeight="1" x14ac:dyDescent="0.9">
      <c r="A817" s="152">
        <v>1</v>
      </c>
      <c r="B817" s="90">
        <f>SUBTOTAL(103,$A$554:A817)</f>
        <v>259</v>
      </c>
      <c r="C817" s="89" t="s">
        <v>1644</v>
      </c>
      <c r="D817" s="163">
        <v>1954</v>
      </c>
      <c r="E817" s="163"/>
      <c r="F817" s="168" t="s">
        <v>1359</v>
      </c>
      <c r="G817" s="163">
        <v>2</v>
      </c>
      <c r="H817" s="163">
        <v>2</v>
      </c>
      <c r="I817" s="164">
        <v>510.78</v>
      </c>
      <c r="J817" s="164">
        <v>472.98</v>
      </c>
      <c r="K817" s="164">
        <f>J817-13.1</f>
        <v>459.88</v>
      </c>
      <c r="L817" s="165">
        <v>19</v>
      </c>
      <c r="M817" s="163" t="s">
        <v>268</v>
      </c>
      <c r="N817" s="163" t="s">
        <v>272</v>
      </c>
      <c r="O817" s="166" t="s">
        <v>1333</v>
      </c>
      <c r="P817" s="167">
        <v>2221249.2799999998</v>
      </c>
      <c r="Q817" s="167">
        <v>0</v>
      </c>
      <c r="R817" s="167">
        <v>0</v>
      </c>
      <c r="S817" s="167">
        <f t="shared" si="232"/>
        <v>2221249.2799999998</v>
      </c>
      <c r="T817" s="167">
        <f t="shared" si="222"/>
        <v>4348.7397313912052</v>
      </c>
      <c r="U817" s="167">
        <v>5195.7937581737733</v>
      </c>
      <c r="V817" s="149">
        <f t="shared" si="230"/>
        <v>847.05402678256814</v>
      </c>
      <c r="W817" s="149">
        <f t="shared" si="233"/>
        <v>5195.7937581737733</v>
      </c>
      <c r="X817" s="149">
        <v>0</v>
      </c>
      <c r="Y817" s="368">
        <v>0</v>
      </c>
      <c r="Z817" s="368">
        <v>0</v>
      </c>
      <c r="AA817" s="368">
        <v>0</v>
      </c>
      <c r="AB817" s="368">
        <v>0</v>
      </c>
      <c r="AC817" s="368">
        <v>0</v>
      </c>
      <c r="AD817" s="368">
        <v>0</v>
      </c>
      <c r="AE817" s="368">
        <v>425.38</v>
      </c>
      <c r="AF817" s="396">
        <f t="shared" si="235"/>
        <v>5195.7937581737733</v>
      </c>
      <c r="AG817" s="368">
        <v>0</v>
      </c>
      <c r="AH817" s="396">
        <v>0</v>
      </c>
      <c r="AI817" s="368">
        <v>0</v>
      </c>
      <c r="AJ817" s="396">
        <v>0</v>
      </c>
      <c r="AK817" s="368">
        <v>0</v>
      </c>
      <c r="AL817" s="368">
        <v>0</v>
      </c>
      <c r="AM817" s="368">
        <v>0</v>
      </c>
      <c r="AN817" s="368"/>
      <c r="AO817" s="368">
        <v>0</v>
      </c>
    </row>
    <row r="818" spans="1:41" s="152" customFormat="1" ht="36" customHeight="1" x14ac:dyDescent="0.9">
      <c r="A818" s="152">
        <v>1</v>
      </c>
      <c r="B818" s="90">
        <f>SUBTOTAL(103,$A$554:A818)</f>
        <v>260</v>
      </c>
      <c r="C818" s="89" t="s">
        <v>628</v>
      </c>
      <c r="D818" s="163">
        <v>1965</v>
      </c>
      <c r="E818" s="163"/>
      <c r="F818" s="168" t="s">
        <v>270</v>
      </c>
      <c r="G818" s="163">
        <v>5</v>
      </c>
      <c r="H818" s="163">
        <v>2</v>
      </c>
      <c r="I818" s="164">
        <v>4985.66</v>
      </c>
      <c r="J818" s="164">
        <v>2300.6799999999998</v>
      </c>
      <c r="K818" s="164">
        <v>2300.6799999999998</v>
      </c>
      <c r="L818" s="165">
        <v>202</v>
      </c>
      <c r="M818" s="163" t="s">
        <v>268</v>
      </c>
      <c r="N818" s="163" t="s">
        <v>272</v>
      </c>
      <c r="O818" s="166" t="s">
        <v>717</v>
      </c>
      <c r="P818" s="167">
        <v>16858961.600000001</v>
      </c>
      <c r="Q818" s="167">
        <v>0</v>
      </c>
      <c r="R818" s="167">
        <v>0</v>
      </c>
      <c r="S818" s="167">
        <f t="shared" si="232"/>
        <v>16858961.600000001</v>
      </c>
      <c r="T818" s="167">
        <f t="shared" si="222"/>
        <v>3381.4904345663367</v>
      </c>
      <c r="U818" s="167">
        <v>7178.9769819843314</v>
      </c>
      <c r="V818" s="149">
        <f t="shared" si="230"/>
        <v>3797.4865474179946</v>
      </c>
      <c r="W818" s="149">
        <f t="shared" si="233"/>
        <v>7178.9769819843314</v>
      </c>
      <c r="X818" s="149">
        <v>0</v>
      </c>
      <c r="Y818" s="368">
        <v>0</v>
      </c>
      <c r="Z818" s="368">
        <v>0</v>
      </c>
      <c r="AA818" s="368">
        <v>0</v>
      </c>
      <c r="AB818" s="368">
        <v>0</v>
      </c>
      <c r="AC818" s="368">
        <v>0</v>
      </c>
      <c r="AD818" s="368">
        <v>0</v>
      </c>
      <c r="AE818" s="368">
        <v>0</v>
      </c>
      <c r="AF818" s="396">
        <v>0</v>
      </c>
      <c r="AG818" s="368">
        <v>0</v>
      </c>
      <c r="AH818" s="396">
        <v>0</v>
      </c>
      <c r="AI818" s="368">
        <v>2448</v>
      </c>
      <c r="AJ818" s="397">
        <f>7439.1*AI818/I818</f>
        <v>3652.6591865470173</v>
      </c>
      <c r="AK818" s="368">
        <v>229</v>
      </c>
      <c r="AL818" s="396">
        <f t="shared" ref="AL818:AL819" si="236">76773.02*AK818/I818</f>
        <v>3526.3177954373145</v>
      </c>
      <c r="AM818" s="368">
        <v>0</v>
      </c>
      <c r="AN818" s="368"/>
      <c r="AO818" s="368">
        <v>0</v>
      </c>
    </row>
    <row r="819" spans="1:41" s="152" customFormat="1" ht="36" customHeight="1" x14ac:dyDescent="0.9">
      <c r="A819" s="152">
        <v>1</v>
      </c>
      <c r="B819" s="90">
        <f>SUBTOTAL(103,$A$554:A819)</f>
        <v>261</v>
      </c>
      <c r="C819" s="358" t="s">
        <v>1203</v>
      </c>
      <c r="D819" s="355">
        <v>1905</v>
      </c>
      <c r="E819" s="355"/>
      <c r="F819" s="357" t="s">
        <v>334</v>
      </c>
      <c r="G819" s="355">
        <v>2</v>
      </c>
      <c r="H819" s="355">
        <v>2</v>
      </c>
      <c r="I819" s="353">
        <v>1065.5</v>
      </c>
      <c r="J819" s="353">
        <v>510.7</v>
      </c>
      <c r="K819" s="353">
        <v>510.7</v>
      </c>
      <c r="L819" s="356">
        <v>18</v>
      </c>
      <c r="M819" s="355" t="s">
        <v>268</v>
      </c>
      <c r="N819" s="355" t="s">
        <v>272</v>
      </c>
      <c r="O819" s="354" t="s">
        <v>1331</v>
      </c>
      <c r="P819" s="353">
        <v>1562740.68</v>
      </c>
      <c r="Q819" s="353">
        <v>0</v>
      </c>
      <c r="R819" s="353">
        <v>0</v>
      </c>
      <c r="S819" s="353">
        <f t="shared" si="232"/>
        <v>1562740.68</v>
      </c>
      <c r="T819" s="167">
        <f t="shared" si="222"/>
        <v>1466.6735617081181</v>
      </c>
      <c r="U819" s="167">
        <v>9856.9208221492281</v>
      </c>
      <c r="V819" s="149">
        <f t="shared" si="230"/>
        <v>8390.2472604411105</v>
      </c>
      <c r="W819" s="149">
        <f t="shared" si="233"/>
        <v>9856.9208221492281</v>
      </c>
      <c r="X819" s="149">
        <v>0</v>
      </c>
      <c r="Y819" s="368">
        <v>0</v>
      </c>
      <c r="Z819" s="368">
        <v>0</v>
      </c>
      <c r="AA819" s="368">
        <v>0</v>
      </c>
      <c r="AB819" s="368">
        <v>0</v>
      </c>
      <c r="AC819" s="368">
        <v>0</v>
      </c>
      <c r="AD819" s="368">
        <v>0</v>
      </c>
      <c r="AE819" s="368">
        <v>0</v>
      </c>
      <c r="AF819" s="396">
        <v>0</v>
      </c>
      <c r="AG819" s="368">
        <v>0</v>
      </c>
      <c r="AH819" s="396">
        <v>0</v>
      </c>
      <c r="AI819" s="368">
        <v>0</v>
      </c>
      <c r="AJ819" s="396">
        <v>0</v>
      </c>
      <c r="AK819" s="368">
        <v>136.80000000000001</v>
      </c>
      <c r="AL819" s="396">
        <f t="shared" si="236"/>
        <v>9856.9208221492281</v>
      </c>
      <c r="AM819" s="368">
        <v>0</v>
      </c>
      <c r="AN819" s="368"/>
      <c r="AO819" s="368">
        <v>0</v>
      </c>
    </row>
    <row r="820" spans="1:41" s="152" customFormat="1" ht="36" customHeight="1" x14ac:dyDescent="0.9">
      <c r="B820" s="382" t="s">
        <v>829</v>
      </c>
      <c r="C820" s="382"/>
      <c r="D820" s="384" t="s">
        <v>903</v>
      </c>
      <c r="E820" s="163" t="s">
        <v>903</v>
      </c>
      <c r="F820" s="384" t="s">
        <v>903</v>
      </c>
      <c r="G820" s="384" t="s">
        <v>903</v>
      </c>
      <c r="H820" s="163" t="s">
        <v>903</v>
      </c>
      <c r="I820" s="386">
        <f>SUM(I821:I825)</f>
        <v>23407.8</v>
      </c>
      <c r="J820" s="164">
        <f>SUM(J821:J825)</f>
        <v>16025.000000000002</v>
      </c>
      <c r="K820" s="164">
        <f>SUM(K821:K825)</f>
        <v>15195.3</v>
      </c>
      <c r="L820" s="165">
        <f>SUM(L821:L825)</f>
        <v>749</v>
      </c>
      <c r="M820" s="163" t="s">
        <v>903</v>
      </c>
      <c r="N820" s="163" t="s">
        <v>903</v>
      </c>
      <c r="O820" s="166" t="s">
        <v>903</v>
      </c>
      <c r="P820" s="386">
        <v>19605520.310000002</v>
      </c>
      <c r="Q820" s="164">
        <f>SUM(Q821:Q825)</f>
        <v>0</v>
      </c>
      <c r="R820" s="164">
        <f>SUM(R821:R825)</f>
        <v>0</v>
      </c>
      <c r="S820" s="164">
        <f>SUM(S821:S825)</f>
        <v>19605520.310000002</v>
      </c>
      <c r="T820" s="387">
        <f t="shared" si="222"/>
        <v>837.56356043711935</v>
      </c>
      <c r="U820" s="387">
        <f>MAX(U821:U825)</f>
        <v>4879.5944134078209</v>
      </c>
      <c r="V820" s="149">
        <f t="shared" si="230"/>
        <v>4042.0308529707017</v>
      </c>
      <c r="W820" s="149"/>
      <c r="X820" s="149"/>
      <c r="Y820" s="368"/>
      <c r="Z820" s="368"/>
      <c r="AA820" s="368"/>
      <c r="AB820" s="368"/>
      <c r="AC820" s="368"/>
      <c r="AD820" s="368"/>
      <c r="AE820" s="368"/>
      <c r="AF820" s="368"/>
      <c r="AG820" s="368"/>
      <c r="AH820" s="368"/>
      <c r="AI820" s="368"/>
      <c r="AJ820" s="368"/>
      <c r="AK820" s="368"/>
      <c r="AL820" s="368"/>
      <c r="AM820" s="368"/>
      <c r="AN820" s="368"/>
      <c r="AO820" s="368"/>
    </row>
    <row r="821" spans="1:41" s="152" customFormat="1" ht="36" customHeight="1" x14ac:dyDescent="0.9">
      <c r="A821" s="152">
        <v>1</v>
      </c>
      <c r="B821" s="90">
        <f>SUBTOTAL(103,$A$554:A821)</f>
        <v>262</v>
      </c>
      <c r="C821" s="89" t="s">
        <v>650</v>
      </c>
      <c r="D821" s="163">
        <v>1981</v>
      </c>
      <c r="E821" s="163"/>
      <c r="F821" s="168" t="s">
        <v>315</v>
      </c>
      <c r="G821" s="163">
        <v>5</v>
      </c>
      <c r="H821" s="163">
        <v>7</v>
      </c>
      <c r="I821" s="164">
        <v>7160.5</v>
      </c>
      <c r="J821" s="164">
        <v>5349.7</v>
      </c>
      <c r="K821" s="164">
        <v>5077.8999999999996</v>
      </c>
      <c r="L821" s="165">
        <v>233</v>
      </c>
      <c r="M821" s="163" t="s">
        <v>268</v>
      </c>
      <c r="N821" s="163" t="s">
        <v>272</v>
      </c>
      <c r="O821" s="166" t="s">
        <v>721</v>
      </c>
      <c r="P821" s="167">
        <v>5608010</v>
      </c>
      <c r="Q821" s="167">
        <v>0</v>
      </c>
      <c r="R821" s="167">
        <v>0</v>
      </c>
      <c r="S821" s="167">
        <f>P821-Q821-R821</f>
        <v>5608010</v>
      </c>
      <c r="T821" s="167">
        <f t="shared" si="222"/>
        <v>783.18692828713074</v>
      </c>
      <c r="U821" s="167">
        <v>978.02897493191813</v>
      </c>
      <c r="V821" s="149">
        <f t="shared" si="230"/>
        <v>194.84204664478739</v>
      </c>
      <c r="W821" s="149">
        <f t="shared" ref="W821:W825" si="237">X821+Y821+Z821+AA821+AB821+AD821+AF821+AH821+AJ821+AL821+AN821+AO821</f>
        <v>978.02897493191813</v>
      </c>
      <c r="X821" s="149">
        <v>0</v>
      </c>
      <c r="Y821" s="368">
        <v>0</v>
      </c>
      <c r="Z821" s="368">
        <v>0</v>
      </c>
      <c r="AA821" s="368">
        <v>0</v>
      </c>
      <c r="AB821" s="368">
        <v>0</v>
      </c>
      <c r="AC821" s="368">
        <v>0</v>
      </c>
      <c r="AD821" s="368">
        <v>0</v>
      </c>
      <c r="AE821" s="368">
        <v>1122.5</v>
      </c>
      <c r="AF821" s="396">
        <f t="shared" ref="AF821:AF822" si="238">6238.91*AE821/I821</f>
        <v>978.02897493191813</v>
      </c>
      <c r="AG821" s="368">
        <v>0</v>
      </c>
      <c r="AH821" s="396">
        <v>0</v>
      </c>
      <c r="AI821" s="368">
        <v>0</v>
      </c>
      <c r="AJ821" s="396">
        <v>0</v>
      </c>
      <c r="AK821" s="368">
        <v>0</v>
      </c>
      <c r="AL821" s="368">
        <v>0</v>
      </c>
      <c r="AM821" s="368">
        <v>0</v>
      </c>
      <c r="AN821" s="368"/>
      <c r="AO821" s="368">
        <v>0</v>
      </c>
    </row>
    <row r="822" spans="1:41" s="152" customFormat="1" ht="36" customHeight="1" x14ac:dyDescent="0.9">
      <c r="A822" s="152">
        <v>1</v>
      </c>
      <c r="B822" s="90">
        <f>SUBTOTAL(103,$A$554:A822)</f>
        <v>263</v>
      </c>
      <c r="C822" s="89" t="s">
        <v>647</v>
      </c>
      <c r="D822" s="163">
        <v>1987</v>
      </c>
      <c r="E822" s="163"/>
      <c r="F822" s="168" t="s">
        <v>270</v>
      </c>
      <c r="G822" s="163">
        <v>5</v>
      </c>
      <c r="H822" s="163">
        <v>6</v>
      </c>
      <c r="I822" s="164">
        <v>5019</v>
      </c>
      <c r="J822" s="164">
        <v>3931.5</v>
      </c>
      <c r="K822" s="164">
        <v>3739.7</v>
      </c>
      <c r="L822" s="165">
        <v>187</v>
      </c>
      <c r="M822" s="163" t="s">
        <v>268</v>
      </c>
      <c r="N822" s="163" t="s">
        <v>272</v>
      </c>
      <c r="O822" s="166" t="s">
        <v>721</v>
      </c>
      <c r="P822" s="167">
        <v>4467087.6000000006</v>
      </c>
      <c r="Q822" s="167">
        <v>0</v>
      </c>
      <c r="R822" s="167">
        <v>0</v>
      </c>
      <c r="S822" s="167">
        <f>P822-Q822-R822</f>
        <v>4467087.6000000006</v>
      </c>
      <c r="T822" s="167">
        <f t="shared" si="222"/>
        <v>890.03538553496719</v>
      </c>
      <c r="U822" s="167">
        <v>1063.5607483562462</v>
      </c>
      <c r="V822" s="149">
        <f t="shared" si="230"/>
        <v>173.52536282127903</v>
      </c>
      <c r="W822" s="149">
        <f t="shared" si="237"/>
        <v>1063.5607483562462</v>
      </c>
      <c r="X822" s="149">
        <v>0</v>
      </c>
      <c r="Y822" s="368">
        <v>0</v>
      </c>
      <c r="Z822" s="368">
        <v>0</v>
      </c>
      <c r="AA822" s="368">
        <v>0</v>
      </c>
      <c r="AB822" s="368">
        <v>0</v>
      </c>
      <c r="AC822" s="368">
        <v>0</v>
      </c>
      <c r="AD822" s="368">
        <v>0</v>
      </c>
      <c r="AE822" s="368">
        <v>855.6</v>
      </c>
      <c r="AF822" s="396">
        <f t="shared" si="238"/>
        <v>1063.5607483562462</v>
      </c>
      <c r="AG822" s="368">
        <v>0</v>
      </c>
      <c r="AH822" s="396">
        <v>0</v>
      </c>
      <c r="AI822" s="368">
        <v>0</v>
      </c>
      <c r="AJ822" s="396">
        <v>0</v>
      </c>
      <c r="AK822" s="368">
        <v>0</v>
      </c>
      <c r="AL822" s="368">
        <v>0</v>
      </c>
      <c r="AM822" s="368">
        <v>0</v>
      </c>
      <c r="AN822" s="368"/>
      <c r="AO822" s="368">
        <v>0</v>
      </c>
    </row>
    <row r="823" spans="1:41" s="152" customFormat="1" ht="36" customHeight="1" x14ac:dyDescent="0.9">
      <c r="A823" s="152">
        <v>1</v>
      </c>
      <c r="B823" s="90">
        <f>SUBTOTAL(103,$A$554:A823)</f>
        <v>264</v>
      </c>
      <c r="C823" s="358" t="s">
        <v>1210</v>
      </c>
      <c r="D823" s="355">
        <v>1989</v>
      </c>
      <c r="E823" s="355">
        <v>2015</v>
      </c>
      <c r="F823" s="357" t="s">
        <v>270</v>
      </c>
      <c r="G823" s="355">
        <v>9</v>
      </c>
      <c r="H823" s="355">
        <v>2</v>
      </c>
      <c r="I823" s="353">
        <v>6378.8</v>
      </c>
      <c r="J823" s="353">
        <v>3627.7</v>
      </c>
      <c r="K823" s="353">
        <v>3459.6</v>
      </c>
      <c r="L823" s="356">
        <v>186</v>
      </c>
      <c r="M823" s="355" t="s">
        <v>268</v>
      </c>
      <c r="N823" s="355" t="s">
        <v>272</v>
      </c>
      <c r="O823" s="354" t="s">
        <v>721</v>
      </c>
      <c r="P823" s="353">
        <v>2483706.87</v>
      </c>
      <c r="Q823" s="353">
        <v>0</v>
      </c>
      <c r="R823" s="353">
        <v>0</v>
      </c>
      <c r="S823" s="353">
        <f>P823-Q823-R823</f>
        <v>2483706.87</v>
      </c>
      <c r="T823" s="167">
        <f t="shared" si="222"/>
        <v>389.36898319433124</v>
      </c>
      <c r="U823" s="167">
        <v>3791.6299999999997</v>
      </c>
      <c r="V823" s="149">
        <f t="shared" si="230"/>
        <v>3402.2610168056685</v>
      </c>
      <c r="W823" s="149">
        <f t="shared" si="237"/>
        <v>3791.6299999999997</v>
      </c>
      <c r="X823" s="149">
        <v>101.55</v>
      </c>
      <c r="Y823" s="368">
        <v>245.44</v>
      </c>
      <c r="Z823" s="368">
        <v>3259.66</v>
      </c>
      <c r="AA823" s="368">
        <v>184.98</v>
      </c>
      <c r="AB823" s="368">
        <v>0</v>
      </c>
      <c r="AC823" s="368">
        <v>0</v>
      </c>
      <c r="AD823" s="368">
        <v>0</v>
      </c>
      <c r="AE823" s="368">
        <v>0</v>
      </c>
      <c r="AF823" s="396">
        <v>0</v>
      </c>
      <c r="AG823" s="368">
        <v>0</v>
      </c>
      <c r="AH823" s="396">
        <v>0</v>
      </c>
      <c r="AI823" s="368">
        <v>0</v>
      </c>
      <c r="AJ823" s="396">
        <v>0</v>
      </c>
      <c r="AK823" s="368">
        <v>0</v>
      </c>
      <c r="AL823" s="368">
        <v>0</v>
      </c>
      <c r="AM823" s="368">
        <v>0</v>
      </c>
      <c r="AN823" s="368"/>
      <c r="AO823" s="368">
        <v>0</v>
      </c>
    </row>
    <row r="824" spans="1:41" s="152" customFormat="1" ht="36" customHeight="1" x14ac:dyDescent="0.9">
      <c r="A824" s="152">
        <v>1</v>
      </c>
      <c r="B824" s="90">
        <f>SUBTOTAL(103,$A$554:A824)</f>
        <v>265</v>
      </c>
      <c r="C824" s="89" t="s">
        <v>1935</v>
      </c>
      <c r="D824" s="163">
        <v>1964</v>
      </c>
      <c r="E824" s="163"/>
      <c r="F824" s="168" t="s">
        <v>270</v>
      </c>
      <c r="G824" s="163">
        <v>2</v>
      </c>
      <c r="H824" s="163">
        <v>2</v>
      </c>
      <c r="I824" s="164">
        <v>680.2</v>
      </c>
      <c r="J824" s="164">
        <v>356</v>
      </c>
      <c r="K824" s="164">
        <f>J824-35.8</f>
        <v>320.2</v>
      </c>
      <c r="L824" s="165">
        <v>22</v>
      </c>
      <c r="M824" s="163" t="s">
        <v>268</v>
      </c>
      <c r="N824" s="163" t="s">
        <v>272</v>
      </c>
      <c r="O824" s="166" t="s">
        <v>721</v>
      </c>
      <c r="P824" s="167">
        <v>2819900</v>
      </c>
      <c r="Q824" s="167">
        <v>0</v>
      </c>
      <c r="R824" s="167">
        <v>0</v>
      </c>
      <c r="S824" s="167">
        <f>P824-Q824-R824</f>
        <v>2819900</v>
      </c>
      <c r="T824" s="167">
        <f t="shared" si="222"/>
        <v>4145.6924433989998</v>
      </c>
      <c r="U824" s="167">
        <v>4879.5944134078209</v>
      </c>
      <c r="V824" s="149">
        <f t="shared" si="230"/>
        <v>733.90197000882108</v>
      </c>
      <c r="W824" s="149">
        <f t="shared" si="237"/>
        <v>4879.5944134078209</v>
      </c>
      <c r="X824" s="149">
        <v>0</v>
      </c>
      <c r="Y824" s="368">
        <v>0</v>
      </c>
      <c r="Z824" s="368">
        <v>0</v>
      </c>
      <c r="AA824" s="368">
        <v>0</v>
      </c>
      <c r="AB824" s="368">
        <v>0</v>
      </c>
      <c r="AC824" s="368">
        <v>0</v>
      </c>
      <c r="AD824" s="368">
        <v>0</v>
      </c>
      <c r="AE824" s="368">
        <v>532</v>
      </c>
      <c r="AF824" s="396">
        <f t="shared" ref="AF824:AF825" si="239">6238.91*AE824/I824</f>
        <v>4879.5944134078209</v>
      </c>
      <c r="AG824" s="368">
        <v>0</v>
      </c>
      <c r="AH824" s="396">
        <v>0</v>
      </c>
      <c r="AI824" s="368">
        <v>0</v>
      </c>
      <c r="AJ824" s="396">
        <v>0</v>
      </c>
      <c r="AK824" s="368">
        <v>0</v>
      </c>
      <c r="AL824" s="368">
        <v>0</v>
      </c>
      <c r="AM824" s="368">
        <v>0</v>
      </c>
      <c r="AN824" s="368"/>
      <c r="AO824" s="368">
        <v>0</v>
      </c>
    </row>
    <row r="825" spans="1:41" s="152" customFormat="1" ht="36" customHeight="1" x14ac:dyDescent="0.9">
      <c r="A825" s="152">
        <v>1</v>
      </c>
      <c r="B825" s="90">
        <f>SUBTOTAL(103,$A$554:A825)</f>
        <v>266</v>
      </c>
      <c r="C825" s="89" t="s">
        <v>1108</v>
      </c>
      <c r="D825" s="163">
        <v>1983</v>
      </c>
      <c r="E825" s="163"/>
      <c r="F825" s="168" t="s">
        <v>270</v>
      </c>
      <c r="G825" s="163">
        <v>5</v>
      </c>
      <c r="H825" s="163">
        <v>4</v>
      </c>
      <c r="I825" s="164">
        <v>4169.3</v>
      </c>
      <c r="J825" s="164">
        <v>2760.1</v>
      </c>
      <c r="K825" s="164">
        <v>2597.9</v>
      </c>
      <c r="L825" s="165">
        <v>121</v>
      </c>
      <c r="M825" s="163" t="s">
        <v>268</v>
      </c>
      <c r="N825" s="163" t="s">
        <v>272</v>
      </c>
      <c r="O825" s="166" t="s">
        <v>1374</v>
      </c>
      <c r="P825" s="167">
        <v>4226815.84</v>
      </c>
      <c r="Q825" s="167">
        <v>0</v>
      </c>
      <c r="R825" s="167">
        <v>0</v>
      </c>
      <c r="S825" s="167">
        <f>P825-Q825-R825</f>
        <v>4226815.84</v>
      </c>
      <c r="T825" s="167">
        <f t="shared" si="222"/>
        <v>1013.795083107476</v>
      </c>
      <c r="U825" s="167">
        <v>1283.0070836831121</v>
      </c>
      <c r="V825" s="149">
        <f t="shared" si="230"/>
        <v>269.21200057563613</v>
      </c>
      <c r="W825" s="149">
        <f t="shared" si="237"/>
        <v>1283.0070836831121</v>
      </c>
      <c r="X825" s="149">
        <v>0</v>
      </c>
      <c r="Y825" s="368">
        <v>0</v>
      </c>
      <c r="Z825" s="368">
        <v>0</v>
      </c>
      <c r="AA825" s="368">
        <v>0</v>
      </c>
      <c r="AB825" s="368">
        <v>0</v>
      </c>
      <c r="AC825" s="368">
        <v>0</v>
      </c>
      <c r="AD825" s="368">
        <v>0</v>
      </c>
      <c r="AE825" s="368">
        <v>857.4</v>
      </c>
      <c r="AF825" s="396">
        <f t="shared" si="239"/>
        <v>1283.0070836831121</v>
      </c>
      <c r="AG825" s="368">
        <v>0</v>
      </c>
      <c r="AH825" s="396">
        <v>0</v>
      </c>
      <c r="AI825" s="368">
        <v>0</v>
      </c>
      <c r="AJ825" s="396">
        <v>0</v>
      </c>
      <c r="AK825" s="368">
        <v>0</v>
      </c>
      <c r="AL825" s="368">
        <v>0</v>
      </c>
      <c r="AM825" s="368">
        <v>0</v>
      </c>
      <c r="AN825" s="368"/>
      <c r="AO825" s="368">
        <v>0</v>
      </c>
    </row>
    <row r="826" spans="1:41" s="152" customFormat="1" ht="36" customHeight="1" x14ac:dyDescent="0.9">
      <c r="B826" s="382" t="s">
        <v>830</v>
      </c>
      <c r="C826" s="382"/>
      <c r="D826" s="384" t="s">
        <v>903</v>
      </c>
      <c r="E826" s="163" t="s">
        <v>903</v>
      </c>
      <c r="F826" s="384" t="s">
        <v>903</v>
      </c>
      <c r="G826" s="384" t="s">
        <v>903</v>
      </c>
      <c r="H826" s="163" t="s">
        <v>903</v>
      </c>
      <c r="I826" s="386">
        <f>SUM(I827:I830)</f>
        <v>3741.9999999999995</v>
      </c>
      <c r="J826" s="164">
        <f>SUM(J827:J830)</f>
        <v>3567.1</v>
      </c>
      <c r="K826" s="164">
        <f>SUM(K827:K830)</f>
        <v>2710.9</v>
      </c>
      <c r="L826" s="165">
        <f>SUM(L827:L830)</f>
        <v>153</v>
      </c>
      <c r="M826" s="163" t="s">
        <v>903</v>
      </c>
      <c r="N826" s="163" t="s">
        <v>903</v>
      </c>
      <c r="O826" s="166" t="s">
        <v>903</v>
      </c>
      <c r="P826" s="386">
        <v>13069363.829999998</v>
      </c>
      <c r="Q826" s="164">
        <f>SUM(Q827:Q830)</f>
        <v>0</v>
      </c>
      <c r="R826" s="164">
        <f>SUM(R827:R830)</f>
        <v>0</v>
      </c>
      <c r="S826" s="164">
        <f>SUM(S827:S830)</f>
        <v>13069363.829999998</v>
      </c>
      <c r="T826" s="387">
        <f t="shared" si="222"/>
        <v>3492.6145991448425</v>
      </c>
      <c r="U826" s="387">
        <f>MAX(U827:U830)</f>
        <v>5566.2388148434047</v>
      </c>
      <c r="V826" s="149">
        <f t="shared" si="230"/>
        <v>2073.6242156985622</v>
      </c>
      <c r="W826" s="149"/>
      <c r="X826" s="149"/>
      <c r="Y826" s="368"/>
      <c r="Z826" s="368"/>
      <c r="AA826" s="368"/>
      <c r="AB826" s="368"/>
      <c r="AC826" s="368"/>
      <c r="AD826" s="368"/>
      <c r="AE826" s="368"/>
      <c r="AF826" s="368"/>
      <c r="AG826" s="368"/>
      <c r="AH826" s="368"/>
      <c r="AI826" s="368"/>
      <c r="AJ826" s="368"/>
      <c r="AK826" s="368"/>
      <c r="AL826" s="368"/>
      <c r="AM826" s="368"/>
      <c r="AN826" s="368"/>
      <c r="AO826" s="368"/>
    </row>
    <row r="827" spans="1:41" s="152" customFormat="1" ht="36" customHeight="1" x14ac:dyDescent="0.9">
      <c r="A827" s="152">
        <v>1</v>
      </c>
      <c r="B827" s="90">
        <f>SUBTOTAL(103,$A$554:A827)</f>
        <v>267</v>
      </c>
      <c r="C827" s="89" t="s">
        <v>655</v>
      </c>
      <c r="D827" s="163">
        <v>1937</v>
      </c>
      <c r="E827" s="163"/>
      <c r="F827" s="168" t="s">
        <v>334</v>
      </c>
      <c r="G827" s="163">
        <v>2</v>
      </c>
      <c r="H827" s="163">
        <v>2</v>
      </c>
      <c r="I827" s="164">
        <v>423.5</v>
      </c>
      <c r="J827" s="164">
        <v>423.5</v>
      </c>
      <c r="K827" s="164">
        <v>301.89999999999998</v>
      </c>
      <c r="L827" s="165">
        <v>26</v>
      </c>
      <c r="M827" s="163" t="s">
        <v>268</v>
      </c>
      <c r="N827" s="163" t="s">
        <v>286</v>
      </c>
      <c r="O827" s="166" t="s">
        <v>271</v>
      </c>
      <c r="P827" s="167">
        <v>1801245</v>
      </c>
      <c r="Q827" s="167">
        <v>0</v>
      </c>
      <c r="R827" s="167">
        <v>0</v>
      </c>
      <c r="S827" s="167">
        <f>P827-Q827-R827</f>
        <v>1801245</v>
      </c>
      <c r="T827" s="167">
        <f t="shared" si="222"/>
        <v>4253.2349468713101</v>
      </c>
      <c r="U827" s="167">
        <v>5082.4650531286889</v>
      </c>
      <c r="V827" s="149">
        <f t="shared" si="230"/>
        <v>829.23010625737879</v>
      </c>
      <c r="W827" s="149">
        <f t="shared" ref="W827:W830" si="240">X827+Y827+Z827+AA827+AB827+AD827+AF827+AH827+AJ827+AL827+AN827+AO827</f>
        <v>5082.4650531286889</v>
      </c>
      <c r="X827" s="149">
        <v>0</v>
      </c>
      <c r="Y827" s="368">
        <v>0</v>
      </c>
      <c r="Z827" s="368">
        <v>0</v>
      </c>
      <c r="AA827" s="368">
        <v>0</v>
      </c>
      <c r="AB827" s="368">
        <v>0</v>
      </c>
      <c r="AC827" s="368">
        <v>0</v>
      </c>
      <c r="AD827" s="368">
        <v>0</v>
      </c>
      <c r="AE827" s="368">
        <v>345</v>
      </c>
      <c r="AF827" s="396">
        <f t="shared" ref="AF827:AF830" si="241">6238.91*AE827/I827</f>
        <v>5082.4650531286889</v>
      </c>
      <c r="AG827" s="368">
        <v>0</v>
      </c>
      <c r="AH827" s="396">
        <v>0</v>
      </c>
      <c r="AI827" s="368">
        <v>0</v>
      </c>
      <c r="AJ827" s="396">
        <v>0</v>
      </c>
      <c r="AK827" s="368">
        <v>0</v>
      </c>
      <c r="AL827" s="368">
        <v>0</v>
      </c>
      <c r="AM827" s="368">
        <v>0</v>
      </c>
      <c r="AN827" s="368"/>
      <c r="AO827" s="368">
        <v>0</v>
      </c>
    </row>
    <row r="828" spans="1:41" s="152" customFormat="1" ht="36" customHeight="1" x14ac:dyDescent="0.9">
      <c r="A828" s="152">
        <v>1</v>
      </c>
      <c r="B828" s="90">
        <f>SUBTOTAL(103,$A$554:A828)</f>
        <v>268</v>
      </c>
      <c r="C828" s="89" t="s">
        <v>656</v>
      </c>
      <c r="D828" s="163">
        <v>1952</v>
      </c>
      <c r="E828" s="163"/>
      <c r="F828" s="168" t="s">
        <v>270</v>
      </c>
      <c r="G828" s="163">
        <v>2</v>
      </c>
      <c r="H828" s="163">
        <v>2</v>
      </c>
      <c r="I828" s="164">
        <v>906.8</v>
      </c>
      <c r="J828" s="164">
        <v>836.1</v>
      </c>
      <c r="K828" s="164">
        <v>538</v>
      </c>
      <c r="L828" s="165">
        <v>33</v>
      </c>
      <c r="M828" s="163" t="s">
        <v>268</v>
      </c>
      <c r="N828" s="163" t="s">
        <v>272</v>
      </c>
      <c r="O828" s="166" t="s">
        <v>722</v>
      </c>
      <c r="P828" s="167">
        <v>4223945.63</v>
      </c>
      <c r="Q828" s="167">
        <v>0</v>
      </c>
      <c r="R828" s="167">
        <v>0</v>
      </c>
      <c r="S828" s="167">
        <f>P828-Q828-R828</f>
        <v>4223945.63</v>
      </c>
      <c r="T828" s="167">
        <f t="shared" si="222"/>
        <v>4658.0785509483903</v>
      </c>
      <c r="U828" s="167">
        <v>5566.2388148434047</v>
      </c>
      <c r="V828" s="149">
        <f t="shared" si="230"/>
        <v>908.1602638950144</v>
      </c>
      <c r="W828" s="149">
        <f t="shared" si="240"/>
        <v>5566.2388148434047</v>
      </c>
      <c r="X828" s="149">
        <v>0</v>
      </c>
      <c r="Y828" s="368">
        <v>0</v>
      </c>
      <c r="Z828" s="368">
        <v>0</v>
      </c>
      <c r="AA828" s="368">
        <v>0</v>
      </c>
      <c r="AB828" s="368">
        <v>0</v>
      </c>
      <c r="AC828" s="368">
        <v>0</v>
      </c>
      <c r="AD828" s="368">
        <v>0</v>
      </c>
      <c r="AE828" s="368">
        <v>809.03</v>
      </c>
      <c r="AF828" s="396">
        <f t="shared" si="241"/>
        <v>5566.2388148434047</v>
      </c>
      <c r="AG828" s="368">
        <v>0</v>
      </c>
      <c r="AH828" s="396">
        <v>0</v>
      </c>
      <c r="AI828" s="368">
        <v>0</v>
      </c>
      <c r="AJ828" s="396">
        <v>0</v>
      </c>
      <c r="AK828" s="368">
        <v>0</v>
      </c>
      <c r="AL828" s="368">
        <v>0</v>
      </c>
      <c r="AM828" s="368">
        <v>0</v>
      </c>
      <c r="AN828" s="368"/>
      <c r="AO828" s="368">
        <v>0</v>
      </c>
    </row>
    <row r="829" spans="1:41" s="152" customFormat="1" ht="36" customHeight="1" x14ac:dyDescent="0.9">
      <c r="A829" s="152">
        <v>1</v>
      </c>
      <c r="B829" s="90">
        <f>SUBTOTAL(103,$A$554:A829)</f>
        <v>269</v>
      </c>
      <c r="C829" s="89" t="s">
        <v>657</v>
      </c>
      <c r="D829" s="163">
        <v>1975</v>
      </c>
      <c r="E829" s="163"/>
      <c r="F829" s="168" t="s">
        <v>270</v>
      </c>
      <c r="G829" s="163">
        <v>3</v>
      </c>
      <c r="H829" s="163">
        <v>2</v>
      </c>
      <c r="I829" s="164">
        <v>1248.5999999999999</v>
      </c>
      <c r="J829" s="164">
        <v>1248.5999999999999</v>
      </c>
      <c r="K829" s="164">
        <v>1155.9000000000001</v>
      </c>
      <c r="L829" s="165">
        <v>54</v>
      </c>
      <c r="M829" s="163" t="s">
        <v>268</v>
      </c>
      <c r="N829" s="163" t="s">
        <v>272</v>
      </c>
      <c r="O829" s="166" t="s">
        <v>716</v>
      </c>
      <c r="P829" s="167">
        <v>3905308</v>
      </c>
      <c r="Q829" s="167">
        <v>0</v>
      </c>
      <c r="R829" s="167">
        <v>0</v>
      </c>
      <c r="S829" s="167">
        <f>P829-Q829-R829</f>
        <v>3905308</v>
      </c>
      <c r="T829" s="167">
        <f t="shared" si="222"/>
        <v>3127.749479416947</v>
      </c>
      <c r="U829" s="167">
        <v>3737.5497997757489</v>
      </c>
      <c r="V829" s="149">
        <f t="shared" si="230"/>
        <v>609.80032035880186</v>
      </c>
      <c r="W829" s="149">
        <f t="shared" si="240"/>
        <v>3737.5497997757489</v>
      </c>
      <c r="X829" s="149">
        <v>0</v>
      </c>
      <c r="Y829" s="368">
        <v>0</v>
      </c>
      <c r="Z829" s="368">
        <v>0</v>
      </c>
      <c r="AA829" s="368">
        <v>0</v>
      </c>
      <c r="AB829" s="368">
        <v>0</v>
      </c>
      <c r="AC829" s="368">
        <v>0</v>
      </c>
      <c r="AD829" s="368">
        <v>0</v>
      </c>
      <c r="AE829" s="368">
        <v>748</v>
      </c>
      <c r="AF829" s="396">
        <f t="shared" si="241"/>
        <v>3737.5497997757489</v>
      </c>
      <c r="AG829" s="368">
        <v>0</v>
      </c>
      <c r="AH829" s="396">
        <v>0</v>
      </c>
      <c r="AI829" s="368">
        <v>0</v>
      </c>
      <c r="AJ829" s="396">
        <v>0</v>
      </c>
      <c r="AK829" s="368">
        <v>0</v>
      </c>
      <c r="AL829" s="368">
        <v>0</v>
      </c>
      <c r="AM829" s="368">
        <v>0</v>
      </c>
      <c r="AN829" s="368"/>
      <c r="AO829" s="368">
        <v>0</v>
      </c>
    </row>
    <row r="830" spans="1:41" s="152" customFormat="1" ht="36" customHeight="1" x14ac:dyDescent="0.9">
      <c r="A830" s="152">
        <v>1</v>
      </c>
      <c r="B830" s="90">
        <f>SUBTOTAL(103,$A$554:A830)</f>
        <v>270</v>
      </c>
      <c r="C830" s="89" t="s">
        <v>654</v>
      </c>
      <c r="D830" s="163">
        <v>1959</v>
      </c>
      <c r="E830" s="163"/>
      <c r="F830" s="168" t="s">
        <v>270</v>
      </c>
      <c r="G830" s="163">
        <v>3</v>
      </c>
      <c r="H830" s="163">
        <v>3</v>
      </c>
      <c r="I830" s="164">
        <v>1163.0999999999999</v>
      </c>
      <c r="J830" s="164">
        <v>1058.9000000000001</v>
      </c>
      <c r="K830" s="164">
        <v>715.1</v>
      </c>
      <c r="L830" s="165">
        <v>40</v>
      </c>
      <c r="M830" s="163" t="s">
        <v>268</v>
      </c>
      <c r="N830" s="163" t="s">
        <v>272</v>
      </c>
      <c r="O830" s="166" t="s">
        <v>722</v>
      </c>
      <c r="P830" s="167">
        <v>3138865.1999999997</v>
      </c>
      <c r="Q830" s="167">
        <v>0</v>
      </c>
      <c r="R830" s="167">
        <v>0</v>
      </c>
      <c r="S830" s="167">
        <f>P830-Q830-R830</f>
        <v>3138865.1999999997</v>
      </c>
      <c r="T830" s="167">
        <f t="shared" si="222"/>
        <v>2698.7062161465051</v>
      </c>
      <c r="U830" s="167">
        <v>3224.8583028114526</v>
      </c>
      <c r="V830" s="149">
        <f t="shared" si="230"/>
        <v>526.15208666494755</v>
      </c>
      <c r="W830" s="149">
        <f t="shared" si="240"/>
        <v>3224.8583028114526</v>
      </c>
      <c r="X830" s="149">
        <v>0</v>
      </c>
      <c r="Y830" s="368">
        <v>0</v>
      </c>
      <c r="Z830" s="368">
        <v>0</v>
      </c>
      <c r="AA830" s="368">
        <v>0</v>
      </c>
      <c r="AB830" s="368">
        <v>0</v>
      </c>
      <c r="AC830" s="368">
        <v>0</v>
      </c>
      <c r="AD830" s="368">
        <v>0</v>
      </c>
      <c r="AE830" s="368">
        <v>601.20000000000005</v>
      </c>
      <c r="AF830" s="396">
        <f t="shared" si="241"/>
        <v>3224.8583028114526</v>
      </c>
      <c r="AG830" s="368">
        <v>0</v>
      </c>
      <c r="AH830" s="396">
        <v>0</v>
      </c>
      <c r="AI830" s="368">
        <v>0</v>
      </c>
      <c r="AJ830" s="396">
        <v>0</v>
      </c>
      <c r="AK830" s="368">
        <v>0</v>
      </c>
      <c r="AL830" s="368">
        <v>0</v>
      </c>
      <c r="AM830" s="368">
        <v>0</v>
      </c>
      <c r="AN830" s="368"/>
      <c r="AO830" s="368">
        <v>0</v>
      </c>
    </row>
    <row r="831" spans="1:41" s="152" customFormat="1" ht="36" customHeight="1" x14ac:dyDescent="0.9">
      <c r="B831" s="382" t="s">
        <v>831</v>
      </c>
      <c r="C831" s="382"/>
      <c r="D831" s="384" t="s">
        <v>903</v>
      </c>
      <c r="E831" s="163" t="s">
        <v>903</v>
      </c>
      <c r="F831" s="384" t="s">
        <v>903</v>
      </c>
      <c r="G831" s="384" t="s">
        <v>903</v>
      </c>
      <c r="H831" s="163" t="s">
        <v>903</v>
      </c>
      <c r="I831" s="386">
        <f>SUM(I832:I834)</f>
        <v>10456.710000000001</v>
      </c>
      <c r="J831" s="164">
        <f>SUM(J832:J834)</f>
        <v>7665.51</v>
      </c>
      <c r="K831" s="164">
        <f>SUM(K832:K834)</f>
        <v>7096.41</v>
      </c>
      <c r="L831" s="165">
        <f>SUM(L832:L834)</f>
        <v>416</v>
      </c>
      <c r="M831" s="163" t="s">
        <v>903</v>
      </c>
      <c r="N831" s="163" t="s">
        <v>903</v>
      </c>
      <c r="O831" s="166" t="s">
        <v>903</v>
      </c>
      <c r="P831" s="386">
        <v>12458692.33</v>
      </c>
      <c r="Q831" s="164">
        <f>SUM(Q832:Q834)</f>
        <v>0</v>
      </c>
      <c r="R831" s="164">
        <f>SUM(R832:R834)</f>
        <v>0</v>
      </c>
      <c r="S831" s="164">
        <f>SUM(S832:S834)</f>
        <v>12458692.33</v>
      </c>
      <c r="T831" s="387">
        <f t="shared" ref="T831:T894" si="242">P831/I831</f>
        <v>1191.4543226311143</v>
      </c>
      <c r="U831" s="387">
        <f>MAX(U832:U834)</f>
        <v>4341.5</v>
      </c>
      <c r="V831" s="149">
        <f t="shared" si="230"/>
        <v>3150.0456773688857</v>
      </c>
      <c r="W831" s="149"/>
      <c r="X831" s="149"/>
      <c r="Y831" s="368"/>
      <c r="Z831" s="368"/>
      <c r="AA831" s="368"/>
      <c r="AB831" s="368"/>
      <c r="AC831" s="368"/>
      <c r="AD831" s="368"/>
      <c r="AE831" s="368"/>
      <c r="AF831" s="368"/>
      <c r="AG831" s="368"/>
      <c r="AH831" s="368"/>
      <c r="AI831" s="368"/>
      <c r="AJ831" s="368"/>
      <c r="AK831" s="368"/>
      <c r="AL831" s="368"/>
      <c r="AM831" s="368"/>
      <c r="AN831" s="368"/>
      <c r="AO831" s="368"/>
    </row>
    <row r="832" spans="1:41" s="152" customFormat="1" ht="36" customHeight="1" x14ac:dyDescent="0.9">
      <c r="A832" s="152">
        <v>1</v>
      </c>
      <c r="B832" s="90">
        <f>SUBTOTAL(103,$A$554:A832)</f>
        <v>271</v>
      </c>
      <c r="C832" s="89" t="s">
        <v>662</v>
      </c>
      <c r="D832" s="163">
        <v>1977</v>
      </c>
      <c r="E832" s="163"/>
      <c r="F832" s="168" t="s">
        <v>270</v>
      </c>
      <c r="G832" s="163">
        <v>3</v>
      </c>
      <c r="H832" s="163">
        <v>1</v>
      </c>
      <c r="I832" s="164">
        <v>1618.3</v>
      </c>
      <c r="J832" s="164">
        <v>1618.3</v>
      </c>
      <c r="K832" s="164">
        <v>1618.3</v>
      </c>
      <c r="L832" s="165">
        <v>48</v>
      </c>
      <c r="M832" s="163" t="s">
        <v>268</v>
      </c>
      <c r="N832" s="163" t="s">
        <v>272</v>
      </c>
      <c r="O832" s="166" t="s">
        <v>1005</v>
      </c>
      <c r="P832" s="167">
        <v>3550280</v>
      </c>
      <c r="Q832" s="167">
        <v>0</v>
      </c>
      <c r="R832" s="167">
        <v>0</v>
      </c>
      <c r="S832" s="167">
        <f>P832-Q832-R832</f>
        <v>3550280</v>
      </c>
      <c r="T832" s="167">
        <f t="shared" si="242"/>
        <v>2193.8330346660077</v>
      </c>
      <c r="U832" s="167">
        <v>2621.5527405301859</v>
      </c>
      <c r="V832" s="149">
        <f t="shared" si="230"/>
        <v>427.7197058641782</v>
      </c>
      <c r="W832" s="149">
        <f t="shared" ref="W832:W834" si="243">X832+Y832+Z832+AA832+AB832+AD832+AF832+AH832+AJ832+AL832+AN832+AO832</f>
        <v>2621.5527405301859</v>
      </c>
      <c r="X832" s="149">
        <v>0</v>
      </c>
      <c r="Y832" s="368">
        <v>0</v>
      </c>
      <c r="Z832" s="368">
        <v>0</v>
      </c>
      <c r="AA832" s="368">
        <v>0</v>
      </c>
      <c r="AB832" s="368">
        <v>0</v>
      </c>
      <c r="AC832" s="368">
        <v>0</v>
      </c>
      <c r="AD832" s="368">
        <v>0</v>
      </c>
      <c r="AE832" s="368">
        <v>680</v>
      </c>
      <c r="AF832" s="396">
        <f t="shared" ref="AF832:AF833" si="244">6238.91*AE832/I832</f>
        <v>2621.5527405301859</v>
      </c>
      <c r="AG832" s="368">
        <v>0</v>
      </c>
      <c r="AH832" s="396">
        <v>0</v>
      </c>
      <c r="AI832" s="368">
        <v>0</v>
      </c>
      <c r="AJ832" s="396">
        <v>0</v>
      </c>
      <c r="AK832" s="368">
        <v>0</v>
      </c>
      <c r="AL832" s="368">
        <v>0</v>
      </c>
      <c r="AM832" s="368">
        <v>0</v>
      </c>
      <c r="AN832" s="368"/>
      <c r="AO832" s="368">
        <v>0</v>
      </c>
    </row>
    <row r="833" spans="1:191" s="152" customFormat="1" ht="36" customHeight="1" x14ac:dyDescent="0.9">
      <c r="A833" s="152">
        <v>1</v>
      </c>
      <c r="B833" s="90">
        <f>SUBTOTAL(103,$A$554:A833)</f>
        <v>272</v>
      </c>
      <c r="C833" s="89" t="s">
        <v>665</v>
      </c>
      <c r="D833" s="163">
        <v>1986</v>
      </c>
      <c r="E833" s="163"/>
      <c r="F833" s="168" t="s">
        <v>270</v>
      </c>
      <c r="G833" s="163">
        <v>5</v>
      </c>
      <c r="H833" s="163">
        <v>6</v>
      </c>
      <c r="I833" s="164">
        <v>5164.1000000000004</v>
      </c>
      <c r="J833" s="164">
        <v>3837.8</v>
      </c>
      <c r="K833" s="164">
        <v>3837.8</v>
      </c>
      <c r="L833" s="165">
        <v>198</v>
      </c>
      <c r="M833" s="163" t="s">
        <v>268</v>
      </c>
      <c r="N833" s="163" t="s">
        <v>272</v>
      </c>
      <c r="O833" s="166" t="s">
        <v>726</v>
      </c>
      <c r="P833" s="167">
        <v>5495600.0099999998</v>
      </c>
      <c r="Q833" s="167">
        <v>0</v>
      </c>
      <c r="R833" s="167">
        <v>0</v>
      </c>
      <c r="S833" s="167">
        <f>P833-Q833-R833</f>
        <v>5495600.0099999998</v>
      </c>
      <c r="T833" s="167">
        <f t="shared" si="242"/>
        <v>1064.1931817741715</v>
      </c>
      <c r="U833" s="167">
        <v>1328.9442497240564</v>
      </c>
      <c r="V833" s="149">
        <f t="shared" si="230"/>
        <v>264.75106794988483</v>
      </c>
      <c r="W833" s="149">
        <f t="shared" si="243"/>
        <v>1328.9442497240564</v>
      </c>
      <c r="X833" s="149">
        <v>0</v>
      </c>
      <c r="Y833" s="368">
        <v>0</v>
      </c>
      <c r="Z833" s="368">
        <v>0</v>
      </c>
      <c r="AA833" s="368">
        <v>0</v>
      </c>
      <c r="AB833" s="368">
        <v>0</v>
      </c>
      <c r="AC833" s="368">
        <v>0</v>
      </c>
      <c r="AD833" s="368">
        <v>0</v>
      </c>
      <c r="AE833" s="368">
        <v>1100</v>
      </c>
      <c r="AF833" s="396">
        <f t="shared" si="244"/>
        <v>1328.9442497240564</v>
      </c>
      <c r="AG833" s="368">
        <v>0</v>
      </c>
      <c r="AH833" s="396">
        <v>0</v>
      </c>
      <c r="AI833" s="368">
        <v>0</v>
      </c>
      <c r="AJ833" s="396">
        <v>0</v>
      </c>
      <c r="AK833" s="368">
        <v>0</v>
      </c>
      <c r="AL833" s="368">
        <v>0</v>
      </c>
      <c r="AM833" s="368">
        <v>0</v>
      </c>
      <c r="AN833" s="368"/>
      <c r="AO833" s="368">
        <v>0</v>
      </c>
    </row>
    <row r="834" spans="1:191" s="152" customFormat="1" ht="36" customHeight="1" x14ac:dyDescent="0.9">
      <c r="A834" s="152">
        <v>1</v>
      </c>
      <c r="B834" s="90">
        <f>SUBTOTAL(103,$A$554:A834)</f>
        <v>273</v>
      </c>
      <c r="C834" s="89" t="s">
        <v>1940</v>
      </c>
      <c r="D834" s="163">
        <v>1965</v>
      </c>
      <c r="E834" s="163"/>
      <c r="F834" s="168" t="s">
        <v>270</v>
      </c>
      <c r="G834" s="163">
        <v>4</v>
      </c>
      <c r="H834" s="163">
        <v>3</v>
      </c>
      <c r="I834" s="164">
        <v>3674.31</v>
      </c>
      <c r="J834" s="164">
        <v>2209.41</v>
      </c>
      <c r="K834" s="164">
        <f>J834-569.1</f>
        <v>1640.31</v>
      </c>
      <c r="L834" s="165">
        <v>170</v>
      </c>
      <c r="M834" s="163" t="s">
        <v>268</v>
      </c>
      <c r="N834" s="163" t="s">
        <v>272</v>
      </c>
      <c r="O834" s="166" t="s">
        <v>1941</v>
      </c>
      <c r="P834" s="167">
        <v>3412812.32</v>
      </c>
      <c r="Q834" s="167">
        <v>0</v>
      </c>
      <c r="R834" s="167">
        <v>0</v>
      </c>
      <c r="S834" s="167">
        <f>P834-Q834-R834</f>
        <v>3412812.32</v>
      </c>
      <c r="T834" s="167">
        <f t="shared" si="242"/>
        <v>928.83080632826295</v>
      </c>
      <c r="U834" s="167">
        <v>4341.5</v>
      </c>
      <c r="V834" s="149">
        <f t="shared" si="230"/>
        <v>3412.669193671737</v>
      </c>
      <c r="W834" s="149">
        <f t="shared" si="243"/>
        <v>4341.5</v>
      </c>
      <c r="X834" s="149">
        <v>101.55</v>
      </c>
      <c r="Y834" s="368">
        <v>0</v>
      </c>
      <c r="Z834" s="368">
        <v>3259.66</v>
      </c>
      <c r="AA834" s="368">
        <v>184.98</v>
      </c>
      <c r="AB834" s="368">
        <v>795.31</v>
      </c>
      <c r="AC834" s="368">
        <v>0</v>
      </c>
      <c r="AD834" s="368">
        <v>0</v>
      </c>
      <c r="AE834" s="368">
        <v>0</v>
      </c>
      <c r="AF834" s="396">
        <v>0</v>
      </c>
      <c r="AG834" s="368">
        <v>0</v>
      </c>
      <c r="AH834" s="396">
        <v>0</v>
      </c>
      <c r="AI834" s="368">
        <v>0</v>
      </c>
      <c r="AJ834" s="396">
        <v>0</v>
      </c>
      <c r="AK834" s="368">
        <v>0</v>
      </c>
      <c r="AL834" s="368">
        <v>0</v>
      </c>
      <c r="AM834" s="368">
        <v>0</v>
      </c>
      <c r="AN834" s="368"/>
      <c r="AO834" s="368">
        <v>0</v>
      </c>
    </row>
    <row r="835" spans="1:191" s="152" customFormat="1" ht="36" customHeight="1" x14ac:dyDescent="0.9">
      <c r="B835" s="382" t="s">
        <v>832</v>
      </c>
      <c r="C835" s="388"/>
      <c r="D835" s="384" t="s">
        <v>903</v>
      </c>
      <c r="E835" s="163" t="s">
        <v>903</v>
      </c>
      <c r="F835" s="384" t="s">
        <v>903</v>
      </c>
      <c r="G835" s="384" t="s">
        <v>903</v>
      </c>
      <c r="H835" s="163" t="s">
        <v>903</v>
      </c>
      <c r="I835" s="386">
        <f>SUM(I836:I836)</f>
        <v>2780.7</v>
      </c>
      <c r="J835" s="164">
        <f>SUM(J836:J836)</f>
        <v>1662.8</v>
      </c>
      <c r="K835" s="164">
        <f>SUM(K836:K836)</f>
        <v>1629.7</v>
      </c>
      <c r="L835" s="165">
        <f>SUM(L836:L836)</f>
        <v>103</v>
      </c>
      <c r="M835" s="163" t="s">
        <v>903</v>
      </c>
      <c r="N835" s="163" t="s">
        <v>903</v>
      </c>
      <c r="O835" s="166" t="s">
        <v>903</v>
      </c>
      <c r="P835" s="386">
        <v>2579501.7000000002</v>
      </c>
      <c r="Q835" s="164">
        <f>SUM(Q836:Q836)</f>
        <v>0</v>
      </c>
      <c r="R835" s="164">
        <f>SUM(R836:R836)</f>
        <v>0</v>
      </c>
      <c r="S835" s="164">
        <f>SUM(S836:S836)</f>
        <v>2579501.7000000002</v>
      </c>
      <c r="T835" s="387">
        <f t="shared" si="242"/>
        <v>927.64472974430907</v>
      </c>
      <c r="U835" s="387">
        <f>U836</f>
        <v>2333.3931743805515</v>
      </c>
      <c r="V835" s="149">
        <f t="shared" si="230"/>
        <v>1405.7484446362423</v>
      </c>
      <c r="W835" s="149"/>
      <c r="X835" s="149"/>
      <c r="Y835" s="368"/>
      <c r="Z835" s="368"/>
      <c r="AA835" s="368"/>
      <c r="AB835" s="368"/>
      <c r="AC835" s="368"/>
      <c r="AD835" s="368"/>
      <c r="AE835" s="368"/>
      <c r="AF835" s="368"/>
      <c r="AG835" s="368"/>
      <c r="AH835" s="368"/>
      <c r="AI835" s="368"/>
      <c r="AJ835" s="368"/>
      <c r="AK835" s="368"/>
      <c r="AL835" s="368"/>
      <c r="AM835" s="368"/>
      <c r="AN835" s="368"/>
      <c r="AO835" s="368"/>
    </row>
    <row r="836" spans="1:191" s="152" customFormat="1" ht="36" customHeight="1" x14ac:dyDescent="0.9">
      <c r="A836" s="152">
        <v>1</v>
      </c>
      <c r="B836" s="90">
        <f>SUBTOTAL(103,$A$554:A836)</f>
        <v>274</v>
      </c>
      <c r="C836" s="89" t="s">
        <v>772</v>
      </c>
      <c r="D836" s="163">
        <v>1985</v>
      </c>
      <c r="E836" s="163"/>
      <c r="F836" s="168" t="s">
        <v>270</v>
      </c>
      <c r="G836" s="163">
        <v>5</v>
      </c>
      <c r="H836" s="163">
        <v>4</v>
      </c>
      <c r="I836" s="164">
        <v>2780.7</v>
      </c>
      <c r="J836" s="164">
        <v>1662.8</v>
      </c>
      <c r="K836" s="164">
        <v>1629.7</v>
      </c>
      <c r="L836" s="165">
        <v>103</v>
      </c>
      <c r="M836" s="163" t="s">
        <v>268</v>
      </c>
      <c r="N836" s="163" t="s">
        <v>345</v>
      </c>
      <c r="O836" s="166" t="s">
        <v>731</v>
      </c>
      <c r="P836" s="167">
        <v>2579501.7000000002</v>
      </c>
      <c r="Q836" s="167">
        <v>0</v>
      </c>
      <c r="R836" s="167">
        <v>0</v>
      </c>
      <c r="S836" s="167">
        <f>P836-Q836-R836</f>
        <v>2579501.7000000002</v>
      </c>
      <c r="T836" s="167">
        <f t="shared" si="242"/>
        <v>927.64472974430907</v>
      </c>
      <c r="U836" s="167">
        <v>2333.3931743805515</v>
      </c>
      <c r="V836" s="149">
        <f>U836-T836</f>
        <v>1405.7484446362423</v>
      </c>
      <c r="W836" s="149">
        <f>X836+Y836+Z836+AA836+AB836+AD836+AF836+AH836+AJ836+AL836+AN836+AO836</f>
        <v>2333.3931743805515</v>
      </c>
      <c r="X836" s="149">
        <v>0</v>
      </c>
      <c r="Y836" s="368">
        <v>0</v>
      </c>
      <c r="Z836" s="368">
        <v>0</v>
      </c>
      <c r="AA836" s="368">
        <v>0</v>
      </c>
      <c r="AB836" s="368">
        <v>0</v>
      </c>
      <c r="AC836" s="368">
        <v>0</v>
      </c>
      <c r="AD836" s="368">
        <v>0</v>
      </c>
      <c r="AE836" s="368">
        <v>1040</v>
      </c>
      <c r="AF836" s="396">
        <f>6238.91*AE836/I836</f>
        <v>2333.3931743805515</v>
      </c>
      <c r="AG836" s="368">
        <v>0</v>
      </c>
      <c r="AH836" s="396">
        <v>0</v>
      </c>
      <c r="AI836" s="368">
        <v>0</v>
      </c>
      <c r="AJ836" s="396">
        <v>0</v>
      </c>
      <c r="AK836" s="368">
        <v>0</v>
      </c>
      <c r="AL836" s="368">
        <v>0</v>
      </c>
      <c r="AM836" s="368">
        <v>0</v>
      </c>
      <c r="AN836" s="368"/>
      <c r="AO836" s="368">
        <v>0</v>
      </c>
    </row>
    <row r="837" spans="1:191" s="152" customFormat="1" ht="36" customHeight="1" x14ac:dyDescent="0.9">
      <c r="B837" s="382" t="s">
        <v>834</v>
      </c>
      <c r="C837" s="382"/>
      <c r="D837" s="384" t="s">
        <v>903</v>
      </c>
      <c r="E837" s="163" t="s">
        <v>903</v>
      </c>
      <c r="F837" s="384" t="s">
        <v>903</v>
      </c>
      <c r="G837" s="384" t="s">
        <v>903</v>
      </c>
      <c r="H837" s="163" t="s">
        <v>903</v>
      </c>
      <c r="I837" s="386">
        <f>SUM(I838:I839)</f>
        <v>983.7</v>
      </c>
      <c r="J837" s="164">
        <f>SUM(J838:J839)</f>
        <v>875.3</v>
      </c>
      <c r="K837" s="164">
        <f>SUM(K838:K839)</f>
        <v>203.5</v>
      </c>
      <c r="L837" s="165">
        <f>SUM(L838:L839)</f>
        <v>39</v>
      </c>
      <c r="M837" s="163" t="s">
        <v>903</v>
      </c>
      <c r="N837" s="163" t="s">
        <v>903</v>
      </c>
      <c r="O837" s="166" t="s">
        <v>903</v>
      </c>
      <c r="P837" s="386">
        <v>3008567.42</v>
      </c>
      <c r="Q837" s="164">
        <f>SUM(Q838:Q839)</f>
        <v>0</v>
      </c>
      <c r="R837" s="164">
        <f>SUM(R838:R839)</f>
        <v>0</v>
      </c>
      <c r="S837" s="164">
        <f>SUM(S838:S839)</f>
        <v>3008567.42</v>
      </c>
      <c r="T837" s="387">
        <f t="shared" si="242"/>
        <v>3058.419660465589</v>
      </c>
      <c r="U837" s="387">
        <f>MAX(U838:U839)</f>
        <v>5721.6579500283933</v>
      </c>
      <c r="V837" s="149">
        <f t="shared" si="230"/>
        <v>2663.2382895628043</v>
      </c>
      <c r="W837" s="149"/>
      <c r="X837" s="149"/>
      <c r="Y837" s="368"/>
      <c r="Z837" s="368"/>
      <c r="AA837" s="368"/>
      <c r="AB837" s="368"/>
      <c r="AC837" s="368"/>
      <c r="AD837" s="368"/>
      <c r="AE837" s="368"/>
      <c r="AF837" s="368"/>
      <c r="AG837" s="368"/>
      <c r="AH837" s="368"/>
      <c r="AI837" s="368"/>
      <c r="AJ837" s="368"/>
      <c r="AK837" s="368"/>
      <c r="AL837" s="368"/>
      <c r="AM837" s="368"/>
      <c r="AN837" s="368"/>
      <c r="AO837" s="368"/>
    </row>
    <row r="838" spans="1:191" s="152" customFormat="1" ht="36" customHeight="1" x14ac:dyDescent="0.9">
      <c r="A838" s="152">
        <v>1</v>
      </c>
      <c r="B838" s="90">
        <f>SUBTOTAL(103,$A$554:A838)</f>
        <v>275</v>
      </c>
      <c r="C838" s="89" t="s">
        <v>698</v>
      </c>
      <c r="D838" s="163">
        <v>1975</v>
      </c>
      <c r="E838" s="163"/>
      <c r="F838" s="168" t="s">
        <v>270</v>
      </c>
      <c r="G838" s="163">
        <v>2</v>
      </c>
      <c r="H838" s="163">
        <v>2</v>
      </c>
      <c r="I838" s="164">
        <v>704.4</v>
      </c>
      <c r="J838" s="164">
        <v>617.79999999999995</v>
      </c>
      <c r="K838" s="164">
        <v>171.4</v>
      </c>
      <c r="L838" s="165">
        <v>22</v>
      </c>
      <c r="M838" s="163" t="s">
        <v>268</v>
      </c>
      <c r="N838" s="163" t="s">
        <v>269</v>
      </c>
      <c r="O838" s="166" t="s">
        <v>271</v>
      </c>
      <c r="P838" s="167">
        <v>2605803.73</v>
      </c>
      <c r="Q838" s="167">
        <v>0</v>
      </c>
      <c r="R838" s="167">
        <v>0</v>
      </c>
      <c r="S838" s="167">
        <f>P838-Q838-R838</f>
        <v>2605803.73</v>
      </c>
      <c r="T838" s="167">
        <f t="shared" si="242"/>
        <v>3699.3238642816582</v>
      </c>
      <c r="U838" s="167">
        <v>5721.6579500283933</v>
      </c>
      <c r="V838" s="149">
        <f t="shared" si="230"/>
        <v>2022.3340857467351</v>
      </c>
      <c r="W838" s="149">
        <f t="shared" ref="W838" si="245">X838+Y838+Z838+AA838+AB838+AD838+AF838+AH838+AJ838+AL838+AN838+AO838</f>
        <v>5721.6579500283933</v>
      </c>
      <c r="X838" s="149">
        <v>0</v>
      </c>
      <c r="Y838" s="368">
        <v>0</v>
      </c>
      <c r="Z838" s="368">
        <v>0</v>
      </c>
      <c r="AA838" s="368">
        <v>0</v>
      </c>
      <c r="AB838" s="368">
        <v>0</v>
      </c>
      <c r="AC838" s="368">
        <v>0</v>
      </c>
      <c r="AD838" s="368">
        <v>0</v>
      </c>
      <c r="AE838" s="368">
        <v>646</v>
      </c>
      <c r="AF838" s="396">
        <f>6238.91*AE838/I838</f>
        <v>5721.6579500283933</v>
      </c>
      <c r="AG838" s="368">
        <v>0</v>
      </c>
      <c r="AH838" s="396">
        <v>0</v>
      </c>
      <c r="AI838" s="368">
        <v>0</v>
      </c>
      <c r="AJ838" s="396">
        <v>0</v>
      </c>
      <c r="AK838" s="368">
        <v>0</v>
      </c>
      <c r="AL838" s="368">
        <v>0</v>
      </c>
      <c r="AM838" s="368">
        <v>0</v>
      </c>
      <c r="AN838" s="368"/>
      <c r="AO838" s="368">
        <v>0</v>
      </c>
    </row>
    <row r="839" spans="1:191" s="152" customFormat="1" ht="36" customHeight="1" x14ac:dyDescent="0.9">
      <c r="A839" s="152">
        <v>1</v>
      </c>
      <c r="B839" s="90">
        <f>SUBTOTAL(103,$A$554:A839)</f>
        <v>276</v>
      </c>
      <c r="C839" s="89" t="s">
        <v>689</v>
      </c>
      <c r="D839" s="163">
        <v>1961</v>
      </c>
      <c r="E839" s="163"/>
      <c r="F839" s="168" t="s">
        <v>270</v>
      </c>
      <c r="G839" s="163">
        <v>2</v>
      </c>
      <c r="H839" s="163">
        <v>1</v>
      </c>
      <c r="I839" s="164">
        <v>279.3</v>
      </c>
      <c r="J839" s="164">
        <v>257.5</v>
      </c>
      <c r="K839" s="164">
        <v>32.1</v>
      </c>
      <c r="L839" s="165">
        <v>17</v>
      </c>
      <c r="M839" s="163" t="s">
        <v>268</v>
      </c>
      <c r="N839" s="163" t="s">
        <v>269</v>
      </c>
      <c r="O839" s="166" t="s">
        <v>271</v>
      </c>
      <c r="P839" s="167">
        <v>402763.69</v>
      </c>
      <c r="Q839" s="167">
        <v>0</v>
      </c>
      <c r="R839" s="167">
        <v>0</v>
      </c>
      <c r="S839" s="167">
        <f>P839-Q839-R839</f>
        <v>402763.69</v>
      </c>
      <c r="T839" s="167">
        <f t="shared" si="242"/>
        <v>1442.0468671679198</v>
      </c>
      <c r="U839" s="167">
        <v>1442.0468671679198</v>
      </c>
      <c r="V839" s="149">
        <f t="shared" si="230"/>
        <v>0</v>
      </c>
      <c r="W839" s="149">
        <f>T839</f>
        <v>1442.0468671679198</v>
      </c>
      <c r="X839" s="149">
        <v>0</v>
      </c>
      <c r="Y839" s="368">
        <v>0</v>
      </c>
      <c r="Z839" s="368">
        <v>0</v>
      </c>
      <c r="AA839" s="368">
        <v>0</v>
      </c>
      <c r="AB839" s="368">
        <v>810.46</v>
      </c>
      <c r="AC839" s="368">
        <v>0</v>
      </c>
      <c r="AD839" s="368">
        <v>0</v>
      </c>
      <c r="AE839" s="368">
        <v>0</v>
      </c>
      <c r="AF839" s="396">
        <v>0</v>
      </c>
      <c r="AG839" s="368">
        <v>0</v>
      </c>
      <c r="AH839" s="396">
        <v>0</v>
      </c>
      <c r="AI839" s="368">
        <v>0</v>
      </c>
      <c r="AJ839" s="396">
        <v>0</v>
      </c>
      <c r="AK839" s="368">
        <v>0</v>
      </c>
      <c r="AL839" s="368">
        <v>0</v>
      </c>
      <c r="AM839" s="368">
        <v>0</v>
      </c>
      <c r="AN839" s="368"/>
      <c r="AO839" s="368">
        <v>0</v>
      </c>
    </row>
    <row r="840" spans="1:191" s="152" customFormat="1" ht="36" customHeight="1" x14ac:dyDescent="0.9">
      <c r="B840" s="382" t="s">
        <v>879</v>
      </c>
      <c r="C840" s="382"/>
      <c r="D840" s="384" t="s">
        <v>903</v>
      </c>
      <c r="E840" s="163" t="s">
        <v>903</v>
      </c>
      <c r="F840" s="384" t="s">
        <v>903</v>
      </c>
      <c r="G840" s="384" t="s">
        <v>903</v>
      </c>
      <c r="H840" s="163" t="s">
        <v>903</v>
      </c>
      <c r="I840" s="386">
        <f>I841</f>
        <v>618.29999999999995</v>
      </c>
      <c r="J840" s="164">
        <f>J841</f>
        <v>561.1</v>
      </c>
      <c r="K840" s="164">
        <f>K841</f>
        <v>2850.3</v>
      </c>
      <c r="L840" s="165">
        <f>L841</f>
        <v>30</v>
      </c>
      <c r="M840" s="163" t="s">
        <v>903</v>
      </c>
      <c r="N840" s="163" t="s">
        <v>903</v>
      </c>
      <c r="O840" s="166" t="s">
        <v>903</v>
      </c>
      <c r="P840" s="386">
        <v>3080948</v>
      </c>
      <c r="Q840" s="164">
        <f>Q841</f>
        <v>0</v>
      </c>
      <c r="R840" s="164">
        <f>R841</f>
        <v>0</v>
      </c>
      <c r="S840" s="164">
        <f>S841</f>
        <v>3080948</v>
      </c>
      <c r="T840" s="387">
        <f t="shared" si="242"/>
        <v>4982.9338508814499</v>
      </c>
      <c r="U840" s="387">
        <f>U841</f>
        <v>5247.0211871259908</v>
      </c>
      <c r="V840" s="149">
        <f t="shared" si="230"/>
        <v>264.08733624454089</v>
      </c>
      <c r="W840" s="149"/>
      <c r="X840" s="149"/>
      <c r="Y840" s="368"/>
      <c r="Z840" s="368"/>
      <c r="AA840" s="368"/>
      <c r="AB840" s="368"/>
      <c r="AC840" s="368"/>
      <c r="AD840" s="368"/>
      <c r="AE840" s="368"/>
      <c r="AF840" s="368"/>
      <c r="AG840" s="368"/>
      <c r="AH840" s="368"/>
      <c r="AI840" s="368"/>
      <c r="AJ840" s="368"/>
      <c r="AK840" s="368"/>
      <c r="AL840" s="368"/>
      <c r="AM840" s="368"/>
      <c r="AN840" s="368"/>
      <c r="AO840" s="368"/>
    </row>
    <row r="841" spans="1:191" s="152" customFormat="1" ht="36" customHeight="1" x14ac:dyDescent="0.9">
      <c r="A841" s="152">
        <v>1</v>
      </c>
      <c r="B841" s="90">
        <f>SUBTOTAL(103,$A$554:A841)</f>
        <v>277</v>
      </c>
      <c r="C841" s="89" t="s">
        <v>683</v>
      </c>
      <c r="D841" s="163">
        <v>1984</v>
      </c>
      <c r="E841" s="163"/>
      <c r="F841" s="168" t="s">
        <v>322</v>
      </c>
      <c r="G841" s="163">
        <v>2</v>
      </c>
      <c r="H841" s="163">
        <v>2</v>
      </c>
      <c r="I841" s="164">
        <v>618.29999999999995</v>
      </c>
      <c r="J841" s="164">
        <v>561.1</v>
      </c>
      <c r="K841" s="164">
        <v>2850.3</v>
      </c>
      <c r="L841" s="165">
        <v>30</v>
      </c>
      <c r="M841" s="163" t="s">
        <v>268</v>
      </c>
      <c r="N841" s="163" t="s">
        <v>269</v>
      </c>
      <c r="O841" s="166" t="s">
        <v>271</v>
      </c>
      <c r="P841" s="167">
        <v>3080948</v>
      </c>
      <c r="Q841" s="167">
        <v>0</v>
      </c>
      <c r="R841" s="167">
        <v>0</v>
      </c>
      <c r="S841" s="167">
        <f>P841-Q841-R841</f>
        <v>3080948</v>
      </c>
      <c r="T841" s="167">
        <f t="shared" si="242"/>
        <v>4982.9338508814499</v>
      </c>
      <c r="U841" s="167">
        <v>5247.0211871259908</v>
      </c>
      <c r="V841" s="149">
        <f>U841-T841</f>
        <v>264.08733624454089</v>
      </c>
      <c r="W841" s="149">
        <f>X841+Y841+Z841+AA841+AB841+AD841+AF841+AH841+AJ841+AL841+AN841+AO841</f>
        <v>5247.0211871259908</v>
      </c>
      <c r="X841" s="149">
        <v>0</v>
      </c>
      <c r="Y841" s="368">
        <v>0</v>
      </c>
      <c r="Z841" s="368">
        <v>0</v>
      </c>
      <c r="AA841" s="368">
        <v>0</v>
      </c>
      <c r="AB841" s="368">
        <v>0</v>
      </c>
      <c r="AC841" s="368">
        <v>0</v>
      </c>
      <c r="AD841" s="368">
        <v>0</v>
      </c>
      <c r="AE841" s="368">
        <v>520</v>
      </c>
      <c r="AF841" s="396">
        <f>6238.91*AE841/I841</f>
        <v>5247.0211871259908</v>
      </c>
      <c r="AG841" s="368">
        <v>0</v>
      </c>
      <c r="AH841" s="396">
        <v>0</v>
      </c>
      <c r="AI841" s="368">
        <v>0</v>
      </c>
      <c r="AJ841" s="396">
        <v>0</v>
      </c>
      <c r="AK841" s="368">
        <v>0</v>
      </c>
      <c r="AL841" s="368">
        <v>0</v>
      </c>
      <c r="AM841" s="368">
        <v>0</v>
      </c>
      <c r="AN841" s="368"/>
      <c r="AO841" s="368">
        <v>0</v>
      </c>
    </row>
    <row r="842" spans="1:191" s="152" customFormat="1" ht="36" customHeight="1" x14ac:dyDescent="0.9">
      <c r="B842" s="382" t="s">
        <v>835</v>
      </c>
      <c r="C842" s="382"/>
      <c r="D842" s="384" t="s">
        <v>903</v>
      </c>
      <c r="E842" s="163" t="s">
        <v>903</v>
      </c>
      <c r="F842" s="384" t="s">
        <v>903</v>
      </c>
      <c r="G842" s="384" t="s">
        <v>903</v>
      </c>
      <c r="H842" s="163" t="s">
        <v>903</v>
      </c>
      <c r="I842" s="386">
        <f>I843</f>
        <v>3085.8</v>
      </c>
      <c r="J842" s="164">
        <f>J843</f>
        <v>2104.5</v>
      </c>
      <c r="K842" s="164">
        <f>K843</f>
        <v>1863.3</v>
      </c>
      <c r="L842" s="165">
        <f>L843</f>
        <v>144</v>
      </c>
      <c r="M842" s="163" t="s">
        <v>903</v>
      </c>
      <c r="N842" s="163" t="s">
        <v>903</v>
      </c>
      <c r="O842" s="166" t="s">
        <v>903</v>
      </c>
      <c r="P842" s="386">
        <v>2008998.15</v>
      </c>
      <c r="Q842" s="164">
        <f>Q843</f>
        <v>0</v>
      </c>
      <c r="R842" s="164">
        <f>R843</f>
        <v>0</v>
      </c>
      <c r="S842" s="164">
        <f>S843</f>
        <v>2008998.15</v>
      </c>
      <c r="T842" s="387">
        <f t="shared" si="242"/>
        <v>651.04613066303705</v>
      </c>
      <c r="U842" s="387">
        <f>U843</f>
        <v>1641.7120098515782</v>
      </c>
      <c r="V842" s="149">
        <f t="shared" si="230"/>
        <v>990.66587918854111</v>
      </c>
      <c r="W842" s="149"/>
      <c r="X842" s="149"/>
      <c r="Y842" s="368"/>
      <c r="Z842" s="368"/>
      <c r="AA842" s="368"/>
      <c r="AB842" s="368"/>
      <c r="AC842" s="368"/>
      <c r="AD842" s="368"/>
      <c r="AE842" s="368"/>
      <c r="AF842" s="368"/>
      <c r="AG842" s="368"/>
      <c r="AH842" s="368"/>
      <c r="AI842" s="368"/>
      <c r="AJ842" s="368"/>
      <c r="AK842" s="368"/>
      <c r="AL842" s="368"/>
      <c r="AM842" s="368"/>
      <c r="AN842" s="368"/>
      <c r="AO842" s="368"/>
    </row>
    <row r="843" spans="1:191" s="121" customFormat="1" ht="36" customHeight="1" x14ac:dyDescent="0.9">
      <c r="A843" s="152">
        <v>1</v>
      </c>
      <c r="B843" s="90">
        <f>SUBTOTAL(103,$A$554:A843)</f>
        <v>278</v>
      </c>
      <c r="C843" s="176" t="s">
        <v>690</v>
      </c>
      <c r="D843" s="163">
        <v>1979</v>
      </c>
      <c r="E843" s="163"/>
      <c r="F843" s="178" t="s">
        <v>735</v>
      </c>
      <c r="G843" s="163">
        <v>5</v>
      </c>
      <c r="H843" s="163">
        <v>4</v>
      </c>
      <c r="I843" s="164">
        <v>3085.8</v>
      </c>
      <c r="J843" s="164">
        <v>2104.5</v>
      </c>
      <c r="K843" s="164">
        <v>1863.3</v>
      </c>
      <c r="L843" s="177">
        <v>144</v>
      </c>
      <c r="M843" s="163" t="s">
        <v>268</v>
      </c>
      <c r="N843" s="163" t="s">
        <v>272</v>
      </c>
      <c r="O843" s="163" t="s">
        <v>732</v>
      </c>
      <c r="P843" s="164">
        <v>2008998.15</v>
      </c>
      <c r="Q843" s="164">
        <v>0</v>
      </c>
      <c r="R843" s="164">
        <v>0</v>
      </c>
      <c r="S843" s="164">
        <f>P843-Q843-R843</f>
        <v>2008998.15</v>
      </c>
      <c r="T843" s="167">
        <f t="shared" si="242"/>
        <v>651.04613066303705</v>
      </c>
      <c r="U843" s="167">
        <v>1641.7120098515782</v>
      </c>
      <c r="V843" s="149">
        <f>U843-T843</f>
        <v>990.66587918854111</v>
      </c>
      <c r="W843" s="149">
        <f>X843+Y843+Z843+AA843+AB843+AD843+AF843+AH843+AJ843+AL843+AN843+AO843</f>
        <v>1641.7120098515782</v>
      </c>
      <c r="X843" s="149">
        <v>0</v>
      </c>
      <c r="Y843" s="368">
        <v>0</v>
      </c>
      <c r="Z843" s="368">
        <v>0</v>
      </c>
      <c r="AA843" s="368">
        <v>0</v>
      </c>
      <c r="AB843" s="368">
        <v>0</v>
      </c>
      <c r="AC843" s="368">
        <v>0</v>
      </c>
      <c r="AD843" s="368">
        <v>0</v>
      </c>
      <c r="AE843" s="368">
        <v>812</v>
      </c>
      <c r="AF843" s="396">
        <f>6238.91*AE843/I843</f>
        <v>1641.7120098515782</v>
      </c>
      <c r="AG843" s="368">
        <v>0</v>
      </c>
      <c r="AH843" s="396">
        <v>0</v>
      </c>
      <c r="AI843" s="368">
        <v>0</v>
      </c>
      <c r="AJ843" s="396">
        <v>0</v>
      </c>
      <c r="AK843" s="368">
        <v>0</v>
      </c>
      <c r="AL843" s="368">
        <v>0</v>
      </c>
      <c r="AM843" s="368">
        <v>0</v>
      </c>
      <c r="AN843" s="368"/>
      <c r="AO843" s="368">
        <v>0</v>
      </c>
      <c r="AP843" s="152"/>
      <c r="DQ843" s="123"/>
      <c r="DR843" s="123"/>
      <c r="DS843" s="123"/>
      <c r="EG843" s="124"/>
      <c r="EP843" s="125"/>
      <c r="FS843" s="126"/>
      <c r="GI843" s="127"/>
    </row>
    <row r="844" spans="1:191" s="152" customFormat="1" ht="36" customHeight="1" x14ac:dyDescent="0.9">
      <c r="B844" s="382" t="s">
        <v>836</v>
      </c>
      <c r="C844" s="382"/>
      <c r="D844" s="384" t="s">
        <v>903</v>
      </c>
      <c r="E844" s="163" t="s">
        <v>903</v>
      </c>
      <c r="F844" s="384" t="s">
        <v>903</v>
      </c>
      <c r="G844" s="384" t="s">
        <v>903</v>
      </c>
      <c r="H844" s="163" t="s">
        <v>903</v>
      </c>
      <c r="I844" s="386">
        <f>SUM(I845:I853)</f>
        <v>18150.600000000002</v>
      </c>
      <c r="J844" s="164">
        <f>SUM(J845:J853)</f>
        <v>13325.300000000001</v>
      </c>
      <c r="K844" s="164">
        <f>SUM(K845:K853)</f>
        <v>12457</v>
      </c>
      <c r="L844" s="165">
        <f>SUM(L845:L853)</f>
        <v>563</v>
      </c>
      <c r="M844" s="163" t="s">
        <v>903</v>
      </c>
      <c r="N844" s="163" t="s">
        <v>903</v>
      </c>
      <c r="O844" s="166" t="s">
        <v>903</v>
      </c>
      <c r="P844" s="386">
        <v>29982330.300000001</v>
      </c>
      <c r="Q844" s="164">
        <f>SUM(Q845:Q853)</f>
        <v>0</v>
      </c>
      <c r="R844" s="164">
        <f>SUM(R845:R853)</f>
        <v>0</v>
      </c>
      <c r="S844" s="164">
        <f>SUM(S845:S853)</f>
        <v>29982330.300000001</v>
      </c>
      <c r="T844" s="387">
        <f t="shared" si="242"/>
        <v>1651.8644177051997</v>
      </c>
      <c r="U844" s="387">
        <f>MAX(U845:U853)</f>
        <v>10186.356515036163</v>
      </c>
      <c r="V844" s="149">
        <f t="shared" si="230"/>
        <v>8534.4920973309636</v>
      </c>
      <c r="W844" s="149"/>
      <c r="X844" s="149"/>
      <c r="Y844" s="368"/>
      <c r="Z844" s="368"/>
      <c r="AA844" s="368"/>
      <c r="AB844" s="368"/>
      <c r="AC844" s="368"/>
      <c r="AD844" s="368"/>
      <c r="AE844" s="368"/>
      <c r="AF844" s="368"/>
      <c r="AG844" s="368"/>
      <c r="AH844" s="368"/>
      <c r="AI844" s="368"/>
      <c r="AJ844" s="368"/>
      <c r="AK844" s="368"/>
      <c r="AL844" s="368"/>
      <c r="AM844" s="368"/>
      <c r="AN844" s="368"/>
      <c r="AO844" s="368"/>
    </row>
    <row r="845" spans="1:191" s="152" customFormat="1" ht="36" customHeight="1" x14ac:dyDescent="0.9">
      <c r="A845" s="152">
        <v>1</v>
      </c>
      <c r="B845" s="90">
        <f>SUBTOTAL(103,$A$554:A845)</f>
        <v>279</v>
      </c>
      <c r="C845" s="89" t="s">
        <v>680</v>
      </c>
      <c r="D845" s="163">
        <v>1993</v>
      </c>
      <c r="E845" s="163"/>
      <c r="F845" s="168" t="s">
        <v>315</v>
      </c>
      <c r="G845" s="163">
        <v>5</v>
      </c>
      <c r="H845" s="163">
        <v>5</v>
      </c>
      <c r="I845" s="164">
        <v>3247</v>
      </c>
      <c r="J845" s="164">
        <v>3245</v>
      </c>
      <c r="K845" s="164">
        <v>3245</v>
      </c>
      <c r="L845" s="165">
        <v>121</v>
      </c>
      <c r="M845" s="163" t="s">
        <v>268</v>
      </c>
      <c r="N845" s="163" t="s">
        <v>345</v>
      </c>
      <c r="O845" s="166" t="s">
        <v>733</v>
      </c>
      <c r="P845" s="167">
        <v>2492137.06</v>
      </c>
      <c r="Q845" s="167">
        <v>0</v>
      </c>
      <c r="R845" s="167">
        <v>0</v>
      </c>
      <c r="S845" s="167">
        <f t="shared" ref="S845:S853" si="246">P845-Q845-R845</f>
        <v>2492137.06</v>
      </c>
      <c r="T845" s="167">
        <f t="shared" si="242"/>
        <v>767.51988296889442</v>
      </c>
      <c r="U845" s="167">
        <v>6652.7643316907916</v>
      </c>
      <c r="V845" s="149">
        <f t="shared" si="230"/>
        <v>5885.2444487218972</v>
      </c>
      <c r="W845" s="149">
        <f t="shared" ref="W845:W853" si="247">X845+Y845+Z845+AA845+AB845+AD845+AF845+AH845+AJ845+AL845+AN845+AO845</f>
        <v>6652.7643316907916</v>
      </c>
      <c r="X845" s="149">
        <v>0</v>
      </c>
      <c r="Y845" s="368">
        <v>0</v>
      </c>
      <c r="Z845" s="368">
        <v>0</v>
      </c>
      <c r="AA845" s="368">
        <v>0</v>
      </c>
      <c r="AB845" s="368">
        <v>0</v>
      </c>
      <c r="AC845" s="368">
        <v>0</v>
      </c>
      <c r="AD845" s="368">
        <v>0</v>
      </c>
      <c r="AE845" s="368">
        <v>0</v>
      </c>
      <c r="AF845" s="396">
        <v>0</v>
      </c>
      <c r="AG845" s="368">
        <v>0</v>
      </c>
      <c r="AH845" s="396">
        <v>0</v>
      </c>
      <c r="AI845" s="368">
        <v>2768.5</v>
      </c>
      <c r="AJ845" s="397">
        <f>7802.61*AI845/I845</f>
        <v>6652.7643316907916</v>
      </c>
      <c r="AK845" s="368">
        <v>0</v>
      </c>
      <c r="AL845" s="368">
        <v>0</v>
      </c>
      <c r="AM845" s="368">
        <v>0</v>
      </c>
      <c r="AN845" s="368"/>
      <c r="AO845" s="368">
        <v>0</v>
      </c>
    </row>
    <row r="846" spans="1:191" s="152" customFormat="1" ht="36" customHeight="1" x14ac:dyDescent="0.9">
      <c r="A846" s="152">
        <v>1</v>
      </c>
      <c r="B846" s="90">
        <f>SUBTOTAL(103,$A$554:A846)</f>
        <v>280</v>
      </c>
      <c r="C846" s="89" t="s">
        <v>668</v>
      </c>
      <c r="D846" s="163">
        <v>1972</v>
      </c>
      <c r="E846" s="163"/>
      <c r="F846" s="168" t="s">
        <v>270</v>
      </c>
      <c r="G846" s="163">
        <v>5</v>
      </c>
      <c r="H846" s="163">
        <v>4</v>
      </c>
      <c r="I846" s="164">
        <v>5949.7</v>
      </c>
      <c r="J846" s="164">
        <v>3026.6</v>
      </c>
      <c r="K846" s="164">
        <v>2850.3</v>
      </c>
      <c r="L846" s="165">
        <v>117</v>
      </c>
      <c r="M846" s="163" t="s">
        <v>268</v>
      </c>
      <c r="N846" s="163" t="s">
        <v>272</v>
      </c>
      <c r="O846" s="166" t="s">
        <v>1100</v>
      </c>
      <c r="P846" s="167">
        <v>5311274.96</v>
      </c>
      <c r="Q846" s="167">
        <v>0</v>
      </c>
      <c r="R846" s="167">
        <v>0</v>
      </c>
      <c r="S846" s="167">
        <f t="shared" si="246"/>
        <v>5311274.96</v>
      </c>
      <c r="T846" s="167">
        <f t="shared" si="242"/>
        <v>892.69626367716023</v>
      </c>
      <c r="U846" s="167">
        <v>1387.3099366354606</v>
      </c>
      <c r="V846" s="149">
        <f t="shared" si="230"/>
        <v>494.61367295830041</v>
      </c>
      <c r="W846" s="149">
        <f t="shared" si="247"/>
        <v>1387.3099366354606</v>
      </c>
      <c r="X846" s="149">
        <v>0</v>
      </c>
      <c r="Y846" s="368">
        <v>0</v>
      </c>
      <c r="Z846" s="368">
        <v>0</v>
      </c>
      <c r="AA846" s="368">
        <v>0</v>
      </c>
      <c r="AB846" s="368">
        <v>0</v>
      </c>
      <c r="AC846" s="368">
        <v>0</v>
      </c>
      <c r="AD846" s="368">
        <v>0</v>
      </c>
      <c r="AE846" s="368">
        <v>1323</v>
      </c>
      <c r="AF846" s="396">
        <f t="shared" ref="AF846:AF850" si="248">6238.91*AE846/I846</f>
        <v>1387.3099366354606</v>
      </c>
      <c r="AG846" s="368">
        <v>0</v>
      </c>
      <c r="AH846" s="396">
        <v>0</v>
      </c>
      <c r="AI846" s="368">
        <v>0</v>
      </c>
      <c r="AJ846" s="396">
        <v>0</v>
      </c>
      <c r="AK846" s="368">
        <v>0</v>
      </c>
      <c r="AL846" s="368">
        <v>0</v>
      </c>
      <c r="AM846" s="368">
        <v>0</v>
      </c>
      <c r="AN846" s="368"/>
      <c r="AO846" s="368">
        <v>0</v>
      </c>
    </row>
    <row r="847" spans="1:191" s="152" customFormat="1" ht="36" customHeight="1" x14ac:dyDescent="0.9">
      <c r="A847" s="152">
        <v>1</v>
      </c>
      <c r="B847" s="90">
        <f>SUBTOTAL(103,$A$554:A847)</f>
        <v>281</v>
      </c>
      <c r="C847" s="89" t="s">
        <v>696</v>
      </c>
      <c r="D847" s="163">
        <v>1981</v>
      </c>
      <c r="E847" s="163"/>
      <c r="F847" s="168" t="s">
        <v>270</v>
      </c>
      <c r="G847" s="163">
        <v>2</v>
      </c>
      <c r="H847" s="163">
        <v>3</v>
      </c>
      <c r="I847" s="164">
        <v>843.1</v>
      </c>
      <c r="J847" s="164">
        <v>820.9</v>
      </c>
      <c r="K847" s="164">
        <v>820.9</v>
      </c>
      <c r="L847" s="165">
        <v>34</v>
      </c>
      <c r="M847" s="163" t="s">
        <v>268</v>
      </c>
      <c r="N847" s="163" t="s">
        <v>269</v>
      </c>
      <c r="O847" s="166" t="s">
        <v>271</v>
      </c>
      <c r="P847" s="167">
        <v>4042067.3</v>
      </c>
      <c r="Q847" s="167">
        <v>0</v>
      </c>
      <c r="R847" s="167">
        <v>0</v>
      </c>
      <c r="S847" s="167">
        <f t="shared" si="246"/>
        <v>4042067.3</v>
      </c>
      <c r="T847" s="167">
        <f t="shared" si="242"/>
        <v>4794.2916617245874</v>
      </c>
      <c r="U847" s="167">
        <v>6334.3695409797174</v>
      </c>
      <c r="V847" s="149">
        <f t="shared" si="230"/>
        <v>1540.07787925513</v>
      </c>
      <c r="W847" s="149">
        <f t="shared" si="247"/>
        <v>6334.3695409797174</v>
      </c>
      <c r="X847" s="149">
        <v>0</v>
      </c>
      <c r="Y847" s="368">
        <v>0</v>
      </c>
      <c r="Z847" s="368">
        <v>0</v>
      </c>
      <c r="AA847" s="368">
        <v>0</v>
      </c>
      <c r="AB847" s="368">
        <v>0</v>
      </c>
      <c r="AC847" s="368">
        <v>0</v>
      </c>
      <c r="AD847" s="368">
        <v>0</v>
      </c>
      <c r="AE847" s="368">
        <v>856</v>
      </c>
      <c r="AF847" s="396">
        <f t="shared" si="248"/>
        <v>6334.3695409797174</v>
      </c>
      <c r="AG847" s="368">
        <v>0</v>
      </c>
      <c r="AH847" s="396">
        <v>0</v>
      </c>
      <c r="AI847" s="368">
        <v>0</v>
      </c>
      <c r="AJ847" s="396">
        <v>0</v>
      </c>
      <c r="AK847" s="368">
        <v>0</v>
      </c>
      <c r="AL847" s="368">
        <v>0</v>
      </c>
      <c r="AM847" s="368">
        <v>0</v>
      </c>
      <c r="AN847" s="368"/>
      <c r="AO847" s="368">
        <v>0</v>
      </c>
    </row>
    <row r="848" spans="1:191" s="152" customFormat="1" ht="36" customHeight="1" x14ac:dyDescent="0.9">
      <c r="A848" s="152">
        <v>1</v>
      </c>
      <c r="B848" s="90">
        <f>SUBTOTAL(103,$A$554:A848)</f>
        <v>282</v>
      </c>
      <c r="C848" s="89" t="s">
        <v>673</v>
      </c>
      <c r="D848" s="163">
        <v>1940</v>
      </c>
      <c r="E848" s="163"/>
      <c r="F848" s="168" t="s">
        <v>270</v>
      </c>
      <c r="G848" s="163">
        <v>3</v>
      </c>
      <c r="H848" s="163">
        <v>3</v>
      </c>
      <c r="I848" s="164">
        <v>2521.1999999999998</v>
      </c>
      <c r="J848" s="164">
        <v>2421.1999999999998</v>
      </c>
      <c r="K848" s="164">
        <v>1980.9</v>
      </c>
      <c r="L848" s="165">
        <v>67</v>
      </c>
      <c r="M848" s="163" t="s">
        <v>268</v>
      </c>
      <c r="N848" s="163" t="s">
        <v>345</v>
      </c>
      <c r="O848" s="166" t="s">
        <v>734</v>
      </c>
      <c r="P848" s="167">
        <v>4517254.16</v>
      </c>
      <c r="Q848" s="167">
        <v>0</v>
      </c>
      <c r="R848" s="167">
        <v>0</v>
      </c>
      <c r="S848" s="167">
        <f t="shared" si="246"/>
        <v>4517254.16</v>
      </c>
      <c r="T848" s="167">
        <f t="shared" si="242"/>
        <v>1791.7079803268286</v>
      </c>
      <c r="U848" s="167">
        <v>3058.5803426939556</v>
      </c>
      <c r="V848" s="149">
        <f t="shared" si="230"/>
        <v>1266.8723623671269</v>
      </c>
      <c r="W848" s="149">
        <f t="shared" si="247"/>
        <v>3058.5803426939556</v>
      </c>
      <c r="X848" s="149">
        <v>0</v>
      </c>
      <c r="Y848" s="368">
        <v>0</v>
      </c>
      <c r="Z848" s="368">
        <v>0</v>
      </c>
      <c r="AA848" s="368">
        <v>0</v>
      </c>
      <c r="AB848" s="368">
        <v>0</v>
      </c>
      <c r="AC848" s="368">
        <v>0</v>
      </c>
      <c r="AD848" s="368">
        <v>0</v>
      </c>
      <c r="AE848" s="368">
        <v>1236</v>
      </c>
      <c r="AF848" s="396">
        <f t="shared" si="248"/>
        <v>3058.5803426939556</v>
      </c>
      <c r="AG848" s="368">
        <v>0</v>
      </c>
      <c r="AH848" s="396">
        <v>0</v>
      </c>
      <c r="AI848" s="368">
        <v>0</v>
      </c>
      <c r="AJ848" s="396">
        <v>0</v>
      </c>
      <c r="AK848" s="368">
        <v>0</v>
      </c>
      <c r="AL848" s="368">
        <v>0</v>
      </c>
      <c r="AM848" s="368">
        <v>0</v>
      </c>
      <c r="AN848" s="368"/>
      <c r="AO848" s="368">
        <v>0</v>
      </c>
    </row>
    <row r="849" spans="1:41" s="152" customFormat="1" ht="36" customHeight="1" x14ac:dyDescent="0.9">
      <c r="A849" s="152">
        <v>1</v>
      </c>
      <c r="B849" s="90">
        <f>SUBTOTAL(103,$A$554:A849)</f>
        <v>283</v>
      </c>
      <c r="C849" s="89" t="s">
        <v>678</v>
      </c>
      <c r="D849" s="163">
        <v>1979</v>
      </c>
      <c r="E849" s="163"/>
      <c r="F849" s="168" t="s">
        <v>270</v>
      </c>
      <c r="G849" s="163">
        <v>2</v>
      </c>
      <c r="H849" s="163">
        <v>2</v>
      </c>
      <c r="I849" s="164">
        <v>1052.4000000000001</v>
      </c>
      <c r="J849" s="164">
        <v>930.4</v>
      </c>
      <c r="K849" s="164">
        <v>930.4</v>
      </c>
      <c r="L849" s="165">
        <v>24</v>
      </c>
      <c r="M849" s="163" t="s">
        <v>268</v>
      </c>
      <c r="N849" s="163" t="s">
        <v>300</v>
      </c>
      <c r="O849" s="166" t="s">
        <v>1097</v>
      </c>
      <c r="P849" s="167">
        <v>3875480.82</v>
      </c>
      <c r="Q849" s="167">
        <v>0</v>
      </c>
      <c r="R849" s="167">
        <v>0</v>
      </c>
      <c r="S849" s="167">
        <f t="shared" si="246"/>
        <v>3875480.82</v>
      </c>
      <c r="T849" s="167">
        <f t="shared" si="242"/>
        <v>3682.5169327251992</v>
      </c>
      <c r="U849" s="167">
        <v>5625.9270144431766</v>
      </c>
      <c r="V849" s="149">
        <f t="shared" si="230"/>
        <v>1943.4100817179774</v>
      </c>
      <c r="W849" s="149">
        <f t="shared" si="247"/>
        <v>5625.9270144431766</v>
      </c>
      <c r="X849" s="149">
        <v>0</v>
      </c>
      <c r="Y849" s="368">
        <v>0</v>
      </c>
      <c r="Z849" s="368">
        <v>0</v>
      </c>
      <c r="AA849" s="368">
        <v>0</v>
      </c>
      <c r="AB849" s="368">
        <v>0</v>
      </c>
      <c r="AC849" s="368">
        <v>0</v>
      </c>
      <c r="AD849" s="368">
        <v>0</v>
      </c>
      <c r="AE849" s="368">
        <v>949</v>
      </c>
      <c r="AF849" s="396">
        <f t="shared" si="248"/>
        <v>5625.9270144431766</v>
      </c>
      <c r="AG849" s="368">
        <v>0</v>
      </c>
      <c r="AH849" s="396">
        <v>0</v>
      </c>
      <c r="AI849" s="368">
        <v>0</v>
      </c>
      <c r="AJ849" s="396">
        <v>0</v>
      </c>
      <c r="AK849" s="368">
        <v>0</v>
      </c>
      <c r="AL849" s="368">
        <v>0</v>
      </c>
      <c r="AM849" s="368">
        <v>0</v>
      </c>
      <c r="AN849" s="368"/>
      <c r="AO849" s="368">
        <v>0</v>
      </c>
    </row>
    <row r="850" spans="1:41" s="152" customFormat="1" ht="36" customHeight="1" x14ac:dyDescent="0.9">
      <c r="A850" s="152">
        <v>1</v>
      </c>
      <c r="B850" s="90">
        <f>SUBTOTAL(103,$A$554:A850)</f>
        <v>284</v>
      </c>
      <c r="C850" s="89" t="s">
        <v>677</v>
      </c>
      <c r="D850" s="163">
        <v>1977</v>
      </c>
      <c r="E850" s="163"/>
      <c r="F850" s="168" t="s">
        <v>270</v>
      </c>
      <c r="G850" s="163">
        <v>5</v>
      </c>
      <c r="H850" s="163">
        <v>4</v>
      </c>
      <c r="I850" s="164">
        <v>2827.6</v>
      </c>
      <c r="J850" s="164">
        <v>1730.8</v>
      </c>
      <c r="K850" s="164">
        <v>1606.9</v>
      </c>
      <c r="L850" s="165">
        <v>123</v>
      </c>
      <c r="M850" s="163" t="s">
        <v>268</v>
      </c>
      <c r="N850" s="163" t="s">
        <v>272</v>
      </c>
      <c r="O850" s="166" t="s">
        <v>730</v>
      </c>
      <c r="P850" s="167">
        <v>3103798.52</v>
      </c>
      <c r="Q850" s="167">
        <v>0</v>
      </c>
      <c r="R850" s="167">
        <v>0</v>
      </c>
      <c r="S850" s="167">
        <f t="shared" si="246"/>
        <v>3103798.52</v>
      </c>
      <c r="T850" s="167">
        <f t="shared" si="242"/>
        <v>1097.6794879049371</v>
      </c>
      <c r="U850" s="167">
        <v>1853.4037346159287</v>
      </c>
      <c r="V850" s="149">
        <f t="shared" si="230"/>
        <v>755.72424671099157</v>
      </c>
      <c r="W850" s="149">
        <f t="shared" si="247"/>
        <v>1853.4037346159287</v>
      </c>
      <c r="X850" s="149">
        <v>0</v>
      </c>
      <c r="Y850" s="368">
        <v>0</v>
      </c>
      <c r="Z850" s="368">
        <v>0</v>
      </c>
      <c r="AA850" s="368">
        <v>0</v>
      </c>
      <c r="AB850" s="368">
        <v>0</v>
      </c>
      <c r="AC850" s="368">
        <v>0</v>
      </c>
      <c r="AD850" s="368">
        <v>0</v>
      </c>
      <c r="AE850" s="368">
        <v>840</v>
      </c>
      <c r="AF850" s="396">
        <f t="shared" si="248"/>
        <v>1853.4037346159287</v>
      </c>
      <c r="AG850" s="368">
        <v>0</v>
      </c>
      <c r="AH850" s="396">
        <v>0</v>
      </c>
      <c r="AI850" s="368">
        <v>0</v>
      </c>
      <c r="AJ850" s="396">
        <v>0</v>
      </c>
      <c r="AK850" s="368">
        <v>0</v>
      </c>
      <c r="AL850" s="368">
        <v>0</v>
      </c>
      <c r="AM850" s="368">
        <v>0</v>
      </c>
      <c r="AN850" s="368"/>
      <c r="AO850" s="368">
        <v>0</v>
      </c>
    </row>
    <row r="851" spans="1:41" s="152" customFormat="1" ht="36" customHeight="1" x14ac:dyDescent="0.9">
      <c r="A851" s="152">
        <v>1</v>
      </c>
      <c r="B851" s="90">
        <f>SUBTOTAL(103,$A$554:A851)</f>
        <v>285</v>
      </c>
      <c r="C851" s="358" t="s">
        <v>666</v>
      </c>
      <c r="D851" s="355">
        <v>1927</v>
      </c>
      <c r="E851" s="355"/>
      <c r="F851" s="357" t="s">
        <v>270</v>
      </c>
      <c r="G851" s="355">
        <v>2</v>
      </c>
      <c r="H851" s="355">
        <v>2</v>
      </c>
      <c r="I851" s="353">
        <v>525.4</v>
      </c>
      <c r="J851" s="353">
        <v>408.7</v>
      </c>
      <c r="K851" s="353">
        <v>282</v>
      </c>
      <c r="L851" s="356">
        <v>32</v>
      </c>
      <c r="M851" s="355" t="s">
        <v>268</v>
      </c>
      <c r="N851" s="355" t="s">
        <v>269</v>
      </c>
      <c r="O851" s="354" t="s">
        <v>271</v>
      </c>
      <c r="P851" s="353">
        <v>2213600.19</v>
      </c>
      <c r="Q851" s="353">
        <v>0</v>
      </c>
      <c r="R851" s="353">
        <v>0</v>
      </c>
      <c r="S851" s="353">
        <f t="shared" si="246"/>
        <v>2213600.19</v>
      </c>
      <c r="T851" s="167">
        <f t="shared" si="242"/>
        <v>4213.1712790255042</v>
      </c>
      <c r="U851" s="167">
        <v>10186.356515036163</v>
      </c>
      <c r="V851" s="149">
        <f t="shared" si="230"/>
        <v>5973.1852360106586</v>
      </c>
      <c r="W851" s="149">
        <f t="shared" si="247"/>
        <v>10186.356515036163</v>
      </c>
      <c r="X851" s="149">
        <v>0</v>
      </c>
      <c r="Y851" s="368">
        <v>0</v>
      </c>
      <c r="Z851" s="368">
        <v>0</v>
      </c>
      <c r="AA851" s="368">
        <v>0</v>
      </c>
      <c r="AB851" s="368">
        <v>0</v>
      </c>
      <c r="AC851" s="368">
        <v>0</v>
      </c>
      <c r="AD851" s="368">
        <v>0</v>
      </c>
      <c r="AE851" s="368">
        <v>0</v>
      </c>
      <c r="AF851" s="396">
        <v>0</v>
      </c>
      <c r="AG851" s="368">
        <v>0</v>
      </c>
      <c r="AH851" s="396">
        <v>0</v>
      </c>
      <c r="AI851" s="368">
        <v>719.43</v>
      </c>
      <c r="AJ851" s="397">
        <f>7439.1*AI851/I851</f>
        <v>10186.356515036163</v>
      </c>
      <c r="AK851" s="368">
        <v>0</v>
      </c>
      <c r="AL851" s="368">
        <v>0</v>
      </c>
      <c r="AM851" s="368">
        <v>0</v>
      </c>
      <c r="AN851" s="368"/>
      <c r="AO851" s="368">
        <v>0</v>
      </c>
    </row>
    <row r="852" spans="1:41" s="152" customFormat="1" ht="36" customHeight="1" x14ac:dyDescent="0.9">
      <c r="A852" s="152">
        <v>1</v>
      </c>
      <c r="B852" s="90">
        <f>SUBTOTAL(103,$A$554:A852)</f>
        <v>286</v>
      </c>
      <c r="C852" s="358" t="s">
        <v>1215</v>
      </c>
      <c r="D852" s="355">
        <v>1927</v>
      </c>
      <c r="E852" s="355"/>
      <c r="F852" s="357" t="s">
        <v>270</v>
      </c>
      <c r="G852" s="355">
        <v>2</v>
      </c>
      <c r="H852" s="355">
        <v>2</v>
      </c>
      <c r="I852" s="353">
        <v>462</v>
      </c>
      <c r="J852" s="353">
        <v>443.2</v>
      </c>
      <c r="K852" s="353">
        <v>442.1</v>
      </c>
      <c r="L852" s="356">
        <v>37</v>
      </c>
      <c r="M852" s="355" t="s">
        <v>268</v>
      </c>
      <c r="N852" s="355" t="s">
        <v>272</v>
      </c>
      <c r="O852" s="354" t="s">
        <v>1323</v>
      </c>
      <c r="P852" s="353">
        <v>1859292.57</v>
      </c>
      <c r="Q852" s="353">
        <v>0</v>
      </c>
      <c r="R852" s="353">
        <v>0</v>
      </c>
      <c r="S852" s="353">
        <f t="shared" si="246"/>
        <v>1859292.57</v>
      </c>
      <c r="T852" s="167">
        <f t="shared" si="242"/>
        <v>4024.4427922077925</v>
      </c>
      <c r="U852" s="167">
        <v>5506.9859264069264</v>
      </c>
      <c r="V852" s="149">
        <f t="shared" si="230"/>
        <v>1482.5431341991339</v>
      </c>
      <c r="W852" s="149">
        <f t="shared" si="247"/>
        <v>5506.9859264069264</v>
      </c>
      <c r="X852" s="149">
        <v>0</v>
      </c>
      <c r="Y852" s="368">
        <v>0</v>
      </c>
      <c r="Z852" s="368">
        <v>0</v>
      </c>
      <c r="AA852" s="368">
        <v>0</v>
      </c>
      <c r="AB852" s="368">
        <v>0</v>
      </c>
      <c r="AC852" s="368">
        <v>0</v>
      </c>
      <c r="AD852" s="368">
        <v>0</v>
      </c>
      <c r="AE852" s="368">
        <v>407.8</v>
      </c>
      <c r="AF852" s="396">
        <f t="shared" ref="AF852:AF853" si="249">6238.91*AE852/I852</f>
        <v>5506.9859264069264</v>
      </c>
      <c r="AG852" s="368">
        <v>0</v>
      </c>
      <c r="AH852" s="396">
        <v>0</v>
      </c>
      <c r="AI852" s="368">
        <v>0</v>
      </c>
      <c r="AJ852" s="396">
        <v>0</v>
      </c>
      <c r="AK852" s="368">
        <v>0</v>
      </c>
      <c r="AL852" s="368">
        <v>0</v>
      </c>
      <c r="AM852" s="368">
        <v>0</v>
      </c>
      <c r="AN852" s="368"/>
      <c r="AO852" s="368">
        <v>0</v>
      </c>
    </row>
    <row r="853" spans="1:41" s="152" customFormat="1" ht="36" customHeight="1" x14ac:dyDescent="0.9">
      <c r="A853" s="152">
        <v>1</v>
      </c>
      <c r="B853" s="90">
        <f>SUBTOTAL(103,$A$554:A853)</f>
        <v>287</v>
      </c>
      <c r="C853" s="89" t="s">
        <v>682</v>
      </c>
      <c r="D853" s="163">
        <v>1917</v>
      </c>
      <c r="E853" s="163"/>
      <c r="F853" s="168" t="s">
        <v>270</v>
      </c>
      <c r="G853" s="163">
        <v>2</v>
      </c>
      <c r="H853" s="163">
        <v>1</v>
      </c>
      <c r="I853" s="167">
        <v>722.2</v>
      </c>
      <c r="J853" s="167">
        <v>298.5</v>
      </c>
      <c r="K853" s="167">
        <v>298.5</v>
      </c>
      <c r="L853" s="165">
        <v>8</v>
      </c>
      <c r="M853" s="163" t="s">
        <v>268</v>
      </c>
      <c r="N853" s="163" t="s">
        <v>269</v>
      </c>
      <c r="O853" s="166" t="s">
        <v>271</v>
      </c>
      <c r="P853" s="167">
        <v>2567424.7199999997</v>
      </c>
      <c r="Q853" s="167">
        <v>0</v>
      </c>
      <c r="R853" s="167">
        <v>0</v>
      </c>
      <c r="S853" s="167">
        <f t="shared" si="246"/>
        <v>2567424.7199999997</v>
      </c>
      <c r="T853" s="167">
        <f t="shared" si="242"/>
        <v>3555.0051509277205</v>
      </c>
      <c r="U853" s="167">
        <v>4495.6089227360835</v>
      </c>
      <c r="V853" s="149">
        <f t="shared" ref="V853" si="250">U853-T853</f>
        <v>940.60377180836304</v>
      </c>
      <c r="W853" s="149">
        <f t="shared" si="247"/>
        <v>4495.6089227360835</v>
      </c>
      <c r="X853" s="149">
        <v>0</v>
      </c>
      <c r="Y853" s="368">
        <v>0</v>
      </c>
      <c r="Z853" s="368">
        <v>0</v>
      </c>
      <c r="AA853" s="368">
        <v>0</v>
      </c>
      <c r="AB853" s="368">
        <v>0</v>
      </c>
      <c r="AC853" s="368">
        <v>0</v>
      </c>
      <c r="AD853" s="368">
        <v>0</v>
      </c>
      <c r="AE853" s="368">
        <v>520.4</v>
      </c>
      <c r="AF853" s="396">
        <f t="shared" si="249"/>
        <v>4495.6089227360835</v>
      </c>
      <c r="AG853" s="368">
        <v>0</v>
      </c>
      <c r="AH853" s="396">
        <v>0</v>
      </c>
      <c r="AI853" s="368">
        <v>0</v>
      </c>
      <c r="AJ853" s="396">
        <v>0</v>
      </c>
      <c r="AK853" s="368">
        <v>0</v>
      </c>
      <c r="AL853" s="368">
        <v>0</v>
      </c>
      <c r="AM853" s="368">
        <v>0</v>
      </c>
      <c r="AN853" s="368"/>
      <c r="AO853" s="368">
        <v>0</v>
      </c>
    </row>
    <row r="854" spans="1:41" s="152" customFormat="1" ht="36" customHeight="1" x14ac:dyDescent="0.9">
      <c r="B854" s="382" t="s">
        <v>837</v>
      </c>
      <c r="C854" s="388"/>
      <c r="D854" s="384" t="s">
        <v>903</v>
      </c>
      <c r="E854" s="163" t="s">
        <v>903</v>
      </c>
      <c r="F854" s="384" t="s">
        <v>903</v>
      </c>
      <c r="G854" s="384" t="s">
        <v>903</v>
      </c>
      <c r="H854" s="163" t="s">
        <v>903</v>
      </c>
      <c r="I854" s="386">
        <f>SUM(I855:I859)</f>
        <v>6796.31</v>
      </c>
      <c r="J854" s="164">
        <f>SUM(J855:J859)</f>
        <v>6560.6100000000006</v>
      </c>
      <c r="K854" s="164">
        <f>SUM(K855:K859)</f>
        <v>6452.51</v>
      </c>
      <c r="L854" s="165">
        <f>SUM(L855:L859)</f>
        <v>274</v>
      </c>
      <c r="M854" s="163" t="s">
        <v>903</v>
      </c>
      <c r="N854" s="163" t="s">
        <v>903</v>
      </c>
      <c r="O854" s="166" t="s">
        <v>903</v>
      </c>
      <c r="P854" s="386">
        <v>16668323.34</v>
      </c>
      <c r="Q854" s="164">
        <f>SUM(Q855:Q859)</f>
        <v>0</v>
      </c>
      <c r="R854" s="164">
        <f>SUM(R855:R859)</f>
        <v>0</v>
      </c>
      <c r="S854" s="164">
        <f>SUM(S855:S859)</f>
        <v>16668323.34</v>
      </c>
      <c r="T854" s="387">
        <f t="shared" si="242"/>
        <v>2452.554892287138</v>
      </c>
      <c r="U854" s="387">
        <f>MAX(U855:U859)</f>
        <v>27670.326525450524</v>
      </c>
      <c r="V854" s="149">
        <f t="shared" ref="V854:V916" si="251">U854-T854</f>
        <v>25217.771633163386</v>
      </c>
      <c r="W854" s="149"/>
      <c r="X854" s="149"/>
      <c r="Y854" s="368"/>
      <c r="Z854" s="368"/>
      <c r="AA854" s="368"/>
      <c r="AB854" s="368"/>
      <c r="AC854" s="368"/>
      <c r="AD854" s="368"/>
      <c r="AE854" s="368"/>
      <c r="AF854" s="368"/>
      <c r="AG854" s="368"/>
      <c r="AH854" s="368"/>
      <c r="AI854" s="368"/>
      <c r="AJ854" s="368"/>
      <c r="AK854" s="368"/>
      <c r="AL854" s="368"/>
      <c r="AM854" s="368"/>
      <c r="AN854" s="368"/>
      <c r="AO854" s="368"/>
    </row>
    <row r="855" spans="1:41" s="152" customFormat="1" ht="36" customHeight="1" x14ac:dyDescent="0.9">
      <c r="A855" s="152">
        <v>1</v>
      </c>
      <c r="B855" s="90">
        <f>SUBTOTAL(103,$A$554:A855)</f>
        <v>288</v>
      </c>
      <c r="C855" s="89" t="s">
        <v>237</v>
      </c>
      <c r="D855" s="163">
        <v>1973</v>
      </c>
      <c r="E855" s="163"/>
      <c r="F855" s="168" t="s">
        <v>270</v>
      </c>
      <c r="G855" s="163">
        <v>5</v>
      </c>
      <c r="H855" s="163">
        <v>6</v>
      </c>
      <c r="I855" s="164">
        <v>4403.51</v>
      </c>
      <c r="J855" s="164">
        <v>4403.51</v>
      </c>
      <c r="K855" s="164">
        <v>4403.51</v>
      </c>
      <c r="L855" s="165">
        <v>179</v>
      </c>
      <c r="M855" s="163" t="s">
        <v>268</v>
      </c>
      <c r="N855" s="163" t="s">
        <v>272</v>
      </c>
      <c r="O855" s="166" t="s">
        <v>338</v>
      </c>
      <c r="P855" s="167">
        <v>7386727.6500000004</v>
      </c>
      <c r="Q855" s="167">
        <v>0</v>
      </c>
      <c r="R855" s="167">
        <v>0</v>
      </c>
      <c r="S855" s="167">
        <f>P855-Q855-R855</f>
        <v>7386727.6500000004</v>
      </c>
      <c r="T855" s="167">
        <f t="shared" si="242"/>
        <v>1677.4635801894399</v>
      </c>
      <c r="U855" s="167">
        <v>2137.9570365458462</v>
      </c>
      <c r="V855" s="149">
        <f t="shared" si="251"/>
        <v>460.49345635640634</v>
      </c>
      <c r="W855" s="149">
        <f t="shared" ref="W855:W859" si="252">X855+Y855+Z855+AA855+AB855+AD855+AF855+AH855+AJ855+AL855+AN855+AO855</f>
        <v>2137.9570365458462</v>
      </c>
      <c r="X855" s="149">
        <v>0</v>
      </c>
      <c r="Y855" s="368">
        <v>0</v>
      </c>
      <c r="Z855" s="368">
        <v>0</v>
      </c>
      <c r="AA855" s="368">
        <v>0</v>
      </c>
      <c r="AB855" s="368">
        <v>0</v>
      </c>
      <c r="AC855" s="368">
        <v>0</v>
      </c>
      <c r="AD855" s="368">
        <v>0</v>
      </c>
      <c r="AE855" s="368">
        <v>1509</v>
      </c>
      <c r="AF855" s="396">
        <f>6238.91*AE855/I855</f>
        <v>2137.9570365458462</v>
      </c>
      <c r="AG855" s="368">
        <v>0</v>
      </c>
      <c r="AH855" s="396">
        <v>0</v>
      </c>
      <c r="AI855" s="368">
        <v>0</v>
      </c>
      <c r="AJ855" s="396">
        <v>0</v>
      </c>
      <c r="AK855" s="368">
        <v>0</v>
      </c>
      <c r="AL855" s="368">
        <v>0</v>
      </c>
      <c r="AM855" s="368">
        <v>0</v>
      </c>
      <c r="AN855" s="368"/>
      <c r="AO855" s="368">
        <v>0</v>
      </c>
    </row>
    <row r="856" spans="1:41" s="152" customFormat="1" ht="36" customHeight="1" x14ac:dyDescent="0.9">
      <c r="A856" s="152">
        <v>1</v>
      </c>
      <c r="B856" s="90">
        <f>SUBTOTAL(103,$A$554:A856)</f>
        <v>289</v>
      </c>
      <c r="C856" s="89" t="s">
        <v>242</v>
      </c>
      <c r="D856" s="163">
        <v>1989</v>
      </c>
      <c r="E856" s="163"/>
      <c r="F856" s="168" t="s">
        <v>270</v>
      </c>
      <c r="G856" s="163">
        <v>2</v>
      </c>
      <c r="H856" s="163">
        <v>3</v>
      </c>
      <c r="I856" s="164">
        <v>946.8</v>
      </c>
      <c r="J856" s="164">
        <v>859.3</v>
      </c>
      <c r="K856" s="164">
        <v>816</v>
      </c>
      <c r="L856" s="165">
        <v>34</v>
      </c>
      <c r="M856" s="163" t="s">
        <v>268</v>
      </c>
      <c r="N856" s="163" t="s">
        <v>272</v>
      </c>
      <c r="O856" s="166" t="s">
        <v>337</v>
      </c>
      <c r="P856" s="167">
        <v>4229794.2699999996</v>
      </c>
      <c r="Q856" s="167">
        <v>0</v>
      </c>
      <c r="R856" s="167">
        <v>0</v>
      </c>
      <c r="S856" s="167">
        <f>P856-Q856-R856</f>
        <v>4229794.2699999996</v>
      </c>
      <c r="T856" s="167">
        <f t="shared" si="242"/>
        <v>4467.4633185466837</v>
      </c>
      <c r="U856" s="167">
        <v>4728.6410223912135</v>
      </c>
      <c r="V856" s="149">
        <f t="shared" si="251"/>
        <v>261.17770384452979</v>
      </c>
      <c r="W856" s="149">
        <f t="shared" si="252"/>
        <v>4728.6410223912135</v>
      </c>
      <c r="X856" s="149">
        <v>0</v>
      </c>
      <c r="Y856" s="368">
        <v>0</v>
      </c>
      <c r="Z856" s="368">
        <v>0</v>
      </c>
      <c r="AA856" s="368">
        <v>0</v>
      </c>
      <c r="AB856" s="368">
        <v>0</v>
      </c>
      <c r="AC856" s="368">
        <v>0</v>
      </c>
      <c r="AD856" s="368">
        <v>0</v>
      </c>
      <c r="AE856" s="368">
        <v>0</v>
      </c>
      <c r="AF856" s="396">
        <v>0</v>
      </c>
      <c r="AG856" s="368">
        <v>0</v>
      </c>
      <c r="AH856" s="396">
        <v>0</v>
      </c>
      <c r="AI856" s="368">
        <v>0</v>
      </c>
      <c r="AJ856" s="396">
        <v>0</v>
      </c>
      <c r="AK856" s="368">
        <v>0</v>
      </c>
      <c r="AL856" s="368">
        <v>0</v>
      </c>
      <c r="AM856" s="368">
        <v>641</v>
      </c>
      <c r="AN856" s="368">
        <f>6984.52*AM856/I856</f>
        <v>4728.6410223912135</v>
      </c>
      <c r="AO856" s="368">
        <v>0</v>
      </c>
    </row>
    <row r="857" spans="1:41" s="152" customFormat="1" ht="36" customHeight="1" x14ac:dyDescent="0.9">
      <c r="A857" s="152">
        <v>1</v>
      </c>
      <c r="B857" s="90">
        <f>SUBTOTAL(103,$A$554:A857)</f>
        <v>290</v>
      </c>
      <c r="C857" s="89" t="s">
        <v>1630</v>
      </c>
      <c r="D857" s="163">
        <v>1986</v>
      </c>
      <c r="E857" s="163"/>
      <c r="F857" s="168" t="s">
        <v>334</v>
      </c>
      <c r="G857" s="163">
        <v>2</v>
      </c>
      <c r="H857" s="163">
        <v>1</v>
      </c>
      <c r="I857" s="164">
        <v>324</v>
      </c>
      <c r="J857" s="164">
        <v>250.5</v>
      </c>
      <c r="K857" s="164">
        <f>J857</f>
        <v>250.5</v>
      </c>
      <c r="L857" s="165">
        <v>15</v>
      </c>
      <c r="M857" s="163" t="s">
        <v>268</v>
      </c>
      <c r="N857" s="163" t="s">
        <v>272</v>
      </c>
      <c r="O857" s="166" t="s">
        <v>337</v>
      </c>
      <c r="P857" s="167">
        <v>1438527.14</v>
      </c>
      <c r="Q857" s="167">
        <v>0</v>
      </c>
      <c r="R857" s="167">
        <v>0</v>
      </c>
      <c r="S857" s="167">
        <f>P857-Q857-R857</f>
        <v>1438527.14</v>
      </c>
      <c r="T857" s="167">
        <f t="shared" si="242"/>
        <v>4439.8985802469133</v>
      </c>
      <c r="U857" s="167">
        <v>5391.6506172839509</v>
      </c>
      <c r="V857" s="149">
        <f t="shared" si="251"/>
        <v>951.75203703703755</v>
      </c>
      <c r="W857" s="149">
        <f t="shared" si="252"/>
        <v>5391.6506172839509</v>
      </c>
      <c r="X857" s="149">
        <v>0</v>
      </c>
      <c r="Y857" s="368">
        <v>0</v>
      </c>
      <c r="Z857" s="368">
        <v>0</v>
      </c>
      <c r="AA857" s="368">
        <v>0</v>
      </c>
      <c r="AB857" s="368">
        <v>0</v>
      </c>
      <c r="AC857" s="368">
        <v>0</v>
      </c>
      <c r="AD857" s="368">
        <v>0</v>
      </c>
      <c r="AE857" s="368">
        <v>280</v>
      </c>
      <c r="AF857" s="396">
        <f>6238.91*AE857/I857</f>
        <v>5391.6506172839509</v>
      </c>
      <c r="AG857" s="368">
        <v>0</v>
      </c>
      <c r="AH857" s="396">
        <v>0</v>
      </c>
      <c r="AI857" s="368">
        <v>0</v>
      </c>
      <c r="AJ857" s="396">
        <v>0</v>
      </c>
      <c r="AK857" s="368">
        <v>0</v>
      </c>
      <c r="AL857" s="368">
        <v>0</v>
      </c>
      <c r="AM857" s="368">
        <v>0</v>
      </c>
      <c r="AN857" s="368"/>
      <c r="AO857" s="368">
        <v>0</v>
      </c>
    </row>
    <row r="858" spans="1:41" s="152" customFormat="1" ht="36" customHeight="1" x14ac:dyDescent="0.9">
      <c r="A858" s="152">
        <v>1</v>
      </c>
      <c r="B858" s="90">
        <f>SUBTOTAL(103,$A$554:A858)</f>
        <v>291</v>
      </c>
      <c r="C858" s="89" t="s">
        <v>1631</v>
      </c>
      <c r="D858" s="163">
        <v>1985</v>
      </c>
      <c r="E858" s="163"/>
      <c r="F858" s="168" t="s">
        <v>1359</v>
      </c>
      <c r="G858" s="163">
        <v>2</v>
      </c>
      <c r="H858" s="163">
        <v>1</v>
      </c>
      <c r="I858" s="164">
        <v>316.3</v>
      </c>
      <c r="J858" s="164">
        <v>316.3</v>
      </c>
      <c r="K858" s="164">
        <f>J858-39</f>
        <v>277.3</v>
      </c>
      <c r="L858" s="165">
        <v>9</v>
      </c>
      <c r="M858" s="163" t="s">
        <v>268</v>
      </c>
      <c r="N858" s="163" t="s">
        <v>272</v>
      </c>
      <c r="O858" s="166" t="s">
        <v>338</v>
      </c>
      <c r="P858" s="167">
        <v>1221174.67</v>
      </c>
      <c r="Q858" s="167">
        <v>0</v>
      </c>
      <c r="R858" s="167">
        <v>0</v>
      </c>
      <c r="S858" s="167">
        <f>P858-Q858-R858</f>
        <v>1221174.67</v>
      </c>
      <c r="T858" s="167">
        <f t="shared" si="242"/>
        <v>3860.8114764464112</v>
      </c>
      <c r="U858" s="167">
        <v>27670.326525450524</v>
      </c>
      <c r="V858" s="149">
        <f t="shared" si="251"/>
        <v>23809.515049004112</v>
      </c>
      <c r="W858" s="149">
        <f t="shared" si="252"/>
        <v>27670.326525450524</v>
      </c>
      <c r="X858" s="149">
        <v>0</v>
      </c>
      <c r="Y858" s="368">
        <v>0</v>
      </c>
      <c r="Z858" s="368">
        <v>0</v>
      </c>
      <c r="AA858" s="368">
        <v>0</v>
      </c>
      <c r="AB858" s="368">
        <v>0</v>
      </c>
      <c r="AC858" s="368">
        <v>0</v>
      </c>
      <c r="AD858" s="368">
        <v>0</v>
      </c>
      <c r="AE858" s="368">
        <v>0</v>
      </c>
      <c r="AF858" s="396">
        <v>0</v>
      </c>
      <c r="AG858" s="368">
        <v>0</v>
      </c>
      <c r="AH858" s="396">
        <v>0</v>
      </c>
      <c r="AI858" s="368">
        <v>0</v>
      </c>
      <c r="AJ858" s="396">
        <v>0</v>
      </c>
      <c r="AK858" s="368">
        <v>114</v>
      </c>
      <c r="AL858" s="396">
        <f>76773.02*AK858/I858</f>
        <v>27670.326525450524</v>
      </c>
      <c r="AM858" s="368">
        <v>0</v>
      </c>
      <c r="AN858" s="368"/>
      <c r="AO858" s="368">
        <v>0</v>
      </c>
    </row>
    <row r="859" spans="1:41" s="152" customFormat="1" ht="36" customHeight="1" x14ac:dyDescent="0.9">
      <c r="A859" s="152">
        <v>1</v>
      </c>
      <c r="B859" s="90">
        <f>SUBTOTAL(103,$A$554:A859)</f>
        <v>292</v>
      </c>
      <c r="C859" s="89" t="s">
        <v>1230</v>
      </c>
      <c r="D859" s="163">
        <v>1955</v>
      </c>
      <c r="E859" s="163"/>
      <c r="F859" s="168" t="s">
        <v>1328</v>
      </c>
      <c r="G859" s="163">
        <v>2</v>
      </c>
      <c r="H859" s="163">
        <v>2</v>
      </c>
      <c r="I859" s="167">
        <v>805.7</v>
      </c>
      <c r="J859" s="167">
        <v>731</v>
      </c>
      <c r="K859" s="167">
        <v>705.2</v>
      </c>
      <c r="L859" s="165">
        <v>37</v>
      </c>
      <c r="M859" s="163" t="s">
        <v>268</v>
      </c>
      <c r="N859" s="163" t="s">
        <v>272</v>
      </c>
      <c r="O859" s="166" t="s">
        <v>337</v>
      </c>
      <c r="P859" s="167">
        <v>2392099.6100000003</v>
      </c>
      <c r="Q859" s="167">
        <v>0</v>
      </c>
      <c r="R859" s="167">
        <v>0</v>
      </c>
      <c r="S859" s="167">
        <f>P859-Q859-R859</f>
        <v>2392099.6100000003</v>
      </c>
      <c r="T859" s="167">
        <f t="shared" si="242"/>
        <v>2968.9705969964007</v>
      </c>
      <c r="U859" s="167">
        <v>5149.404430929626</v>
      </c>
      <c r="V859" s="149">
        <f t="shared" si="251"/>
        <v>2180.4338339332253</v>
      </c>
      <c r="W859" s="149">
        <f t="shared" si="252"/>
        <v>5149.404430929626</v>
      </c>
      <c r="X859" s="149">
        <v>0</v>
      </c>
      <c r="Y859" s="368">
        <v>0</v>
      </c>
      <c r="Z859" s="368">
        <v>0</v>
      </c>
      <c r="AA859" s="368">
        <v>0</v>
      </c>
      <c r="AB859" s="368">
        <v>0</v>
      </c>
      <c r="AC859" s="368">
        <v>0</v>
      </c>
      <c r="AD859" s="368">
        <v>0</v>
      </c>
      <c r="AE859" s="368">
        <v>665</v>
      </c>
      <c r="AF859" s="396">
        <f>6238.91*AE859/I859</f>
        <v>5149.404430929626</v>
      </c>
      <c r="AG859" s="368">
        <v>0</v>
      </c>
      <c r="AH859" s="396">
        <v>0</v>
      </c>
      <c r="AI859" s="368">
        <v>0</v>
      </c>
      <c r="AJ859" s="396">
        <v>0</v>
      </c>
      <c r="AK859" s="368">
        <v>0</v>
      </c>
      <c r="AL859" s="368">
        <v>0</v>
      </c>
      <c r="AM859" s="368">
        <v>0</v>
      </c>
      <c r="AN859" s="368"/>
      <c r="AO859" s="368">
        <v>0</v>
      </c>
    </row>
    <row r="860" spans="1:41" s="152" customFormat="1" ht="36" customHeight="1" x14ac:dyDescent="0.9">
      <c r="B860" s="382" t="s">
        <v>1296</v>
      </c>
      <c r="C860" s="382"/>
      <c r="D860" s="384" t="s">
        <v>903</v>
      </c>
      <c r="E860" s="163" t="s">
        <v>903</v>
      </c>
      <c r="F860" s="384" t="s">
        <v>903</v>
      </c>
      <c r="G860" s="384" t="s">
        <v>903</v>
      </c>
      <c r="H860" s="163" t="s">
        <v>903</v>
      </c>
      <c r="I860" s="386">
        <f>SUM(I861:I862)</f>
        <v>1813.6000000000001</v>
      </c>
      <c r="J860" s="164">
        <f t="shared" ref="J860:L860" si="253">SUM(J861:J862)</f>
        <v>1627.1000000000001</v>
      </c>
      <c r="K860" s="164">
        <f t="shared" si="253"/>
        <v>1572.5000000000002</v>
      </c>
      <c r="L860" s="165">
        <f t="shared" si="253"/>
        <v>54</v>
      </c>
      <c r="M860" s="163" t="s">
        <v>903</v>
      </c>
      <c r="N860" s="163" t="s">
        <v>903</v>
      </c>
      <c r="O860" s="166" t="s">
        <v>903</v>
      </c>
      <c r="P860" s="387">
        <v>4544967.91</v>
      </c>
      <c r="Q860" s="167">
        <f t="shared" ref="Q860:S860" si="254">SUM(Q861:Q862)</f>
        <v>0</v>
      </c>
      <c r="R860" s="167">
        <f t="shared" si="254"/>
        <v>0</v>
      </c>
      <c r="S860" s="167">
        <f t="shared" si="254"/>
        <v>4544967.91</v>
      </c>
      <c r="T860" s="387">
        <f t="shared" si="242"/>
        <v>2506.0475904278783</v>
      </c>
      <c r="U860" s="387">
        <f>MAX(U861:U862)</f>
        <v>7526.9395358306192</v>
      </c>
      <c r="V860" s="149">
        <f t="shared" si="251"/>
        <v>5020.8919454027409</v>
      </c>
      <c r="W860" s="149"/>
      <c r="X860" s="149"/>
      <c r="Y860" s="368"/>
      <c r="Z860" s="368"/>
      <c r="AA860" s="368"/>
      <c r="AB860" s="368"/>
      <c r="AC860" s="368"/>
      <c r="AD860" s="368"/>
      <c r="AE860" s="368"/>
      <c r="AF860" s="368"/>
      <c r="AG860" s="368"/>
      <c r="AH860" s="368"/>
      <c r="AI860" s="368"/>
      <c r="AJ860" s="368"/>
      <c r="AK860" s="368"/>
      <c r="AL860" s="368"/>
      <c r="AM860" s="368"/>
      <c r="AN860" s="368"/>
      <c r="AO860" s="368"/>
    </row>
    <row r="861" spans="1:41" s="152" customFormat="1" ht="36" customHeight="1" x14ac:dyDescent="0.9">
      <c r="A861" s="152">
        <v>1</v>
      </c>
      <c r="B861" s="90">
        <f>SUBTOTAL(103,$A$554:A861)</f>
        <v>293</v>
      </c>
      <c r="C861" s="89" t="s">
        <v>1297</v>
      </c>
      <c r="D861" s="163">
        <v>1981</v>
      </c>
      <c r="E861" s="163"/>
      <c r="F861" s="168" t="s">
        <v>322</v>
      </c>
      <c r="G861" s="163">
        <v>2</v>
      </c>
      <c r="H861" s="163">
        <v>4</v>
      </c>
      <c r="I861" s="164">
        <v>1322.4</v>
      </c>
      <c r="J861" s="164">
        <v>1191.4000000000001</v>
      </c>
      <c r="K861" s="164">
        <v>1136.8000000000002</v>
      </c>
      <c r="L861" s="165">
        <v>36</v>
      </c>
      <c r="M861" s="163" t="s">
        <v>268</v>
      </c>
      <c r="N861" s="163" t="s">
        <v>269</v>
      </c>
      <c r="O861" s="166" t="s">
        <v>271</v>
      </c>
      <c r="P861" s="167">
        <v>3254609.94</v>
      </c>
      <c r="Q861" s="167">
        <v>0</v>
      </c>
      <c r="R861" s="167">
        <v>0</v>
      </c>
      <c r="S861" s="167">
        <f>P861-Q861-R861</f>
        <v>3254609.94</v>
      </c>
      <c r="T861" s="167">
        <f t="shared" si="242"/>
        <v>2461.1387931034483</v>
      </c>
      <c r="U861" s="167">
        <v>4970.2106470054441</v>
      </c>
      <c r="V861" s="149">
        <f t="shared" si="251"/>
        <v>2509.0718539019958</v>
      </c>
      <c r="W861" s="149">
        <f t="shared" ref="W861:W862" si="255">X861+Y861+Z861+AA861+AB861+AD861+AF861+AH861+AJ861+AL861+AN861+AO861</f>
        <v>4970.2106470054441</v>
      </c>
      <c r="X861" s="149">
        <v>0</v>
      </c>
      <c r="Y861" s="368">
        <v>0</v>
      </c>
      <c r="Z861" s="368">
        <v>0</v>
      </c>
      <c r="AA861" s="368">
        <v>0</v>
      </c>
      <c r="AB861" s="368">
        <v>0</v>
      </c>
      <c r="AC861" s="368">
        <v>0</v>
      </c>
      <c r="AD861" s="368">
        <v>0</v>
      </c>
      <c r="AE861" s="368">
        <v>0</v>
      </c>
      <c r="AF861" s="396">
        <v>0</v>
      </c>
      <c r="AG861" s="368">
        <v>0</v>
      </c>
      <c r="AH861" s="396">
        <v>0</v>
      </c>
      <c r="AI861" s="368">
        <v>842.36</v>
      </c>
      <c r="AJ861" s="397">
        <f>7802.61*AI861/I861</f>
        <v>4970.2106470054441</v>
      </c>
      <c r="AK861" s="368">
        <v>0</v>
      </c>
      <c r="AL861" s="368">
        <v>0</v>
      </c>
      <c r="AM861" s="368">
        <v>0</v>
      </c>
      <c r="AN861" s="368"/>
      <c r="AO861" s="368">
        <v>0</v>
      </c>
    </row>
    <row r="862" spans="1:41" s="152" customFormat="1" ht="36" customHeight="1" x14ac:dyDescent="0.9">
      <c r="A862" s="152">
        <v>1</v>
      </c>
      <c r="B862" s="90">
        <f>SUBTOTAL(103,$A$554:A862)</f>
        <v>294</v>
      </c>
      <c r="C862" s="358" t="s">
        <v>1234</v>
      </c>
      <c r="D862" s="355">
        <v>1967</v>
      </c>
      <c r="E862" s="355"/>
      <c r="F862" s="357" t="s">
        <v>270</v>
      </c>
      <c r="G862" s="355">
        <v>2</v>
      </c>
      <c r="H862" s="355">
        <v>2</v>
      </c>
      <c r="I862" s="353">
        <v>491.2</v>
      </c>
      <c r="J862" s="353">
        <v>435.7</v>
      </c>
      <c r="K862" s="353">
        <v>435.7</v>
      </c>
      <c r="L862" s="356">
        <v>18</v>
      </c>
      <c r="M862" s="355" t="s">
        <v>268</v>
      </c>
      <c r="N862" s="355" t="s">
        <v>269</v>
      </c>
      <c r="O862" s="354" t="s">
        <v>271</v>
      </c>
      <c r="P862" s="353">
        <v>1290357.97</v>
      </c>
      <c r="Q862" s="353">
        <v>0</v>
      </c>
      <c r="R862" s="353">
        <v>0</v>
      </c>
      <c r="S862" s="353">
        <f>P862-Q862-R862</f>
        <v>1290357.97</v>
      </c>
      <c r="T862" s="167">
        <f t="shared" si="242"/>
        <v>2626.9502646579804</v>
      </c>
      <c r="U862" s="167">
        <v>7526.9395358306192</v>
      </c>
      <c r="V862" s="149">
        <f t="shared" si="251"/>
        <v>4899.9892711726388</v>
      </c>
      <c r="W862" s="149">
        <f t="shared" si="255"/>
        <v>7526.9395358306192</v>
      </c>
      <c r="X862" s="149">
        <v>0</v>
      </c>
      <c r="Y862" s="368">
        <v>0</v>
      </c>
      <c r="Z862" s="368">
        <v>0</v>
      </c>
      <c r="AA862" s="368">
        <v>0</v>
      </c>
      <c r="AB862" s="368">
        <v>0</v>
      </c>
      <c r="AC862" s="368">
        <v>0</v>
      </c>
      <c r="AD862" s="368">
        <v>0</v>
      </c>
      <c r="AE862" s="368">
        <v>0</v>
      </c>
      <c r="AF862" s="396">
        <v>0</v>
      </c>
      <c r="AG862" s="368">
        <v>0</v>
      </c>
      <c r="AH862" s="396">
        <v>0</v>
      </c>
      <c r="AI862" s="368">
        <v>497</v>
      </c>
      <c r="AJ862" s="397">
        <f>7439.1*AI862/I862</f>
        <v>7526.9395358306192</v>
      </c>
      <c r="AK862" s="368">
        <v>0</v>
      </c>
      <c r="AL862" s="368">
        <v>0</v>
      </c>
      <c r="AM862" s="368">
        <v>0</v>
      </c>
      <c r="AN862" s="368"/>
      <c r="AO862" s="368">
        <v>0</v>
      </c>
    </row>
    <row r="863" spans="1:41" s="152" customFormat="1" ht="36" customHeight="1" x14ac:dyDescent="0.9">
      <c r="B863" s="382" t="s">
        <v>880</v>
      </c>
      <c r="C863" s="382"/>
      <c r="D863" s="384" t="s">
        <v>903</v>
      </c>
      <c r="E863" s="163" t="s">
        <v>903</v>
      </c>
      <c r="F863" s="384" t="s">
        <v>903</v>
      </c>
      <c r="G863" s="384" t="s">
        <v>903</v>
      </c>
      <c r="H863" s="163" t="s">
        <v>903</v>
      </c>
      <c r="I863" s="386">
        <f>I864</f>
        <v>924.3</v>
      </c>
      <c r="J863" s="164">
        <f>J864</f>
        <v>558.9</v>
      </c>
      <c r="K863" s="164">
        <f>K864</f>
        <v>527.1</v>
      </c>
      <c r="L863" s="165">
        <f>L864</f>
        <v>24</v>
      </c>
      <c r="M863" s="163" t="s">
        <v>903</v>
      </c>
      <c r="N863" s="163" t="s">
        <v>903</v>
      </c>
      <c r="O863" s="166" t="s">
        <v>903</v>
      </c>
      <c r="P863" s="387">
        <v>2205555.96</v>
      </c>
      <c r="Q863" s="167">
        <f>Q864</f>
        <v>0</v>
      </c>
      <c r="R863" s="167">
        <f>R864</f>
        <v>0</v>
      </c>
      <c r="S863" s="167">
        <f>S864</f>
        <v>2205555.96</v>
      </c>
      <c r="T863" s="387">
        <f t="shared" si="242"/>
        <v>2386.1905874716003</v>
      </c>
      <c r="U863" s="387">
        <f>U864</f>
        <v>2984.7949821486532</v>
      </c>
      <c r="V863" s="149">
        <f t="shared" si="251"/>
        <v>598.60439467705282</v>
      </c>
      <c r="W863" s="149"/>
      <c r="X863" s="149"/>
      <c r="Y863" s="368"/>
      <c r="Z863" s="368"/>
      <c r="AA863" s="368"/>
      <c r="AB863" s="368"/>
      <c r="AC863" s="368"/>
      <c r="AD863" s="368"/>
      <c r="AE863" s="368"/>
      <c r="AF863" s="368"/>
      <c r="AG863" s="368"/>
      <c r="AH863" s="368"/>
      <c r="AI863" s="368"/>
      <c r="AJ863" s="368"/>
      <c r="AK863" s="368"/>
      <c r="AL863" s="368"/>
      <c r="AM863" s="368"/>
      <c r="AN863" s="368"/>
      <c r="AO863" s="368"/>
    </row>
    <row r="864" spans="1:41" s="152" customFormat="1" ht="36" customHeight="1" x14ac:dyDescent="0.9">
      <c r="A864" s="152">
        <v>1</v>
      </c>
      <c r="B864" s="90">
        <f>SUBTOTAL(103,$A$554:A864)</f>
        <v>295</v>
      </c>
      <c r="C864" s="89" t="s">
        <v>244</v>
      </c>
      <c r="D864" s="163">
        <v>1986</v>
      </c>
      <c r="E864" s="163"/>
      <c r="F864" s="168" t="s">
        <v>315</v>
      </c>
      <c r="G864" s="163">
        <v>2</v>
      </c>
      <c r="H864" s="163">
        <v>2</v>
      </c>
      <c r="I864" s="164">
        <v>924.3</v>
      </c>
      <c r="J864" s="164">
        <v>558.9</v>
      </c>
      <c r="K864" s="164">
        <v>527.1</v>
      </c>
      <c r="L864" s="165">
        <v>24</v>
      </c>
      <c r="M864" s="163" t="s">
        <v>268</v>
      </c>
      <c r="N864" s="163" t="s">
        <v>269</v>
      </c>
      <c r="O864" s="166" t="s">
        <v>271</v>
      </c>
      <c r="P864" s="167">
        <v>2205555.96</v>
      </c>
      <c r="Q864" s="167">
        <v>0</v>
      </c>
      <c r="R864" s="167">
        <v>0</v>
      </c>
      <c r="S864" s="167">
        <f>P864-Q864-R864</f>
        <v>2205555.96</v>
      </c>
      <c r="T864" s="167">
        <f t="shared" si="242"/>
        <v>2386.1905874716003</v>
      </c>
      <c r="U864" s="167">
        <v>2984.7949821486532</v>
      </c>
      <c r="V864" s="149">
        <f>U864-T864</f>
        <v>598.60439467705282</v>
      </c>
      <c r="W864" s="149">
        <f>X864+Y864+Z864+AA864+AB864+AD864+AF864+AH864+AJ864+AL864+AN864+AO864</f>
        <v>2984.7949821486532</v>
      </c>
      <c r="X864" s="149">
        <v>0</v>
      </c>
      <c r="Y864" s="368">
        <v>0</v>
      </c>
      <c r="Z864" s="368">
        <v>0</v>
      </c>
      <c r="AA864" s="368">
        <v>0</v>
      </c>
      <c r="AB864" s="368">
        <v>0</v>
      </c>
      <c r="AC864" s="368">
        <v>0</v>
      </c>
      <c r="AD864" s="368">
        <v>0</v>
      </c>
      <c r="AE864" s="368">
        <v>442.2</v>
      </c>
      <c r="AF864" s="396">
        <f>6238.91*AE864/I864</f>
        <v>2984.7949821486532</v>
      </c>
      <c r="AG864" s="368">
        <v>0</v>
      </c>
      <c r="AH864" s="396">
        <v>0</v>
      </c>
      <c r="AI864" s="368">
        <v>0</v>
      </c>
      <c r="AJ864" s="396">
        <v>0</v>
      </c>
      <c r="AK864" s="368">
        <v>0</v>
      </c>
      <c r="AL864" s="368">
        <v>0</v>
      </c>
      <c r="AM864" s="368">
        <v>0</v>
      </c>
      <c r="AN864" s="368"/>
      <c r="AO864" s="368">
        <v>0</v>
      </c>
    </row>
    <row r="865" spans="1:41" s="152" customFormat="1" ht="36" customHeight="1" x14ac:dyDescent="0.9">
      <c r="B865" s="382" t="s">
        <v>881</v>
      </c>
      <c r="C865" s="389"/>
      <c r="D865" s="384" t="s">
        <v>903</v>
      </c>
      <c r="E865" s="163" t="s">
        <v>903</v>
      </c>
      <c r="F865" s="384" t="s">
        <v>903</v>
      </c>
      <c r="G865" s="384" t="s">
        <v>903</v>
      </c>
      <c r="H865" s="163" t="s">
        <v>903</v>
      </c>
      <c r="I865" s="386">
        <f>I866</f>
        <v>622.4</v>
      </c>
      <c r="J865" s="164">
        <f>J866</f>
        <v>576.29999999999995</v>
      </c>
      <c r="K865" s="164">
        <f>K866</f>
        <v>453.4</v>
      </c>
      <c r="L865" s="165">
        <f>L866</f>
        <v>35</v>
      </c>
      <c r="M865" s="163" t="s">
        <v>903</v>
      </c>
      <c r="N865" s="163" t="s">
        <v>903</v>
      </c>
      <c r="O865" s="166" t="s">
        <v>903</v>
      </c>
      <c r="P865" s="387">
        <v>2610900</v>
      </c>
      <c r="Q865" s="167">
        <f>Q866</f>
        <v>0</v>
      </c>
      <c r="R865" s="167">
        <f>R866</f>
        <v>0</v>
      </c>
      <c r="S865" s="167">
        <f>S866</f>
        <v>2610900</v>
      </c>
      <c r="T865" s="387">
        <f t="shared" si="242"/>
        <v>4194.8907455012859</v>
      </c>
      <c r="U865" s="387">
        <f>U866</f>
        <v>5011.977827763496</v>
      </c>
      <c r="V865" s="149">
        <f t="shared" si="251"/>
        <v>817.08708226221006</v>
      </c>
      <c r="W865" s="149"/>
      <c r="X865" s="149"/>
      <c r="Y865" s="368"/>
      <c r="Z865" s="368"/>
      <c r="AA865" s="368"/>
      <c r="AB865" s="368"/>
      <c r="AC865" s="368"/>
      <c r="AD865" s="368"/>
      <c r="AE865" s="368"/>
      <c r="AF865" s="368"/>
      <c r="AG865" s="368"/>
      <c r="AH865" s="368"/>
      <c r="AI865" s="368"/>
      <c r="AJ865" s="368"/>
      <c r="AK865" s="368"/>
      <c r="AL865" s="368"/>
      <c r="AM865" s="368"/>
      <c r="AN865" s="368"/>
      <c r="AO865" s="368"/>
    </row>
    <row r="866" spans="1:41" s="152" customFormat="1" ht="36" customHeight="1" x14ac:dyDescent="0.9">
      <c r="A866" s="152">
        <v>1</v>
      </c>
      <c r="B866" s="90">
        <f>SUBTOTAL(103,$A$554:A866)</f>
        <v>296</v>
      </c>
      <c r="C866" s="170" t="s">
        <v>2</v>
      </c>
      <c r="D866" s="163">
        <v>1963</v>
      </c>
      <c r="E866" s="163"/>
      <c r="F866" s="168" t="s">
        <v>270</v>
      </c>
      <c r="G866" s="163">
        <v>2</v>
      </c>
      <c r="H866" s="163">
        <v>2</v>
      </c>
      <c r="I866" s="164">
        <v>622.4</v>
      </c>
      <c r="J866" s="164">
        <v>576.29999999999995</v>
      </c>
      <c r="K866" s="164">
        <v>453.4</v>
      </c>
      <c r="L866" s="165">
        <v>35</v>
      </c>
      <c r="M866" s="163" t="s">
        <v>268</v>
      </c>
      <c r="N866" s="163" t="s">
        <v>269</v>
      </c>
      <c r="O866" s="166" t="s">
        <v>271</v>
      </c>
      <c r="P866" s="167">
        <v>2610900</v>
      </c>
      <c r="Q866" s="167">
        <v>0</v>
      </c>
      <c r="R866" s="167">
        <v>0</v>
      </c>
      <c r="S866" s="167">
        <f>P866-Q866-R866</f>
        <v>2610900</v>
      </c>
      <c r="T866" s="167">
        <f t="shared" si="242"/>
        <v>4194.8907455012859</v>
      </c>
      <c r="U866" s="167">
        <v>5011.977827763496</v>
      </c>
      <c r="V866" s="149">
        <f>U866-T866</f>
        <v>817.08708226221006</v>
      </c>
      <c r="W866" s="149">
        <f>X866+Y866+Z866+AA866+AB866+AD866+AF866+AH866+AJ866+AL866+AN866+AO866</f>
        <v>5011.977827763496</v>
      </c>
      <c r="X866" s="149">
        <v>0</v>
      </c>
      <c r="Y866" s="368">
        <v>0</v>
      </c>
      <c r="Z866" s="368">
        <v>0</v>
      </c>
      <c r="AA866" s="368">
        <v>0</v>
      </c>
      <c r="AB866" s="368">
        <v>0</v>
      </c>
      <c r="AC866" s="368">
        <v>0</v>
      </c>
      <c r="AD866" s="368">
        <v>0</v>
      </c>
      <c r="AE866" s="368">
        <v>500</v>
      </c>
      <c r="AF866" s="396">
        <f>6238.91*AE866/I866</f>
        <v>5011.977827763496</v>
      </c>
      <c r="AG866" s="368">
        <v>0</v>
      </c>
      <c r="AH866" s="396">
        <v>0</v>
      </c>
      <c r="AI866" s="368">
        <v>0</v>
      </c>
      <c r="AJ866" s="396">
        <v>0</v>
      </c>
      <c r="AK866" s="368">
        <v>0</v>
      </c>
      <c r="AL866" s="368">
        <v>0</v>
      </c>
      <c r="AM866" s="368">
        <v>0</v>
      </c>
      <c r="AN866" s="368"/>
      <c r="AO866" s="368">
        <v>0</v>
      </c>
    </row>
    <row r="867" spans="1:41" s="152" customFormat="1" ht="36" customHeight="1" x14ac:dyDescent="0.9">
      <c r="B867" s="382" t="s">
        <v>882</v>
      </c>
      <c r="C867" s="390"/>
      <c r="D867" s="384" t="s">
        <v>903</v>
      </c>
      <c r="E867" s="163" t="s">
        <v>903</v>
      </c>
      <c r="F867" s="384" t="s">
        <v>903</v>
      </c>
      <c r="G867" s="384" t="s">
        <v>903</v>
      </c>
      <c r="H867" s="163" t="s">
        <v>903</v>
      </c>
      <c r="I867" s="386">
        <f>I868</f>
        <v>531.9</v>
      </c>
      <c r="J867" s="164">
        <f>J868</f>
        <v>471.5</v>
      </c>
      <c r="K867" s="164">
        <f>K868</f>
        <v>438.4</v>
      </c>
      <c r="L867" s="165">
        <f>L868</f>
        <v>22</v>
      </c>
      <c r="M867" s="163" t="s">
        <v>903</v>
      </c>
      <c r="N867" s="163" t="s">
        <v>903</v>
      </c>
      <c r="O867" s="166" t="s">
        <v>903</v>
      </c>
      <c r="P867" s="387">
        <v>3133080</v>
      </c>
      <c r="Q867" s="167">
        <f>Q868</f>
        <v>0</v>
      </c>
      <c r="R867" s="167">
        <f>R868</f>
        <v>0</v>
      </c>
      <c r="S867" s="167">
        <f>S868</f>
        <v>3133080</v>
      </c>
      <c r="T867" s="387">
        <f t="shared" si="242"/>
        <v>5890.3553299492387</v>
      </c>
      <c r="U867" s="387">
        <f>U868</f>
        <v>7037.6875352509869</v>
      </c>
      <c r="V867" s="149">
        <f t="shared" si="251"/>
        <v>1147.3322053017482</v>
      </c>
      <c r="W867" s="149"/>
      <c r="X867" s="149"/>
      <c r="Y867" s="368"/>
      <c r="Z867" s="368"/>
      <c r="AA867" s="368"/>
      <c r="AB867" s="368"/>
      <c r="AC867" s="368"/>
      <c r="AD867" s="368"/>
      <c r="AE867" s="368"/>
      <c r="AF867" s="368"/>
      <c r="AG867" s="368"/>
      <c r="AH867" s="368"/>
      <c r="AI867" s="368"/>
      <c r="AJ867" s="368"/>
      <c r="AK867" s="368"/>
      <c r="AL867" s="368"/>
      <c r="AM867" s="368"/>
      <c r="AN867" s="368"/>
      <c r="AO867" s="368"/>
    </row>
    <row r="868" spans="1:41" s="152" customFormat="1" ht="36" customHeight="1" x14ac:dyDescent="0.9">
      <c r="A868" s="152">
        <v>1</v>
      </c>
      <c r="B868" s="90">
        <f>SUBTOTAL(103,$A$554:A868)</f>
        <v>297</v>
      </c>
      <c r="C868" s="170" t="s">
        <v>1</v>
      </c>
      <c r="D868" s="163">
        <v>1962</v>
      </c>
      <c r="E868" s="163"/>
      <c r="F868" s="168" t="s">
        <v>270</v>
      </c>
      <c r="G868" s="163">
        <v>2</v>
      </c>
      <c r="H868" s="163">
        <v>2</v>
      </c>
      <c r="I868" s="164">
        <v>531.9</v>
      </c>
      <c r="J868" s="164">
        <v>471.5</v>
      </c>
      <c r="K868" s="164">
        <v>438.4</v>
      </c>
      <c r="L868" s="165">
        <v>22</v>
      </c>
      <c r="M868" s="163" t="s">
        <v>268</v>
      </c>
      <c r="N868" s="163" t="s">
        <v>269</v>
      </c>
      <c r="O868" s="166" t="s">
        <v>271</v>
      </c>
      <c r="P868" s="167">
        <v>3133080</v>
      </c>
      <c r="Q868" s="167">
        <v>0</v>
      </c>
      <c r="R868" s="167">
        <v>0</v>
      </c>
      <c r="S868" s="167">
        <f>P868-Q868-R868</f>
        <v>3133080</v>
      </c>
      <c r="T868" s="167">
        <f t="shared" si="242"/>
        <v>5890.3553299492387</v>
      </c>
      <c r="U868" s="167">
        <v>7037.6875352509869</v>
      </c>
      <c r="V868" s="149">
        <f>U868-T868</f>
        <v>1147.3322053017482</v>
      </c>
      <c r="W868" s="149">
        <f>X868+Y868+Z868+AA868+AB868+AD868+AF868+AH868+AJ868+AL868+AN868+AO868</f>
        <v>7037.6875352509869</v>
      </c>
      <c r="X868" s="149">
        <v>0</v>
      </c>
      <c r="Y868" s="368">
        <v>0</v>
      </c>
      <c r="Z868" s="368">
        <v>0</v>
      </c>
      <c r="AA868" s="368">
        <v>0</v>
      </c>
      <c r="AB868" s="368">
        <v>0</v>
      </c>
      <c r="AC868" s="368">
        <v>0</v>
      </c>
      <c r="AD868" s="368">
        <v>0</v>
      </c>
      <c r="AE868" s="368">
        <v>600</v>
      </c>
      <c r="AF868" s="396">
        <f>6238.91*AE868/I868</f>
        <v>7037.6875352509869</v>
      </c>
      <c r="AG868" s="368">
        <v>0</v>
      </c>
      <c r="AH868" s="396">
        <v>0</v>
      </c>
      <c r="AI868" s="368">
        <v>0</v>
      </c>
      <c r="AJ868" s="396">
        <v>0</v>
      </c>
      <c r="AK868" s="368">
        <v>0</v>
      </c>
      <c r="AL868" s="368">
        <v>0</v>
      </c>
      <c r="AM868" s="368">
        <v>0</v>
      </c>
      <c r="AN868" s="368"/>
      <c r="AO868" s="368">
        <v>0</v>
      </c>
    </row>
    <row r="869" spans="1:41" s="152" customFormat="1" ht="36" customHeight="1" x14ac:dyDescent="0.9">
      <c r="B869" s="382" t="s">
        <v>841</v>
      </c>
      <c r="C869" s="388"/>
      <c r="D869" s="384" t="s">
        <v>903</v>
      </c>
      <c r="E869" s="163" t="s">
        <v>903</v>
      </c>
      <c r="F869" s="384" t="s">
        <v>903</v>
      </c>
      <c r="G869" s="384" t="s">
        <v>903</v>
      </c>
      <c r="H869" s="163" t="s">
        <v>903</v>
      </c>
      <c r="I869" s="386">
        <f>I870</f>
        <v>7845.75</v>
      </c>
      <c r="J869" s="164">
        <f>J870</f>
        <v>6087.05</v>
      </c>
      <c r="K869" s="164">
        <f>K870</f>
        <v>5920.85</v>
      </c>
      <c r="L869" s="165">
        <f>L870</f>
        <v>225</v>
      </c>
      <c r="M869" s="163" t="s">
        <v>903</v>
      </c>
      <c r="N869" s="163" t="s">
        <v>903</v>
      </c>
      <c r="O869" s="166" t="s">
        <v>903</v>
      </c>
      <c r="P869" s="387">
        <v>8458120</v>
      </c>
      <c r="Q869" s="167">
        <f>Q870</f>
        <v>0</v>
      </c>
      <c r="R869" s="167">
        <f>R870</f>
        <v>0</v>
      </c>
      <c r="S869" s="167">
        <f>S870</f>
        <v>8458120</v>
      </c>
      <c r="T869" s="387">
        <f t="shared" si="242"/>
        <v>1078.0511742025938</v>
      </c>
      <c r="U869" s="387">
        <f>U870</f>
        <v>1590.3922505815251</v>
      </c>
      <c r="V869" s="149">
        <f t="shared" si="251"/>
        <v>512.34107637893135</v>
      </c>
      <c r="W869" s="149"/>
      <c r="X869" s="149"/>
      <c r="Y869" s="368"/>
      <c r="Z869" s="368"/>
      <c r="AA869" s="368"/>
      <c r="AB869" s="368"/>
      <c r="AC869" s="368"/>
      <c r="AD869" s="368"/>
      <c r="AE869" s="368"/>
      <c r="AF869" s="368"/>
      <c r="AG869" s="368"/>
      <c r="AH869" s="368"/>
      <c r="AI869" s="368"/>
      <c r="AJ869" s="368"/>
      <c r="AK869" s="368"/>
      <c r="AL869" s="368"/>
      <c r="AM869" s="368"/>
      <c r="AN869" s="368"/>
      <c r="AO869" s="368"/>
    </row>
    <row r="870" spans="1:41" s="152" customFormat="1" ht="36" customHeight="1" x14ac:dyDescent="0.9">
      <c r="A870" s="152">
        <v>1</v>
      </c>
      <c r="B870" s="90">
        <f>SUBTOTAL(103,$A$554:A870)</f>
        <v>298</v>
      </c>
      <c r="C870" s="89" t="s">
        <v>706</v>
      </c>
      <c r="D870" s="163">
        <v>1973</v>
      </c>
      <c r="E870" s="163">
        <v>1973</v>
      </c>
      <c r="F870" s="168" t="s">
        <v>322</v>
      </c>
      <c r="G870" s="163">
        <v>5</v>
      </c>
      <c r="H870" s="163">
        <v>8</v>
      </c>
      <c r="I870" s="164">
        <v>7845.75</v>
      </c>
      <c r="J870" s="164">
        <v>6087.05</v>
      </c>
      <c r="K870" s="164">
        <v>5920.85</v>
      </c>
      <c r="L870" s="165">
        <v>225</v>
      </c>
      <c r="M870" s="163" t="s">
        <v>268</v>
      </c>
      <c r="N870" s="163" t="s">
        <v>272</v>
      </c>
      <c r="O870" s="166" t="s">
        <v>740</v>
      </c>
      <c r="P870" s="167">
        <v>8458120</v>
      </c>
      <c r="Q870" s="167">
        <v>0</v>
      </c>
      <c r="R870" s="167">
        <v>0</v>
      </c>
      <c r="S870" s="167">
        <f>P870-Q870-R870</f>
        <v>8458120</v>
      </c>
      <c r="T870" s="167">
        <f t="shared" si="242"/>
        <v>1078.0511742025938</v>
      </c>
      <c r="U870" s="167">
        <v>1590.3922505815251</v>
      </c>
      <c r="V870" s="149">
        <f>U870-T870</f>
        <v>512.34107637893135</v>
      </c>
      <c r="W870" s="149">
        <f>X870+Y870+Z870+AA870+AB870+AD870+AF870+AH870+AJ870+AL870+AN870+AO870</f>
        <v>1590.3922505815251</v>
      </c>
      <c r="X870" s="149">
        <v>0</v>
      </c>
      <c r="Y870" s="368">
        <v>0</v>
      </c>
      <c r="Z870" s="368">
        <v>0</v>
      </c>
      <c r="AA870" s="368">
        <v>0</v>
      </c>
      <c r="AB870" s="368">
        <v>0</v>
      </c>
      <c r="AC870" s="368">
        <v>0</v>
      </c>
      <c r="AD870" s="368">
        <v>0</v>
      </c>
      <c r="AE870" s="368">
        <v>2000</v>
      </c>
      <c r="AF870" s="396">
        <f>6238.91*AE870/I870</f>
        <v>1590.3922505815251</v>
      </c>
      <c r="AG870" s="368">
        <v>0</v>
      </c>
      <c r="AH870" s="396">
        <v>0</v>
      </c>
      <c r="AI870" s="368">
        <v>0</v>
      </c>
      <c r="AJ870" s="396">
        <v>0</v>
      </c>
      <c r="AK870" s="368">
        <v>0</v>
      </c>
      <c r="AL870" s="368">
        <v>0</v>
      </c>
      <c r="AM870" s="368">
        <v>0</v>
      </c>
      <c r="AN870" s="368"/>
      <c r="AO870" s="368">
        <v>0</v>
      </c>
    </row>
    <row r="871" spans="1:41" s="152" customFormat="1" ht="36" customHeight="1" x14ac:dyDescent="0.9">
      <c r="B871" s="382" t="s">
        <v>883</v>
      </c>
      <c r="C871" s="382"/>
      <c r="D871" s="384" t="s">
        <v>903</v>
      </c>
      <c r="E871" s="163" t="s">
        <v>903</v>
      </c>
      <c r="F871" s="384" t="s">
        <v>903</v>
      </c>
      <c r="G871" s="384" t="s">
        <v>903</v>
      </c>
      <c r="H871" s="163" t="s">
        <v>903</v>
      </c>
      <c r="I871" s="386">
        <f>I872</f>
        <v>550.20000000000005</v>
      </c>
      <c r="J871" s="164">
        <f>J872</f>
        <v>517.20000000000005</v>
      </c>
      <c r="K871" s="164">
        <f>K872</f>
        <v>517.20000000000005</v>
      </c>
      <c r="L871" s="165">
        <f>L872</f>
        <v>20</v>
      </c>
      <c r="M871" s="163" t="s">
        <v>903</v>
      </c>
      <c r="N871" s="163" t="s">
        <v>903</v>
      </c>
      <c r="O871" s="166" t="s">
        <v>903</v>
      </c>
      <c r="P871" s="387">
        <v>2537436</v>
      </c>
      <c r="Q871" s="167">
        <f>Q872</f>
        <v>0</v>
      </c>
      <c r="R871" s="167">
        <f>R872</f>
        <v>0</v>
      </c>
      <c r="S871" s="167">
        <f>S872</f>
        <v>2537436</v>
      </c>
      <c r="T871" s="387">
        <f t="shared" si="242"/>
        <v>4611.8429661941109</v>
      </c>
      <c r="U871" s="387">
        <f>U872</f>
        <v>6803.6095965103596</v>
      </c>
      <c r="V871" s="149">
        <f t="shared" si="251"/>
        <v>2191.7666303162487</v>
      </c>
      <c r="W871" s="149"/>
      <c r="X871" s="149"/>
      <c r="Y871" s="368"/>
      <c r="Z871" s="368"/>
      <c r="AA871" s="368"/>
      <c r="AB871" s="368"/>
      <c r="AC871" s="368"/>
      <c r="AD871" s="368"/>
      <c r="AE871" s="368"/>
      <c r="AF871" s="368"/>
      <c r="AG871" s="368"/>
      <c r="AH871" s="368"/>
      <c r="AI871" s="368"/>
      <c r="AJ871" s="368"/>
      <c r="AK871" s="368"/>
      <c r="AL871" s="368"/>
      <c r="AM871" s="368"/>
      <c r="AN871" s="368"/>
      <c r="AO871" s="368"/>
    </row>
    <row r="872" spans="1:41" s="152" customFormat="1" ht="36" customHeight="1" x14ac:dyDescent="0.9">
      <c r="A872" s="152">
        <v>1</v>
      </c>
      <c r="B872" s="90">
        <f>SUBTOTAL(103,$A$554:A872)</f>
        <v>299</v>
      </c>
      <c r="C872" s="89" t="s">
        <v>712</v>
      </c>
      <c r="D872" s="163">
        <v>1970</v>
      </c>
      <c r="E872" s="163"/>
      <c r="F872" s="168" t="s">
        <v>270</v>
      </c>
      <c r="G872" s="163">
        <v>2</v>
      </c>
      <c r="H872" s="163">
        <v>2</v>
      </c>
      <c r="I872" s="164">
        <v>550.20000000000005</v>
      </c>
      <c r="J872" s="164">
        <v>517.20000000000005</v>
      </c>
      <c r="K872" s="164">
        <v>517.20000000000005</v>
      </c>
      <c r="L872" s="165">
        <v>20</v>
      </c>
      <c r="M872" s="163" t="s">
        <v>268</v>
      </c>
      <c r="N872" s="163" t="s">
        <v>269</v>
      </c>
      <c r="O872" s="166" t="s">
        <v>271</v>
      </c>
      <c r="P872" s="167">
        <v>2537436</v>
      </c>
      <c r="Q872" s="167">
        <v>0</v>
      </c>
      <c r="R872" s="167">
        <v>0</v>
      </c>
      <c r="S872" s="167">
        <f>P872-Q872-R872</f>
        <v>2537436</v>
      </c>
      <c r="T872" s="167">
        <f t="shared" si="242"/>
        <v>4611.8429661941109</v>
      </c>
      <c r="U872" s="167">
        <v>6803.6095965103596</v>
      </c>
      <c r="V872" s="149">
        <f>U872-T872</f>
        <v>2191.7666303162487</v>
      </c>
      <c r="W872" s="149">
        <f>X872+Y872+Z872+AA872+AB872+AD872+AF872+AH872+AJ872+AL872+AN872+AO872</f>
        <v>6803.6095965103596</v>
      </c>
      <c r="X872" s="149">
        <v>0</v>
      </c>
      <c r="Y872" s="368">
        <v>0</v>
      </c>
      <c r="Z872" s="368">
        <v>0</v>
      </c>
      <c r="AA872" s="368">
        <v>0</v>
      </c>
      <c r="AB872" s="368">
        <v>0</v>
      </c>
      <c r="AC872" s="368">
        <v>0</v>
      </c>
      <c r="AD872" s="368">
        <v>0</v>
      </c>
      <c r="AE872" s="368">
        <v>600</v>
      </c>
      <c r="AF872" s="396">
        <f>6238.91*AE872/I872</f>
        <v>6803.6095965103596</v>
      </c>
      <c r="AG872" s="368">
        <v>0</v>
      </c>
      <c r="AH872" s="396">
        <v>0</v>
      </c>
      <c r="AI872" s="368">
        <v>0</v>
      </c>
      <c r="AJ872" s="396">
        <v>0</v>
      </c>
      <c r="AK872" s="368">
        <v>0</v>
      </c>
      <c r="AL872" s="368">
        <v>0</v>
      </c>
      <c r="AM872" s="368">
        <v>0</v>
      </c>
      <c r="AN872" s="368"/>
      <c r="AO872" s="368">
        <v>0</v>
      </c>
    </row>
    <row r="873" spans="1:41" s="152" customFormat="1" ht="36" customHeight="1" x14ac:dyDescent="0.9">
      <c r="B873" s="382" t="s">
        <v>842</v>
      </c>
      <c r="C873" s="382"/>
      <c r="D873" s="384" t="s">
        <v>903</v>
      </c>
      <c r="E873" s="163" t="s">
        <v>903</v>
      </c>
      <c r="F873" s="384" t="s">
        <v>903</v>
      </c>
      <c r="G873" s="384" t="s">
        <v>903</v>
      </c>
      <c r="H873" s="163" t="s">
        <v>903</v>
      </c>
      <c r="I873" s="386">
        <f>SUM(I874:I875)</f>
        <v>4578.08</v>
      </c>
      <c r="J873" s="164">
        <f t="shared" ref="J873:L873" si="256">SUM(J874:J875)</f>
        <v>4199.5</v>
      </c>
      <c r="K873" s="164">
        <f t="shared" si="256"/>
        <v>4199.5</v>
      </c>
      <c r="L873" s="165">
        <f t="shared" si="256"/>
        <v>186</v>
      </c>
      <c r="M873" s="163" t="s">
        <v>903</v>
      </c>
      <c r="N873" s="163" t="s">
        <v>903</v>
      </c>
      <c r="O873" s="166" t="s">
        <v>903</v>
      </c>
      <c r="P873" s="387">
        <v>6009009.3600000003</v>
      </c>
      <c r="Q873" s="167">
        <f t="shared" ref="Q873:S873" si="257">SUM(Q874:Q875)</f>
        <v>0</v>
      </c>
      <c r="R873" s="167">
        <f t="shared" si="257"/>
        <v>0</v>
      </c>
      <c r="S873" s="167">
        <f t="shared" si="257"/>
        <v>6009009.3600000003</v>
      </c>
      <c r="T873" s="387">
        <f t="shared" si="242"/>
        <v>1312.5610212141335</v>
      </c>
      <c r="U873" s="387">
        <f>MAX(U874:U875)</f>
        <v>3629.1969008949291</v>
      </c>
      <c r="V873" s="149">
        <f t="shared" si="251"/>
        <v>2316.6358796807954</v>
      </c>
      <c r="W873" s="149"/>
      <c r="X873" s="149"/>
      <c r="Y873" s="368"/>
      <c r="Z873" s="368"/>
      <c r="AA873" s="368"/>
      <c r="AB873" s="368"/>
      <c r="AC873" s="368"/>
      <c r="AD873" s="368"/>
      <c r="AE873" s="368"/>
      <c r="AF873" s="368"/>
      <c r="AG873" s="368"/>
      <c r="AH873" s="368"/>
      <c r="AI873" s="368"/>
      <c r="AJ873" s="368"/>
      <c r="AK873" s="368"/>
      <c r="AL873" s="368"/>
      <c r="AM873" s="368"/>
      <c r="AN873" s="368"/>
      <c r="AO873" s="368"/>
    </row>
    <row r="874" spans="1:41" s="152" customFormat="1" ht="36" customHeight="1" x14ac:dyDescent="0.9">
      <c r="A874" s="152">
        <v>1</v>
      </c>
      <c r="B874" s="90">
        <f>SUBTOTAL(103,$A$554:A874)</f>
        <v>300</v>
      </c>
      <c r="C874" s="89" t="s">
        <v>709</v>
      </c>
      <c r="D874" s="163">
        <v>1973</v>
      </c>
      <c r="E874" s="163">
        <v>2006</v>
      </c>
      <c r="F874" s="168" t="s">
        <v>270</v>
      </c>
      <c r="G874" s="163">
        <v>3</v>
      </c>
      <c r="H874" s="163">
        <v>2</v>
      </c>
      <c r="I874" s="164">
        <v>1206.8</v>
      </c>
      <c r="J874" s="164">
        <v>1107.8</v>
      </c>
      <c r="K874" s="164">
        <v>1107.8</v>
      </c>
      <c r="L874" s="165">
        <v>30</v>
      </c>
      <c r="M874" s="163" t="s">
        <v>268</v>
      </c>
      <c r="N874" s="163" t="s">
        <v>272</v>
      </c>
      <c r="O874" s="166" t="s">
        <v>741</v>
      </c>
      <c r="P874" s="167">
        <v>2968784.92</v>
      </c>
      <c r="Q874" s="167">
        <v>0</v>
      </c>
      <c r="R874" s="167">
        <v>0</v>
      </c>
      <c r="S874" s="167">
        <f>P874-Q874-R874</f>
        <v>2968784.92</v>
      </c>
      <c r="T874" s="167">
        <f t="shared" si="242"/>
        <v>2460.0471660589992</v>
      </c>
      <c r="U874" s="167">
        <v>3629.1969008949291</v>
      </c>
      <c r="V874" s="149">
        <f t="shared" si="251"/>
        <v>1169.1497348359298</v>
      </c>
      <c r="W874" s="149">
        <f t="shared" ref="W874:W875" si="258">X874+Y874+Z874+AA874+AB874+AD874+AF874+AH874+AJ874+AL874+AN874+AO874</f>
        <v>3629.1969008949291</v>
      </c>
      <c r="X874" s="149">
        <v>0</v>
      </c>
      <c r="Y874" s="368">
        <v>0</v>
      </c>
      <c r="Z874" s="368">
        <v>0</v>
      </c>
      <c r="AA874" s="368">
        <v>0</v>
      </c>
      <c r="AB874" s="368">
        <v>0</v>
      </c>
      <c r="AC874" s="368">
        <v>0</v>
      </c>
      <c r="AD874" s="368">
        <v>0</v>
      </c>
      <c r="AE874" s="368">
        <v>702</v>
      </c>
      <c r="AF874" s="396">
        <f t="shared" ref="AF874:AF875" si="259">6238.91*AE874/I874</f>
        <v>3629.1969008949291</v>
      </c>
      <c r="AG874" s="368">
        <v>0</v>
      </c>
      <c r="AH874" s="396">
        <v>0</v>
      </c>
      <c r="AI874" s="368">
        <v>0</v>
      </c>
      <c r="AJ874" s="396">
        <v>0</v>
      </c>
      <c r="AK874" s="368">
        <v>0</v>
      </c>
      <c r="AL874" s="368">
        <v>0</v>
      </c>
      <c r="AM874" s="368">
        <v>0</v>
      </c>
      <c r="AN874" s="368"/>
      <c r="AO874" s="368">
        <v>0</v>
      </c>
    </row>
    <row r="875" spans="1:41" s="152" customFormat="1" ht="36" customHeight="1" x14ac:dyDescent="0.9">
      <c r="A875" s="152">
        <v>1</v>
      </c>
      <c r="B875" s="90">
        <f>SUBTOTAL(103,$A$554:A875)</f>
        <v>301</v>
      </c>
      <c r="C875" s="358" t="s">
        <v>1575</v>
      </c>
      <c r="D875" s="361">
        <v>1978</v>
      </c>
      <c r="E875" s="361"/>
      <c r="F875" s="364" t="s">
        <v>322</v>
      </c>
      <c r="G875" s="361">
        <v>5</v>
      </c>
      <c r="H875" s="361">
        <v>4</v>
      </c>
      <c r="I875" s="363">
        <v>3371.28</v>
      </c>
      <c r="J875" s="363">
        <v>3091.7</v>
      </c>
      <c r="K875" s="363">
        <v>3091.7</v>
      </c>
      <c r="L875" s="362">
        <v>156</v>
      </c>
      <c r="M875" s="361" t="s">
        <v>268</v>
      </c>
      <c r="N875" s="361" t="s">
        <v>272</v>
      </c>
      <c r="O875" s="360" t="s">
        <v>1602</v>
      </c>
      <c r="P875" s="353">
        <v>3040224.4400000004</v>
      </c>
      <c r="Q875" s="353">
        <v>0</v>
      </c>
      <c r="R875" s="353">
        <v>0</v>
      </c>
      <c r="S875" s="353">
        <f>P875-R875-Q875</f>
        <v>3040224.4400000004</v>
      </c>
      <c r="T875" s="167">
        <f t="shared" si="242"/>
        <v>901.80122683372497</v>
      </c>
      <c r="U875" s="167">
        <v>1411.642031513253</v>
      </c>
      <c r="V875" s="149">
        <f t="shared" si="251"/>
        <v>509.84080467952799</v>
      </c>
      <c r="W875" s="149">
        <f t="shared" si="258"/>
        <v>1411.642031513253</v>
      </c>
      <c r="X875" s="149">
        <v>0</v>
      </c>
      <c r="Y875" s="368">
        <v>0</v>
      </c>
      <c r="Z875" s="368">
        <v>0</v>
      </c>
      <c r="AA875" s="368">
        <v>0</v>
      </c>
      <c r="AB875" s="368">
        <v>0</v>
      </c>
      <c r="AC875" s="368">
        <v>0</v>
      </c>
      <c r="AD875" s="368">
        <v>0</v>
      </c>
      <c r="AE875" s="368">
        <v>762.8</v>
      </c>
      <c r="AF875" s="396">
        <f t="shared" si="259"/>
        <v>1411.642031513253</v>
      </c>
      <c r="AG875" s="368">
        <v>0</v>
      </c>
      <c r="AH875" s="396">
        <v>0</v>
      </c>
      <c r="AI875" s="368">
        <v>0</v>
      </c>
      <c r="AJ875" s="396">
        <v>0</v>
      </c>
      <c r="AK875" s="368">
        <v>0</v>
      </c>
      <c r="AL875" s="368">
        <v>0</v>
      </c>
      <c r="AM875" s="368">
        <v>0</v>
      </c>
      <c r="AN875" s="368"/>
      <c r="AO875" s="368">
        <v>0</v>
      </c>
    </row>
    <row r="876" spans="1:41" s="152" customFormat="1" ht="36" customHeight="1" x14ac:dyDescent="0.9">
      <c r="B876" s="382" t="s">
        <v>844</v>
      </c>
      <c r="C876" s="388"/>
      <c r="D876" s="384" t="s">
        <v>903</v>
      </c>
      <c r="E876" s="163" t="s">
        <v>903</v>
      </c>
      <c r="F876" s="384" t="s">
        <v>903</v>
      </c>
      <c r="G876" s="384" t="s">
        <v>903</v>
      </c>
      <c r="H876" s="163" t="s">
        <v>903</v>
      </c>
      <c r="I876" s="386">
        <f>SUM(I877:I885)</f>
        <v>15474.9</v>
      </c>
      <c r="J876" s="164">
        <f>SUM(J877:J885)</f>
        <v>11963.759999999998</v>
      </c>
      <c r="K876" s="164">
        <f>SUM(K877:K885)</f>
        <v>11775.22</v>
      </c>
      <c r="L876" s="165">
        <f>SUM(L877:L885)</f>
        <v>580</v>
      </c>
      <c r="M876" s="163" t="s">
        <v>903</v>
      </c>
      <c r="N876" s="163" t="s">
        <v>903</v>
      </c>
      <c r="O876" s="166" t="s">
        <v>903</v>
      </c>
      <c r="P876" s="387">
        <v>33508915.759999998</v>
      </c>
      <c r="Q876" s="167">
        <f>SUM(Q877:Q885)</f>
        <v>0</v>
      </c>
      <c r="R876" s="167">
        <f>SUM(R877:R885)</f>
        <v>0</v>
      </c>
      <c r="S876" s="167">
        <f>SUM(S877:S885)</f>
        <v>33508915.759999998</v>
      </c>
      <c r="T876" s="387">
        <f t="shared" si="242"/>
        <v>2165.3720385915253</v>
      </c>
      <c r="U876" s="387">
        <f>MAX(U877:U885)</f>
        <v>5740.5313976792459</v>
      </c>
      <c r="V876" s="149">
        <f t="shared" si="251"/>
        <v>3575.1593590877205</v>
      </c>
      <c r="W876" s="149"/>
      <c r="X876" s="149"/>
      <c r="Y876" s="368"/>
      <c r="Z876" s="368"/>
      <c r="AA876" s="368"/>
      <c r="AB876" s="368"/>
      <c r="AC876" s="368"/>
      <c r="AD876" s="368"/>
      <c r="AE876" s="368"/>
      <c r="AF876" s="368"/>
      <c r="AG876" s="368"/>
      <c r="AH876" s="368"/>
      <c r="AI876" s="368"/>
      <c r="AJ876" s="368"/>
      <c r="AK876" s="368"/>
      <c r="AL876" s="368"/>
      <c r="AM876" s="368"/>
      <c r="AN876" s="368"/>
      <c r="AO876" s="368"/>
    </row>
    <row r="877" spans="1:41" s="152" customFormat="1" ht="36" customHeight="1" x14ac:dyDescent="0.9">
      <c r="A877" s="152">
        <v>1</v>
      </c>
      <c r="B877" s="90">
        <f>SUBTOTAL(103,$A$554:A877)</f>
        <v>302</v>
      </c>
      <c r="C877" s="89" t="s">
        <v>123</v>
      </c>
      <c r="D877" s="163">
        <v>1992</v>
      </c>
      <c r="E877" s="163"/>
      <c r="F877" s="168" t="s">
        <v>270</v>
      </c>
      <c r="G877" s="163">
        <v>3</v>
      </c>
      <c r="H877" s="163">
        <v>2</v>
      </c>
      <c r="I877" s="164">
        <v>1555.9</v>
      </c>
      <c r="J877" s="164">
        <v>1062.8</v>
      </c>
      <c r="K877" s="164">
        <v>1019.8</v>
      </c>
      <c r="L877" s="165">
        <v>42</v>
      </c>
      <c r="M877" s="163" t="s">
        <v>268</v>
      </c>
      <c r="N877" s="163" t="s">
        <v>272</v>
      </c>
      <c r="O877" s="166" t="s">
        <v>287</v>
      </c>
      <c r="P877" s="167">
        <v>3282441.93</v>
      </c>
      <c r="Q877" s="167">
        <v>0</v>
      </c>
      <c r="R877" s="167">
        <v>0</v>
      </c>
      <c r="S877" s="167">
        <f t="shared" ref="S877:S885" si="260">P877-Q877-R877</f>
        <v>3282441.93</v>
      </c>
      <c r="T877" s="167">
        <f t="shared" si="242"/>
        <v>2109.6740985924544</v>
      </c>
      <c r="U877" s="167">
        <v>2656.5189761552797</v>
      </c>
      <c r="V877" s="149">
        <f t="shared" si="251"/>
        <v>546.84487756282533</v>
      </c>
      <c r="W877" s="149">
        <f t="shared" ref="W877:W885" si="261">X877+Y877+Z877+AA877+AB877+AD877+AF877+AH877+AJ877+AL877+AN877+AO877</f>
        <v>2656.5189761552797</v>
      </c>
      <c r="X877" s="149">
        <v>0</v>
      </c>
      <c r="Y877" s="368">
        <v>0</v>
      </c>
      <c r="Z877" s="368">
        <v>0</v>
      </c>
      <c r="AA877" s="368">
        <v>0</v>
      </c>
      <c r="AB877" s="368">
        <v>0</v>
      </c>
      <c r="AC877" s="368">
        <v>0</v>
      </c>
      <c r="AD877" s="368">
        <v>0</v>
      </c>
      <c r="AE877" s="368">
        <v>662.5</v>
      </c>
      <c r="AF877" s="396">
        <f>6238.91*AE877/I877</f>
        <v>2656.5189761552797</v>
      </c>
      <c r="AG877" s="368">
        <v>0</v>
      </c>
      <c r="AH877" s="396">
        <v>0</v>
      </c>
      <c r="AI877" s="368">
        <v>0</v>
      </c>
      <c r="AJ877" s="396">
        <v>0</v>
      </c>
      <c r="AK877" s="368">
        <v>0</v>
      </c>
      <c r="AL877" s="368">
        <v>0</v>
      </c>
      <c r="AM877" s="368">
        <v>0</v>
      </c>
      <c r="AN877" s="368"/>
      <c r="AO877" s="368">
        <v>0</v>
      </c>
    </row>
    <row r="878" spans="1:41" s="152" customFormat="1" ht="36" customHeight="1" x14ac:dyDescent="0.9">
      <c r="A878" s="152">
        <v>1</v>
      </c>
      <c r="B878" s="90">
        <f>SUBTOTAL(103,$A$554:A878)</f>
        <v>303</v>
      </c>
      <c r="C878" s="89" t="s">
        <v>128</v>
      </c>
      <c r="D878" s="163">
        <v>1983</v>
      </c>
      <c r="E878" s="163"/>
      <c r="F878" s="168" t="s">
        <v>270</v>
      </c>
      <c r="G878" s="163">
        <v>2</v>
      </c>
      <c r="H878" s="163">
        <v>3</v>
      </c>
      <c r="I878" s="164">
        <v>1039.7</v>
      </c>
      <c r="J878" s="164">
        <v>968.1</v>
      </c>
      <c r="K878" s="164">
        <v>908.6</v>
      </c>
      <c r="L878" s="165">
        <v>46</v>
      </c>
      <c r="M878" s="163" t="s">
        <v>268</v>
      </c>
      <c r="N878" s="163" t="s">
        <v>272</v>
      </c>
      <c r="O878" s="166" t="s">
        <v>287</v>
      </c>
      <c r="P878" s="167">
        <v>5113507.6399999997</v>
      </c>
      <c r="Q878" s="167">
        <v>0</v>
      </c>
      <c r="R878" s="167">
        <v>0</v>
      </c>
      <c r="S878" s="167">
        <f t="shared" si="260"/>
        <v>5113507.6399999997</v>
      </c>
      <c r="T878" s="167">
        <f t="shared" si="242"/>
        <v>4918.2529960565544</v>
      </c>
      <c r="U878" s="167">
        <v>4918.2529960565544</v>
      </c>
      <c r="V878" s="149">
        <f t="shared" si="251"/>
        <v>0</v>
      </c>
      <c r="W878" s="149">
        <f>T878</f>
        <v>4918.2529960565544</v>
      </c>
      <c r="X878" s="149">
        <v>0</v>
      </c>
      <c r="Y878" s="368">
        <v>0</v>
      </c>
      <c r="Z878" s="368">
        <v>0</v>
      </c>
      <c r="AA878" s="368">
        <v>0</v>
      </c>
      <c r="AB878" s="368">
        <v>0</v>
      </c>
      <c r="AC878" s="368">
        <v>0</v>
      </c>
      <c r="AD878" s="368">
        <v>0</v>
      </c>
      <c r="AE878" s="368">
        <v>0</v>
      </c>
      <c r="AF878" s="396">
        <v>0</v>
      </c>
      <c r="AG878" s="368">
        <v>0</v>
      </c>
      <c r="AH878" s="396">
        <v>0</v>
      </c>
      <c r="AI878" s="368">
        <v>0</v>
      </c>
      <c r="AJ878" s="396">
        <v>0</v>
      </c>
      <c r="AK878" s="368">
        <v>0</v>
      </c>
      <c r="AL878" s="368">
        <v>0</v>
      </c>
      <c r="AM878" s="368">
        <v>334.1</v>
      </c>
      <c r="AN878" s="368">
        <f>6984.52*AM878/I878</f>
        <v>2244.4244801385016</v>
      </c>
      <c r="AO878" s="368">
        <v>0</v>
      </c>
    </row>
    <row r="879" spans="1:41" s="152" customFormat="1" ht="36" customHeight="1" x14ac:dyDescent="0.9">
      <c r="A879" s="152">
        <v>1</v>
      </c>
      <c r="B879" s="90">
        <f>SUBTOTAL(103,$A$554:A879)</f>
        <v>304</v>
      </c>
      <c r="C879" s="89" t="s">
        <v>126</v>
      </c>
      <c r="D879" s="163">
        <v>1981</v>
      </c>
      <c r="E879" s="163"/>
      <c r="F879" s="168" t="s">
        <v>270</v>
      </c>
      <c r="G879" s="163">
        <v>2</v>
      </c>
      <c r="H879" s="163">
        <v>3</v>
      </c>
      <c r="I879" s="164">
        <v>1572.8</v>
      </c>
      <c r="J879" s="164">
        <v>971.5</v>
      </c>
      <c r="K879" s="164">
        <v>925.2</v>
      </c>
      <c r="L879" s="165">
        <v>44</v>
      </c>
      <c r="M879" s="163" t="s">
        <v>268</v>
      </c>
      <c r="N879" s="163" t="s">
        <v>272</v>
      </c>
      <c r="O879" s="166" t="s">
        <v>287</v>
      </c>
      <c r="P879" s="167">
        <v>4388130.57</v>
      </c>
      <c r="Q879" s="167">
        <v>0</v>
      </c>
      <c r="R879" s="167">
        <v>0</v>
      </c>
      <c r="S879" s="167">
        <f t="shared" si="260"/>
        <v>4388130.57</v>
      </c>
      <c r="T879" s="167">
        <f t="shared" si="242"/>
        <v>2790.011806968464</v>
      </c>
      <c r="U879" s="167">
        <v>3514.5436546286878</v>
      </c>
      <c r="V879" s="149">
        <f t="shared" si="251"/>
        <v>724.53184766022378</v>
      </c>
      <c r="W879" s="149">
        <f t="shared" si="261"/>
        <v>3514.5436546286878</v>
      </c>
      <c r="X879" s="149">
        <v>0</v>
      </c>
      <c r="Y879" s="368">
        <v>0</v>
      </c>
      <c r="Z879" s="368">
        <v>0</v>
      </c>
      <c r="AA879" s="368">
        <v>0</v>
      </c>
      <c r="AB879" s="368">
        <v>0</v>
      </c>
      <c r="AC879" s="368">
        <v>0</v>
      </c>
      <c r="AD879" s="368">
        <v>0</v>
      </c>
      <c r="AE879" s="368">
        <v>886</v>
      </c>
      <c r="AF879" s="396">
        <f t="shared" ref="AF879:AF885" si="262">6238.91*AE879/I879</f>
        <v>3514.5436546286878</v>
      </c>
      <c r="AG879" s="368">
        <v>0</v>
      </c>
      <c r="AH879" s="396">
        <v>0</v>
      </c>
      <c r="AI879" s="368">
        <v>0</v>
      </c>
      <c r="AJ879" s="396">
        <v>0</v>
      </c>
      <c r="AK879" s="368">
        <v>0</v>
      </c>
      <c r="AL879" s="368">
        <v>0</v>
      </c>
      <c r="AM879" s="368">
        <v>0</v>
      </c>
      <c r="AN879" s="368"/>
      <c r="AO879" s="368">
        <v>0</v>
      </c>
    </row>
    <row r="880" spans="1:41" s="152" customFormat="1" ht="36" customHeight="1" x14ac:dyDescent="0.9">
      <c r="A880" s="152">
        <v>1</v>
      </c>
      <c r="B880" s="90">
        <f>SUBTOTAL(103,$A$554:A880)</f>
        <v>305</v>
      </c>
      <c r="C880" s="89" t="s">
        <v>129</v>
      </c>
      <c r="D880" s="163">
        <v>1975</v>
      </c>
      <c r="E880" s="163"/>
      <c r="F880" s="168" t="s">
        <v>270</v>
      </c>
      <c r="G880" s="163">
        <v>2</v>
      </c>
      <c r="H880" s="163">
        <v>2</v>
      </c>
      <c r="I880" s="164">
        <v>786.44</v>
      </c>
      <c r="J880" s="164">
        <v>726.3</v>
      </c>
      <c r="K880" s="164">
        <v>726.3</v>
      </c>
      <c r="L880" s="165">
        <v>27</v>
      </c>
      <c r="M880" s="163" t="s">
        <v>268</v>
      </c>
      <c r="N880" s="163" t="s">
        <v>272</v>
      </c>
      <c r="O880" s="166" t="s">
        <v>287</v>
      </c>
      <c r="P880" s="167">
        <v>3289167.88</v>
      </c>
      <c r="Q880" s="167">
        <v>0</v>
      </c>
      <c r="R880" s="167">
        <v>0</v>
      </c>
      <c r="S880" s="167">
        <f t="shared" si="260"/>
        <v>3289167.88</v>
      </c>
      <c r="T880" s="167">
        <f t="shared" si="242"/>
        <v>4182.3506942678396</v>
      </c>
      <c r="U880" s="167">
        <v>5315.1794161029438</v>
      </c>
      <c r="V880" s="149">
        <f t="shared" si="251"/>
        <v>1132.8287218351043</v>
      </c>
      <c r="W880" s="149">
        <f t="shared" si="261"/>
        <v>5315.1794161029438</v>
      </c>
      <c r="X880" s="149">
        <v>0</v>
      </c>
      <c r="Y880" s="368">
        <v>0</v>
      </c>
      <c r="Z880" s="368">
        <v>0</v>
      </c>
      <c r="AA880" s="368">
        <v>0</v>
      </c>
      <c r="AB880" s="368">
        <v>0</v>
      </c>
      <c r="AC880" s="368">
        <v>0</v>
      </c>
      <c r="AD880" s="368">
        <v>0</v>
      </c>
      <c r="AE880" s="368">
        <v>670</v>
      </c>
      <c r="AF880" s="396">
        <f t="shared" si="262"/>
        <v>5315.1794161029438</v>
      </c>
      <c r="AG880" s="368">
        <v>0</v>
      </c>
      <c r="AH880" s="396">
        <v>0</v>
      </c>
      <c r="AI880" s="368">
        <v>0</v>
      </c>
      <c r="AJ880" s="396">
        <v>0</v>
      </c>
      <c r="AK880" s="368">
        <v>0</v>
      </c>
      <c r="AL880" s="368">
        <v>0</v>
      </c>
      <c r="AM880" s="368">
        <v>0</v>
      </c>
      <c r="AN880" s="368"/>
      <c r="AO880" s="368">
        <v>0</v>
      </c>
    </row>
    <row r="881" spans="1:41" s="152" customFormat="1" ht="36" customHeight="1" x14ac:dyDescent="0.9">
      <c r="A881" s="152">
        <v>1</v>
      </c>
      <c r="B881" s="90">
        <f>SUBTOTAL(103,$A$554:A881)</f>
        <v>306</v>
      </c>
      <c r="C881" s="89" t="s">
        <v>127</v>
      </c>
      <c r="D881" s="163">
        <v>1972</v>
      </c>
      <c r="E881" s="163"/>
      <c r="F881" s="168" t="s">
        <v>270</v>
      </c>
      <c r="G881" s="163">
        <v>2</v>
      </c>
      <c r="H881" s="163">
        <v>2</v>
      </c>
      <c r="I881" s="164">
        <v>669.61</v>
      </c>
      <c r="J881" s="164">
        <v>621.29</v>
      </c>
      <c r="K881" s="164">
        <v>621.29</v>
      </c>
      <c r="L881" s="165">
        <v>12</v>
      </c>
      <c r="M881" s="163" t="s">
        <v>268</v>
      </c>
      <c r="N881" s="163" t="s">
        <v>272</v>
      </c>
      <c r="O881" s="166" t="s">
        <v>288</v>
      </c>
      <c r="P881" s="167">
        <v>3011574.49</v>
      </c>
      <c r="Q881" s="167">
        <v>0</v>
      </c>
      <c r="R881" s="167">
        <v>0</v>
      </c>
      <c r="S881" s="167">
        <f t="shared" si="260"/>
        <v>3011574.49</v>
      </c>
      <c r="T881" s="167">
        <f t="shared" si="242"/>
        <v>4497.5052493242338</v>
      </c>
      <c r="U881" s="167">
        <v>5740.5313976792459</v>
      </c>
      <c r="V881" s="149">
        <f t="shared" si="251"/>
        <v>1243.0261483550121</v>
      </c>
      <c r="W881" s="149">
        <f t="shared" si="261"/>
        <v>5740.5313976792459</v>
      </c>
      <c r="X881" s="149">
        <v>0</v>
      </c>
      <c r="Y881" s="368">
        <v>0</v>
      </c>
      <c r="Z881" s="368">
        <v>0</v>
      </c>
      <c r="AA881" s="368">
        <v>0</v>
      </c>
      <c r="AB881" s="368">
        <v>0</v>
      </c>
      <c r="AC881" s="368">
        <v>0</v>
      </c>
      <c r="AD881" s="368">
        <v>0</v>
      </c>
      <c r="AE881" s="368">
        <v>616.12</v>
      </c>
      <c r="AF881" s="396">
        <f t="shared" si="262"/>
        <v>5740.5313976792459</v>
      </c>
      <c r="AG881" s="368">
        <v>0</v>
      </c>
      <c r="AH881" s="396">
        <v>0</v>
      </c>
      <c r="AI881" s="368">
        <v>0</v>
      </c>
      <c r="AJ881" s="396">
        <v>0</v>
      </c>
      <c r="AK881" s="368">
        <v>0</v>
      </c>
      <c r="AL881" s="368">
        <v>0</v>
      </c>
      <c r="AM881" s="368">
        <v>0</v>
      </c>
      <c r="AN881" s="368"/>
      <c r="AO881" s="368">
        <v>0</v>
      </c>
    </row>
    <row r="882" spans="1:41" s="152" customFormat="1" ht="36" customHeight="1" x14ac:dyDescent="0.9">
      <c r="A882" s="152">
        <v>1</v>
      </c>
      <c r="B882" s="90">
        <f>SUBTOTAL(103,$A$554:A882)</f>
        <v>307</v>
      </c>
      <c r="C882" s="89" t="s">
        <v>124</v>
      </c>
      <c r="D882" s="163">
        <v>1978</v>
      </c>
      <c r="E882" s="163"/>
      <c r="F882" s="168" t="s">
        <v>290</v>
      </c>
      <c r="G882" s="163">
        <v>5</v>
      </c>
      <c r="H882" s="163">
        <v>4</v>
      </c>
      <c r="I882" s="164">
        <v>4027.2</v>
      </c>
      <c r="J882" s="164">
        <v>3079</v>
      </c>
      <c r="K882" s="164">
        <v>3079</v>
      </c>
      <c r="L882" s="165">
        <v>157</v>
      </c>
      <c r="M882" s="163" t="s">
        <v>268</v>
      </c>
      <c r="N882" s="163" t="s">
        <v>272</v>
      </c>
      <c r="O882" s="166" t="s">
        <v>288</v>
      </c>
      <c r="P882" s="167">
        <v>3374348.08</v>
      </c>
      <c r="Q882" s="167">
        <v>0</v>
      </c>
      <c r="R882" s="167">
        <v>0</v>
      </c>
      <c r="S882" s="167">
        <f t="shared" si="260"/>
        <v>3374348.08</v>
      </c>
      <c r="T882" s="167">
        <f t="shared" si="242"/>
        <v>837.88937226857377</v>
      </c>
      <c r="U882" s="167">
        <v>1198.610614570918</v>
      </c>
      <c r="V882" s="149">
        <f t="shared" si="251"/>
        <v>360.72124230234419</v>
      </c>
      <c r="W882" s="149">
        <f t="shared" si="261"/>
        <v>1198.610614570918</v>
      </c>
      <c r="X882" s="149">
        <v>0</v>
      </c>
      <c r="Y882" s="368">
        <v>0</v>
      </c>
      <c r="Z882" s="368">
        <v>0</v>
      </c>
      <c r="AA882" s="368">
        <v>0</v>
      </c>
      <c r="AB882" s="368">
        <v>0</v>
      </c>
      <c r="AC882" s="368">
        <v>0</v>
      </c>
      <c r="AD882" s="368">
        <v>0</v>
      </c>
      <c r="AE882" s="368">
        <v>773.7</v>
      </c>
      <c r="AF882" s="396">
        <f t="shared" si="262"/>
        <v>1198.610614570918</v>
      </c>
      <c r="AG882" s="368">
        <v>0</v>
      </c>
      <c r="AH882" s="396">
        <v>0</v>
      </c>
      <c r="AI882" s="368">
        <v>0</v>
      </c>
      <c r="AJ882" s="396">
        <v>0</v>
      </c>
      <c r="AK882" s="368">
        <v>0</v>
      </c>
      <c r="AL882" s="368">
        <v>0</v>
      </c>
      <c r="AM882" s="368">
        <v>0</v>
      </c>
      <c r="AN882" s="368"/>
      <c r="AO882" s="368">
        <v>0</v>
      </c>
    </row>
    <row r="883" spans="1:41" s="152" customFormat="1" ht="36" customHeight="1" x14ac:dyDescent="0.9">
      <c r="A883" s="152">
        <v>1</v>
      </c>
      <c r="B883" s="90">
        <f>SUBTOTAL(103,$A$554:A883)</f>
        <v>308</v>
      </c>
      <c r="C883" s="89" t="s">
        <v>125</v>
      </c>
      <c r="D883" s="163">
        <v>1986</v>
      </c>
      <c r="E883" s="163"/>
      <c r="F883" s="168" t="s">
        <v>270</v>
      </c>
      <c r="G883" s="163">
        <v>5</v>
      </c>
      <c r="H883" s="163">
        <v>1</v>
      </c>
      <c r="I883" s="164">
        <v>3459.92</v>
      </c>
      <c r="J883" s="164">
        <v>2342</v>
      </c>
      <c r="K883" s="164">
        <v>2342</v>
      </c>
      <c r="L883" s="165">
        <v>145</v>
      </c>
      <c r="M883" s="163" t="s">
        <v>268</v>
      </c>
      <c r="N883" s="163" t="s">
        <v>272</v>
      </c>
      <c r="O883" s="166" t="s">
        <v>288</v>
      </c>
      <c r="P883" s="167">
        <v>4644926.0999999996</v>
      </c>
      <c r="Q883" s="167">
        <v>0</v>
      </c>
      <c r="R883" s="167">
        <v>0</v>
      </c>
      <c r="S883" s="167">
        <f t="shared" si="260"/>
        <v>4644926.0999999996</v>
      </c>
      <c r="T883" s="167">
        <f t="shared" si="242"/>
        <v>1342.4952311036093</v>
      </c>
      <c r="U883" s="167">
        <v>1685.9872049064718</v>
      </c>
      <c r="V883" s="149">
        <f t="shared" si="251"/>
        <v>343.4919738028625</v>
      </c>
      <c r="W883" s="149">
        <f t="shared" si="261"/>
        <v>1685.9872049064718</v>
      </c>
      <c r="X883" s="149">
        <v>0</v>
      </c>
      <c r="Y883" s="368">
        <v>0</v>
      </c>
      <c r="Z883" s="368">
        <v>0</v>
      </c>
      <c r="AA883" s="368">
        <v>0</v>
      </c>
      <c r="AB883" s="368">
        <v>0</v>
      </c>
      <c r="AC883" s="368">
        <v>0</v>
      </c>
      <c r="AD883" s="368">
        <v>0</v>
      </c>
      <c r="AE883" s="368">
        <v>935</v>
      </c>
      <c r="AF883" s="396">
        <f t="shared" si="262"/>
        <v>1685.9872049064718</v>
      </c>
      <c r="AG883" s="368">
        <v>0</v>
      </c>
      <c r="AH883" s="396">
        <v>0</v>
      </c>
      <c r="AI883" s="368">
        <v>0</v>
      </c>
      <c r="AJ883" s="396">
        <v>0</v>
      </c>
      <c r="AK883" s="368">
        <v>0</v>
      </c>
      <c r="AL883" s="368">
        <v>0</v>
      </c>
      <c r="AM883" s="368">
        <v>0</v>
      </c>
      <c r="AN883" s="368"/>
      <c r="AO883" s="368">
        <v>0</v>
      </c>
    </row>
    <row r="884" spans="1:41" s="152" customFormat="1" ht="36" customHeight="1" x14ac:dyDescent="0.9">
      <c r="A884" s="152">
        <v>1</v>
      </c>
      <c r="B884" s="90">
        <f>SUBTOTAL(103,$A$554:A884)</f>
        <v>309</v>
      </c>
      <c r="C884" s="89" t="s">
        <v>130</v>
      </c>
      <c r="D884" s="163">
        <v>1978</v>
      </c>
      <c r="E884" s="163"/>
      <c r="F884" s="168" t="s">
        <v>270</v>
      </c>
      <c r="G884" s="163">
        <v>3</v>
      </c>
      <c r="H884" s="163">
        <v>3</v>
      </c>
      <c r="I884" s="164">
        <v>1582.3</v>
      </c>
      <c r="J884" s="164">
        <v>1471.8</v>
      </c>
      <c r="K884" s="164">
        <v>1471.8</v>
      </c>
      <c r="L884" s="165">
        <v>69</v>
      </c>
      <c r="M884" s="163" t="s">
        <v>268</v>
      </c>
      <c r="N884" s="163" t="s">
        <v>272</v>
      </c>
      <c r="O884" s="166" t="s">
        <v>288</v>
      </c>
      <c r="P884" s="167">
        <v>3229819.07</v>
      </c>
      <c r="Q884" s="167">
        <v>0</v>
      </c>
      <c r="R884" s="167">
        <v>0</v>
      </c>
      <c r="S884" s="167">
        <f t="shared" si="260"/>
        <v>3229819.07</v>
      </c>
      <c r="T884" s="167">
        <f t="shared" si="242"/>
        <v>2041.2178916766732</v>
      </c>
      <c r="U884" s="167">
        <v>2921.3223908234845</v>
      </c>
      <c r="V884" s="149">
        <f t="shared" si="251"/>
        <v>880.10449914681135</v>
      </c>
      <c r="W884" s="149">
        <f t="shared" si="261"/>
        <v>2921.3223908234845</v>
      </c>
      <c r="X884" s="149">
        <v>0</v>
      </c>
      <c r="Y884" s="368">
        <v>0</v>
      </c>
      <c r="Z884" s="368">
        <v>0</v>
      </c>
      <c r="AA884" s="368">
        <v>0</v>
      </c>
      <c r="AB884" s="368">
        <v>0</v>
      </c>
      <c r="AC884" s="368">
        <v>0</v>
      </c>
      <c r="AD884" s="368">
        <v>0</v>
      </c>
      <c r="AE884" s="368">
        <v>740.9</v>
      </c>
      <c r="AF884" s="396">
        <f t="shared" si="262"/>
        <v>2921.3223908234845</v>
      </c>
      <c r="AG884" s="368">
        <v>0</v>
      </c>
      <c r="AH884" s="396">
        <v>0</v>
      </c>
      <c r="AI884" s="368">
        <v>0</v>
      </c>
      <c r="AJ884" s="396">
        <v>0</v>
      </c>
      <c r="AK884" s="368">
        <v>0</v>
      </c>
      <c r="AL884" s="368">
        <v>0</v>
      </c>
      <c r="AM884" s="368">
        <v>0</v>
      </c>
      <c r="AN884" s="368"/>
      <c r="AO884" s="368">
        <v>0</v>
      </c>
    </row>
    <row r="885" spans="1:41" s="152" customFormat="1" ht="36" customHeight="1" x14ac:dyDescent="0.9">
      <c r="A885" s="152">
        <v>1</v>
      </c>
      <c r="B885" s="90">
        <f>SUBTOTAL(103,$A$554:A885)</f>
        <v>310</v>
      </c>
      <c r="C885" s="89" t="s">
        <v>114</v>
      </c>
      <c r="D885" s="163">
        <v>1973</v>
      </c>
      <c r="E885" s="163"/>
      <c r="F885" s="168" t="s">
        <v>270</v>
      </c>
      <c r="G885" s="163">
        <v>2</v>
      </c>
      <c r="H885" s="163">
        <v>2</v>
      </c>
      <c r="I885" s="167">
        <v>781.03</v>
      </c>
      <c r="J885" s="167">
        <v>720.97</v>
      </c>
      <c r="K885" s="167">
        <v>681.23</v>
      </c>
      <c r="L885" s="165">
        <v>38</v>
      </c>
      <c r="M885" s="163" t="s">
        <v>268</v>
      </c>
      <c r="N885" s="163" t="s">
        <v>272</v>
      </c>
      <c r="O885" s="166" t="s">
        <v>287</v>
      </c>
      <c r="P885" s="167">
        <v>3175000</v>
      </c>
      <c r="Q885" s="167">
        <v>0</v>
      </c>
      <c r="R885" s="167">
        <v>0</v>
      </c>
      <c r="S885" s="167">
        <f t="shared" si="260"/>
        <v>3175000</v>
      </c>
      <c r="T885" s="167">
        <f t="shared" si="242"/>
        <v>4065.1447447601245</v>
      </c>
      <c r="U885" s="167">
        <v>5080.4024941423504</v>
      </c>
      <c r="V885" s="149">
        <f t="shared" si="251"/>
        <v>1015.2577493822259</v>
      </c>
      <c r="W885" s="149">
        <f t="shared" si="261"/>
        <v>5080.4024941423504</v>
      </c>
      <c r="X885" s="149">
        <v>0</v>
      </c>
      <c r="Y885" s="368">
        <v>0</v>
      </c>
      <c r="Z885" s="368">
        <v>0</v>
      </c>
      <c r="AA885" s="368">
        <v>0</v>
      </c>
      <c r="AB885" s="368">
        <v>0</v>
      </c>
      <c r="AC885" s="368">
        <v>0</v>
      </c>
      <c r="AD885" s="368">
        <v>0</v>
      </c>
      <c r="AE885" s="368">
        <v>636</v>
      </c>
      <c r="AF885" s="396">
        <f t="shared" si="262"/>
        <v>5080.4024941423504</v>
      </c>
      <c r="AG885" s="368">
        <v>0</v>
      </c>
      <c r="AH885" s="396">
        <v>0</v>
      </c>
      <c r="AI885" s="368">
        <v>0</v>
      </c>
      <c r="AJ885" s="396">
        <v>0</v>
      </c>
      <c r="AK885" s="368">
        <v>0</v>
      </c>
      <c r="AL885" s="368">
        <v>0</v>
      </c>
      <c r="AM885" s="368">
        <v>0</v>
      </c>
      <c r="AN885" s="368"/>
      <c r="AO885" s="368">
        <v>0</v>
      </c>
    </row>
    <row r="886" spans="1:41" s="152" customFormat="1" ht="36" customHeight="1" x14ac:dyDescent="0.9">
      <c r="B886" s="382" t="s">
        <v>849</v>
      </c>
      <c r="C886" s="388"/>
      <c r="D886" s="384" t="s">
        <v>903</v>
      </c>
      <c r="E886" s="163" t="s">
        <v>903</v>
      </c>
      <c r="F886" s="384" t="s">
        <v>903</v>
      </c>
      <c r="G886" s="384" t="s">
        <v>903</v>
      </c>
      <c r="H886" s="163" t="s">
        <v>903</v>
      </c>
      <c r="I886" s="386">
        <f>I887</f>
        <v>791.5</v>
      </c>
      <c r="J886" s="164">
        <f>J887</f>
        <v>725.1</v>
      </c>
      <c r="K886" s="164">
        <f>K887</f>
        <v>725.1</v>
      </c>
      <c r="L886" s="165">
        <f>L887</f>
        <v>42</v>
      </c>
      <c r="M886" s="163" t="s">
        <v>903</v>
      </c>
      <c r="N886" s="163" t="s">
        <v>903</v>
      </c>
      <c r="O886" s="166" t="s">
        <v>903</v>
      </c>
      <c r="P886" s="387">
        <v>3328825.5</v>
      </c>
      <c r="Q886" s="167">
        <f>Q887</f>
        <v>0</v>
      </c>
      <c r="R886" s="167">
        <f>R887</f>
        <v>0</v>
      </c>
      <c r="S886" s="167">
        <f>S887</f>
        <v>3328825.5</v>
      </c>
      <c r="T886" s="387">
        <f t="shared" si="242"/>
        <v>4205.7176247631078</v>
      </c>
      <c r="U886" s="387">
        <f>U887</f>
        <v>5123.5521162349969</v>
      </c>
      <c r="V886" s="149">
        <f t="shared" si="251"/>
        <v>917.83449147188912</v>
      </c>
      <c r="W886" s="149"/>
      <c r="X886" s="149"/>
      <c r="Y886" s="368"/>
      <c r="Z886" s="368"/>
      <c r="AA886" s="368"/>
      <c r="AB886" s="368"/>
      <c r="AC886" s="368"/>
      <c r="AD886" s="368"/>
      <c r="AE886" s="368"/>
      <c r="AF886" s="368"/>
      <c r="AG886" s="368"/>
      <c r="AH886" s="368"/>
      <c r="AI886" s="368"/>
      <c r="AJ886" s="368"/>
      <c r="AK886" s="368"/>
      <c r="AL886" s="368"/>
      <c r="AM886" s="368"/>
      <c r="AN886" s="368"/>
      <c r="AO886" s="368"/>
    </row>
    <row r="887" spans="1:41" s="152" customFormat="1" ht="36" customHeight="1" x14ac:dyDescent="0.9">
      <c r="A887" s="152">
        <v>1</v>
      </c>
      <c r="B887" s="90">
        <f>SUBTOTAL(103,$A$554:A887)</f>
        <v>311</v>
      </c>
      <c r="C887" s="89" t="s">
        <v>178</v>
      </c>
      <c r="D887" s="163">
        <v>1968</v>
      </c>
      <c r="E887" s="163">
        <v>2009</v>
      </c>
      <c r="F887" s="168" t="s">
        <v>270</v>
      </c>
      <c r="G887" s="163">
        <v>2</v>
      </c>
      <c r="H887" s="163">
        <v>2</v>
      </c>
      <c r="I887" s="164">
        <v>791.5</v>
      </c>
      <c r="J887" s="164">
        <v>725.1</v>
      </c>
      <c r="K887" s="164">
        <v>725.1</v>
      </c>
      <c r="L887" s="165">
        <v>42</v>
      </c>
      <c r="M887" s="163" t="s">
        <v>268</v>
      </c>
      <c r="N887" s="163" t="s">
        <v>269</v>
      </c>
      <c r="O887" s="166" t="s">
        <v>271</v>
      </c>
      <c r="P887" s="167">
        <v>3328825.5</v>
      </c>
      <c r="Q887" s="167">
        <v>0</v>
      </c>
      <c r="R887" s="167">
        <v>0</v>
      </c>
      <c r="S887" s="167">
        <f>P887-Q887-R887</f>
        <v>3328825.5</v>
      </c>
      <c r="T887" s="167">
        <f t="shared" si="242"/>
        <v>4205.7176247631078</v>
      </c>
      <c r="U887" s="167">
        <v>5123.5521162349969</v>
      </c>
      <c r="V887" s="149">
        <f>U887-T887</f>
        <v>917.83449147188912</v>
      </c>
      <c r="W887" s="149">
        <f>X887+Y887+Z887+AA887+AB887+AD887+AF887+AH887+AJ887+AL887+AN887+AO887</f>
        <v>5123.5521162349969</v>
      </c>
      <c r="X887" s="149">
        <v>0</v>
      </c>
      <c r="Y887" s="368">
        <v>0</v>
      </c>
      <c r="Z887" s="368">
        <v>0</v>
      </c>
      <c r="AA887" s="368">
        <v>0</v>
      </c>
      <c r="AB887" s="368">
        <v>0</v>
      </c>
      <c r="AC887" s="368">
        <v>0</v>
      </c>
      <c r="AD887" s="368">
        <v>0</v>
      </c>
      <c r="AE887" s="368">
        <v>650</v>
      </c>
      <c r="AF887" s="396">
        <f>6238.91*AE887/I887</f>
        <v>5123.5521162349969</v>
      </c>
      <c r="AG887" s="368">
        <v>0</v>
      </c>
      <c r="AH887" s="396">
        <v>0</v>
      </c>
      <c r="AI887" s="368">
        <v>0</v>
      </c>
      <c r="AJ887" s="396">
        <v>0</v>
      </c>
      <c r="AK887" s="368">
        <v>0</v>
      </c>
      <c r="AL887" s="368">
        <v>0</v>
      </c>
      <c r="AM887" s="368">
        <v>0</v>
      </c>
      <c r="AN887" s="368"/>
      <c r="AO887" s="368">
        <v>0</v>
      </c>
    </row>
    <row r="888" spans="1:41" s="152" customFormat="1" ht="36" customHeight="1" x14ac:dyDescent="0.9">
      <c r="B888" s="382" t="s">
        <v>848</v>
      </c>
      <c r="C888" s="382"/>
      <c r="D888" s="384" t="s">
        <v>903</v>
      </c>
      <c r="E888" s="163" t="s">
        <v>903</v>
      </c>
      <c r="F888" s="384" t="s">
        <v>903</v>
      </c>
      <c r="G888" s="384" t="s">
        <v>903</v>
      </c>
      <c r="H888" s="163" t="s">
        <v>903</v>
      </c>
      <c r="I888" s="387">
        <f t="shared" ref="I888:K888" si="263">SUM(I889:I890)</f>
        <v>910.90000000000009</v>
      </c>
      <c r="J888" s="167">
        <f t="shared" si="263"/>
        <v>796.59999999999991</v>
      </c>
      <c r="K888" s="167">
        <f t="shared" si="263"/>
        <v>753.7</v>
      </c>
      <c r="L888" s="165">
        <f>SUM(L889:L890)</f>
        <v>39</v>
      </c>
      <c r="M888" s="163" t="s">
        <v>903</v>
      </c>
      <c r="N888" s="163" t="s">
        <v>903</v>
      </c>
      <c r="O888" s="166" t="s">
        <v>903</v>
      </c>
      <c r="P888" s="387">
        <v>5279138.41</v>
      </c>
      <c r="Q888" s="167">
        <f t="shared" ref="Q888:R888" si="264">SUM(Q889:Q890)</f>
        <v>0</v>
      </c>
      <c r="R888" s="167">
        <f t="shared" si="264"/>
        <v>0</v>
      </c>
      <c r="S888" s="167">
        <f>SUM(S889:S890)</f>
        <v>5279138.41</v>
      </c>
      <c r="T888" s="387">
        <f t="shared" si="242"/>
        <v>5795.5191678559659</v>
      </c>
      <c r="U888" s="387">
        <f>MAX(U889:U890)</f>
        <v>7557.6513944223116</v>
      </c>
      <c r="V888" s="149">
        <f t="shared" si="251"/>
        <v>1762.1322265663457</v>
      </c>
      <c r="W888" s="149"/>
      <c r="X888" s="149"/>
      <c r="Y888" s="368"/>
      <c r="Z888" s="368"/>
      <c r="AA888" s="368"/>
      <c r="AB888" s="368"/>
      <c r="AC888" s="368"/>
      <c r="AD888" s="368"/>
      <c r="AE888" s="368"/>
      <c r="AF888" s="368"/>
      <c r="AG888" s="368"/>
      <c r="AH888" s="368"/>
      <c r="AI888" s="368"/>
      <c r="AJ888" s="368"/>
      <c r="AK888" s="368"/>
      <c r="AL888" s="368"/>
      <c r="AM888" s="368"/>
      <c r="AN888" s="368"/>
      <c r="AO888" s="368"/>
    </row>
    <row r="889" spans="1:41" s="152" customFormat="1" ht="36" customHeight="1" x14ac:dyDescent="0.9">
      <c r="A889" s="152">
        <v>1</v>
      </c>
      <c r="B889" s="90">
        <f>SUBTOTAL(103,$A$554:A889)</f>
        <v>312</v>
      </c>
      <c r="C889" s="89" t="s">
        <v>176</v>
      </c>
      <c r="D889" s="163">
        <v>1955</v>
      </c>
      <c r="E889" s="163"/>
      <c r="F889" s="168" t="s">
        <v>270</v>
      </c>
      <c r="G889" s="163">
        <v>2</v>
      </c>
      <c r="H889" s="163">
        <v>2</v>
      </c>
      <c r="I889" s="164">
        <v>451.8</v>
      </c>
      <c r="J889" s="164">
        <v>395.2</v>
      </c>
      <c r="K889" s="164">
        <v>395.2</v>
      </c>
      <c r="L889" s="165">
        <v>16</v>
      </c>
      <c r="M889" s="163" t="s">
        <v>268</v>
      </c>
      <c r="N889" s="163" t="s">
        <v>341</v>
      </c>
      <c r="O889" s="166" t="s">
        <v>343</v>
      </c>
      <c r="P889" s="167">
        <v>2721526.66</v>
      </c>
      <c r="Q889" s="167">
        <v>0</v>
      </c>
      <c r="R889" s="167">
        <v>0</v>
      </c>
      <c r="S889" s="167">
        <f>P889-Q889-R889</f>
        <v>2721526.66</v>
      </c>
      <c r="T889" s="167">
        <f t="shared" si="242"/>
        <v>6023.7420540061976</v>
      </c>
      <c r="U889" s="167">
        <v>7557.6513944223116</v>
      </c>
      <c r="V889" s="149">
        <f t="shared" si="251"/>
        <v>1533.909340416114</v>
      </c>
      <c r="W889" s="149">
        <f t="shared" ref="W889:W890" si="265">X889+Y889+Z889+AA889+AB889+AD889+AF889+AH889+AJ889+AL889+AN889+AO889</f>
        <v>7557.6513944223116</v>
      </c>
      <c r="X889" s="149">
        <v>0</v>
      </c>
      <c r="Y889" s="368">
        <v>0</v>
      </c>
      <c r="Z889" s="368">
        <v>0</v>
      </c>
      <c r="AA889" s="368">
        <v>0</v>
      </c>
      <c r="AB889" s="368">
        <v>0</v>
      </c>
      <c r="AC889" s="368">
        <v>0</v>
      </c>
      <c r="AD889" s="368">
        <v>0</v>
      </c>
      <c r="AE889" s="368">
        <v>0</v>
      </c>
      <c r="AF889" s="396">
        <v>0</v>
      </c>
      <c r="AG889" s="368">
        <v>0</v>
      </c>
      <c r="AH889" s="396">
        <v>0</v>
      </c>
      <c r="AI889" s="368">
        <v>459</v>
      </c>
      <c r="AJ889" s="397">
        <f t="shared" ref="AJ889:AJ890" si="266">7439.1*AI889/I889</f>
        <v>7557.6513944223116</v>
      </c>
      <c r="AK889" s="368">
        <v>0</v>
      </c>
      <c r="AL889" s="368">
        <v>0</v>
      </c>
      <c r="AM889" s="368">
        <v>0</v>
      </c>
      <c r="AN889" s="368"/>
      <c r="AO889" s="368">
        <v>0</v>
      </c>
    </row>
    <row r="890" spans="1:41" s="152" customFormat="1" ht="36" customHeight="1" x14ac:dyDescent="0.9">
      <c r="A890" s="152">
        <v>1</v>
      </c>
      <c r="B890" s="90">
        <f>SUBTOTAL(103,$A$554:A890)</f>
        <v>313</v>
      </c>
      <c r="C890" s="89" t="s">
        <v>177</v>
      </c>
      <c r="D890" s="163">
        <v>1956</v>
      </c>
      <c r="E890" s="163">
        <v>2010</v>
      </c>
      <c r="F890" s="168" t="s">
        <v>270</v>
      </c>
      <c r="G890" s="163">
        <v>2</v>
      </c>
      <c r="H890" s="163">
        <v>2</v>
      </c>
      <c r="I890" s="164">
        <v>459.1</v>
      </c>
      <c r="J890" s="164">
        <v>401.4</v>
      </c>
      <c r="K890" s="164">
        <v>358.5</v>
      </c>
      <c r="L890" s="165">
        <v>23</v>
      </c>
      <c r="M890" s="163" t="s">
        <v>268</v>
      </c>
      <c r="N890" s="163" t="s">
        <v>341</v>
      </c>
      <c r="O890" s="166" t="s">
        <v>343</v>
      </c>
      <c r="P890" s="167">
        <v>2557611.75</v>
      </c>
      <c r="Q890" s="167">
        <v>0</v>
      </c>
      <c r="R890" s="167">
        <v>0</v>
      </c>
      <c r="S890" s="167">
        <f>P890-Q890-R890</f>
        <v>2557611.75</v>
      </c>
      <c r="T890" s="167">
        <f t="shared" si="242"/>
        <v>5570.9251796994113</v>
      </c>
      <c r="U890" s="167">
        <v>6894.6570463951211</v>
      </c>
      <c r="V890" s="149">
        <f t="shared" si="251"/>
        <v>1323.7318666957099</v>
      </c>
      <c r="W890" s="149">
        <f t="shared" si="265"/>
        <v>6894.6570463951211</v>
      </c>
      <c r="X890" s="149">
        <v>0</v>
      </c>
      <c r="Y890" s="368">
        <v>0</v>
      </c>
      <c r="Z890" s="368">
        <v>0</v>
      </c>
      <c r="AA890" s="368">
        <v>0</v>
      </c>
      <c r="AB890" s="368">
        <v>0</v>
      </c>
      <c r="AC890" s="368">
        <v>0</v>
      </c>
      <c r="AD890" s="368">
        <v>0</v>
      </c>
      <c r="AE890" s="368">
        <v>0</v>
      </c>
      <c r="AF890" s="396">
        <v>0</v>
      </c>
      <c r="AG890" s="368">
        <v>0</v>
      </c>
      <c r="AH890" s="396">
        <v>0</v>
      </c>
      <c r="AI890" s="368">
        <v>425.5</v>
      </c>
      <c r="AJ890" s="397">
        <f t="shared" si="266"/>
        <v>6894.6570463951211</v>
      </c>
      <c r="AK890" s="368">
        <v>0</v>
      </c>
      <c r="AL890" s="368">
        <v>0</v>
      </c>
      <c r="AM890" s="368">
        <v>0</v>
      </c>
      <c r="AN890" s="368"/>
      <c r="AO890" s="368">
        <v>0</v>
      </c>
    </row>
    <row r="891" spans="1:41" s="152" customFormat="1" ht="36" customHeight="1" x14ac:dyDescent="0.9">
      <c r="B891" s="382" t="s">
        <v>884</v>
      </c>
      <c r="C891" s="382"/>
      <c r="D891" s="384" t="s">
        <v>903</v>
      </c>
      <c r="E891" s="163" t="s">
        <v>903</v>
      </c>
      <c r="F891" s="384" t="s">
        <v>903</v>
      </c>
      <c r="G891" s="384" t="s">
        <v>903</v>
      </c>
      <c r="H891" s="163" t="s">
        <v>903</v>
      </c>
      <c r="I891" s="386">
        <f>I892</f>
        <v>960.39</v>
      </c>
      <c r="J891" s="164">
        <f>J892</f>
        <v>880.42</v>
      </c>
      <c r="K891" s="164">
        <f>K892</f>
        <v>880.42</v>
      </c>
      <c r="L891" s="165">
        <f>L892</f>
        <v>48</v>
      </c>
      <c r="M891" s="163" t="s">
        <v>903</v>
      </c>
      <c r="N891" s="163" t="s">
        <v>903</v>
      </c>
      <c r="O891" s="166" t="s">
        <v>903</v>
      </c>
      <c r="P891" s="387">
        <v>4178956.32</v>
      </c>
      <c r="Q891" s="167">
        <f>Q892</f>
        <v>0</v>
      </c>
      <c r="R891" s="167">
        <f>R892</f>
        <v>0</v>
      </c>
      <c r="S891" s="167">
        <f>S892</f>
        <v>4178956.32</v>
      </c>
      <c r="T891" s="387">
        <f t="shared" si="242"/>
        <v>4351.3117795895414</v>
      </c>
      <c r="U891" s="387">
        <f>U892</f>
        <v>5300.9200012494921</v>
      </c>
      <c r="V891" s="149">
        <f t="shared" si="251"/>
        <v>949.60822165995069</v>
      </c>
      <c r="W891" s="149"/>
      <c r="X891" s="149"/>
      <c r="Y891" s="368"/>
      <c r="Z891" s="368"/>
      <c r="AA891" s="368"/>
      <c r="AB891" s="368"/>
      <c r="AC891" s="368"/>
      <c r="AD891" s="368"/>
      <c r="AE891" s="368"/>
      <c r="AF891" s="368"/>
      <c r="AG891" s="368"/>
      <c r="AH891" s="368"/>
      <c r="AI891" s="368"/>
      <c r="AJ891" s="368"/>
      <c r="AK891" s="368"/>
      <c r="AL891" s="368"/>
      <c r="AM891" s="368"/>
      <c r="AN891" s="368"/>
      <c r="AO891" s="368"/>
    </row>
    <row r="892" spans="1:41" s="152" customFormat="1" ht="36" customHeight="1" x14ac:dyDescent="0.9">
      <c r="A892" s="152">
        <v>1</v>
      </c>
      <c r="B892" s="90">
        <f>SUBTOTAL(103,$A$554:A892)</f>
        <v>314</v>
      </c>
      <c r="C892" s="89" t="s">
        <v>175</v>
      </c>
      <c r="D892" s="163">
        <v>1969</v>
      </c>
      <c r="E892" s="163"/>
      <c r="F892" s="168" t="s">
        <v>270</v>
      </c>
      <c r="G892" s="163">
        <v>2</v>
      </c>
      <c r="H892" s="163">
        <v>3</v>
      </c>
      <c r="I892" s="164">
        <v>960.39</v>
      </c>
      <c r="J892" s="164">
        <v>880.42</v>
      </c>
      <c r="K892" s="164">
        <v>880.42</v>
      </c>
      <c r="L892" s="165">
        <v>48</v>
      </c>
      <c r="M892" s="163" t="s">
        <v>268</v>
      </c>
      <c r="N892" s="163" t="s">
        <v>341</v>
      </c>
      <c r="O892" s="166" t="s">
        <v>342</v>
      </c>
      <c r="P892" s="167">
        <v>4178956.32</v>
      </c>
      <c r="Q892" s="167">
        <v>0</v>
      </c>
      <c r="R892" s="167">
        <v>0</v>
      </c>
      <c r="S892" s="167">
        <f>P892-Q892-R892</f>
        <v>4178956.32</v>
      </c>
      <c r="T892" s="167">
        <f t="shared" si="242"/>
        <v>4351.3117795895414</v>
      </c>
      <c r="U892" s="167">
        <v>5300.9200012494921</v>
      </c>
      <c r="V892" s="149">
        <f>U892-T892</f>
        <v>949.60822165995069</v>
      </c>
      <c r="W892" s="149">
        <f>X892+Y892+Z892+AA892+AB892+AD892+AF892+AH892+AJ892+AL892+AN892+AO892</f>
        <v>5300.9200012494921</v>
      </c>
      <c r="X892" s="149">
        <v>0</v>
      </c>
      <c r="Y892" s="368">
        <v>0</v>
      </c>
      <c r="Z892" s="368">
        <v>0</v>
      </c>
      <c r="AA892" s="368">
        <v>0</v>
      </c>
      <c r="AB892" s="368">
        <v>0</v>
      </c>
      <c r="AC892" s="368">
        <v>0</v>
      </c>
      <c r="AD892" s="368">
        <v>0</v>
      </c>
      <c r="AE892" s="368">
        <v>816</v>
      </c>
      <c r="AF892" s="396">
        <f>6238.91*AE892/I892</f>
        <v>5300.9200012494921</v>
      </c>
      <c r="AG892" s="368">
        <v>0</v>
      </c>
      <c r="AH892" s="396">
        <v>0</v>
      </c>
      <c r="AI892" s="368">
        <v>0</v>
      </c>
      <c r="AJ892" s="396">
        <v>0</v>
      </c>
      <c r="AK892" s="368">
        <v>0</v>
      </c>
      <c r="AL892" s="368">
        <v>0</v>
      </c>
      <c r="AM892" s="368">
        <v>0</v>
      </c>
      <c r="AN892" s="368"/>
      <c r="AO892" s="368">
        <v>0</v>
      </c>
    </row>
    <row r="893" spans="1:41" s="152" customFormat="1" ht="36" customHeight="1" x14ac:dyDescent="0.9">
      <c r="B893" s="382" t="s">
        <v>850</v>
      </c>
      <c r="C893" s="382"/>
      <c r="D893" s="384" t="s">
        <v>903</v>
      </c>
      <c r="E893" s="163" t="s">
        <v>903</v>
      </c>
      <c r="F893" s="384" t="s">
        <v>903</v>
      </c>
      <c r="G893" s="384" t="s">
        <v>903</v>
      </c>
      <c r="H893" s="163" t="s">
        <v>903</v>
      </c>
      <c r="I893" s="386">
        <f>I894</f>
        <v>388.8</v>
      </c>
      <c r="J893" s="164">
        <f>J894</f>
        <v>354.2</v>
      </c>
      <c r="K893" s="164">
        <f>K894</f>
        <v>354.2</v>
      </c>
      <c r="L893" s="165">
        <f>L894</f>
        <v>14</v>
      </c>
      <c r="M893" s="163" t="s">
        <v>903</v>
      </c>
      <c r="N893" s="163" t="s">
        <v>903</v>
      </c>
      <c r="O893" s="166" t="s">
        <v>903</v>
      </c>
      <c r="P893" s="387">
        <v>1889236.5</v>
      </c>
      <c r="Q893" s="167">
        <f>Q894</f>
        <v>0</v>
      </c>
      <c r="R893" s="167">
        <f>R894</f>
        <v>0</v>
      </c>
      <c r="S893" s="167">
        <f>S894</f>
        <v>1889236.5</v>
      </c>
      <c r="T893" s="387">
        <f t="shared" si="242"/>
        <v>4859.1473765432102</v>
      </c>
      <c r="U893" s="387">
        <f>U894</f>
        <v>5919.5830735596701</v>
      </c>
      <c r="V893" s="149">
        <f t="shared" si="251"/>
        <v>1060.4356970164599</v>
      </c>
      <c r="W893" s="149"/>
      <c r="X893" s="149"/>
      <c r="Y893" s="368"/>
      <c r="Z893" s="368"/>
      <c r="AA893" s="368"/>
      <c r="AB893" s="368"/>
      <c r="AC893" s="368"/>
      <c r="AD893" s="368"/>
      <c r="AE893" s="368"/>
      <c r="AF893" s="368"/>
      <c r="AG893" s="368"/>
      <c r="AH893" s="368"/>
      <c r="AI893" s="368"/>
      <c r="AJ893" s="368"/>
      <c r="AK893" s="368"/>
      <c r="AL893" s="368"/>
      <c r="AM893" s="368"/>
      <c r="AN893" s="368"/>
      <c r="AO893" s="368"/>
    </row>
    <row r="894" spans="1:41" s="152" customFormat="1" ht="36" customHeight="1" x14ac:dyDescent="0.9">
      <c r="A894" s="152">
        <v>1</v>
      </c>
      <c r="B894" s="90">
        <f>SUBTOTAL(103,$A$554:A894)</f>
        <v>315</v>
      </c>
      <c r="C894" s="89" t="s">
        <v>174</v>
      </c>
      <c r="D894" s="163">
        <v>1969</v>
      </c>
      <c r="E894" s="163"/>
      <c r="F894" s="168" t="s">
        <v>270</v>
      </c>
      <c r="G894" s="163">
        <v>2</v>
      </c>
      <c r="H894" s="163">
        <v>1</v>
      </c>
      <c r="I894" s="164">
        <v>388.8</v>
      </c>
      <c r="J894" s="164">
        <v>354.2</v>
      </c>
      <c r="K894" s="164">
        <v>354.2</v>
      </c>
      <c r="L894" s="165">
        <v>14</v>
      </c>
      <c r="M894" s="163" t="s">
        <v>268</v>
      </c>
      <c r="N894" s="163" t="s">
        <v>341</v>
      </c>
      <c r="O894" s="166" t="s">
        <v>342</v>
      </c>
      <c r="P894" s="167">
        <v>1889236.5</v>
      </c>
      <c r="Q894" s="167">
        <v>0</v>
      </c>
      <c r="R894" s="167">
        <v>0</v>
      </c>
      <c r="S894" s="167">
        <f>P894-Q894-R894</f>
        <v>1889236.5</v>
      </c>
      <c r="T894" s="167">
        <f t="shared" si="242"/>
        <v>4859.1473765432102</v>
      </c>
      <c r="U894" s="167">
        <v>5919.5830735596701</v>
      </c>
      <c r="V894" s="149">
        <f>U894-T894</f>
        <v>1060.4356970164599</v>
      </c>
      <c r="W894" s="149">
        <f>X894+Y894+Z894+AA894+AB894+AD894+AF894+AH894+AJ894+AL894+AN894+AO894</f>
        <v>5919.5830735596701</v>
      </c>
      <c r="X894" s="149">
        <v>0</v>
      </c>
      <c r="Y894" s="368">
        <v>0</v>
      </c>
      <c r="Z894" s="368">
        <v>0</v>
      </c>
      <c r="AA894" s="368">
        <v>0</v>
      </c>
      <c r="AB894" s="368">
        <v>0</v>
      </c>
      <c r="AC894" s="368">
        <v>0</v>
      </c>
      <c r="AD894" s="368">
        <v>0</v>
      </c>
      <c r="AE894" s="368">
        <v>368.9</v>
      </c>
      <c r="AF894" s="396">
        <f>6238.91*AE894/I894</f>
        <v>5919.5830735596701</v>
      </c>
      <c r="AG894" s="368">
        <v>0</v>
      </c>
      <c r="AH894" s="396">
        <v>0</v>
      </c>
      <c r="AI894" s="368">
        <v>0</v>
      </c>
      <c r="AJ894" s="396">
        <v>0</v>
      </c>
      <c r="AK894" s="368">
        <v>0</v>
      </c>
      <c r="AL894" s="368">
        <v>0</v>
      </c>
      <c r="AM894" s="368">
        <v>0</v>
      </c>
      <c r="AN894" s="368"/>
      <c r="AO894" s="368">
        <v>0</v>
      </c>
    </row>
    <row r="895" spans="1:41" s="152" customFormat="1" ht="36" customHeight="1" x14ac:dyDescent="0.9">
      <c r="B895" s="382" t="s">
        <v>851</v>
      </c>
      <c r="C895" s="388"/>
      <c r="D895" s="384" t="s">
        <v>903</v>
      </c>
      <c r="E895" s="163" t="s">
        <v>903</v>
      </c>
      <c r="F895" s="384" t="s">
        <v>903</v>
      </c>
      <c r="G895" s="384" t="s">
        <v>903</v>
      </c>
      <c r="H895" s="163" t="s">
        <v>903</v>
      </c>
      <c r="I895" s="386">
        <f>SUM(I896:I900)</f>
        <v>3104.9</v>
      </c>
      <c r="J895" s="164">
        <f>SUM(J896:J900)</f>
        <v>2420.3000000000002</v>
      </c>
      <c r="K895" s="164">
        <f>SUM(K896:K900)</f>
        <v>2199.1999999999998</v>
      </c>
      <c r="L895" s="165">
        <f>SUM(L896:L900)</f>
        <v>119</v>
      </c>
      <c r="M895" s="163" t="s">
        <v>903</v>
      </c>
      <c r="N895" s="163" t="s">
        <v>903</v>
      </c>
      <c r="O895" s="166" t="s">
        <v>903</v>
      </c>
      <c r="P895" s="387">
        <v>14950249.880000001</v>
      </c>
      <c r="Q895" s="167">
        <f>SUM(Q896:Q900)</f>
        <v>0</v>
      </c>
      <c r="R895" s="167">
        <f>SUM(R896:R900)</f>
        <v>0</v>
      </c>
      <c r="S895" s="167">
        <f>SUM(S896:S900)</f>
        <v>14950249.880000001</v>
      </c>
      <c r="T895" s="387">
        <f t="shared" ref="T895:T957" si="267">P895/I895</f>
        <v>4815.0503655512257</v>
      </c>
      <c r="U895" s="387">
        <f>MAX(U896:U900)</f>
        <v>7539.9980326025852</v>
      </c>
      <c r="V895" s="149">
        <f t="shared" si="251"/>
        <v>2724.9476670513595</v>
      </c>
      <c r="W895" s="149"/>
      <c r="X895" s="149"/>
      <c r="Y895" s="368"/>
      <c r="Z895" s="368"/>
      <c r="AA895" s="368"/>
      <c r="AB895" s="368"/>
      <c r="AC895" s="368"/>
      <c r="AD895" s="368"/>
      <c r="AE895" s="368"/>
      <c r="AF895" s="368"/>
      <c r="AG895" s="368"/>
      <c r="AH895" s="368"/>
      <c r="AI895" s="368"/>
      <c r="AJ895" s="368"/>
      <c r="AK895" s="368"/>
      <c r="AL895" s="368"/>
      <c r="AM895" s="368"/>
      <c r="AN895" s="368"/>
      <c r="AO895" s="368"/>
    </row>
    <row r="896" spans="1:41" s="152" customFormat="1" ht="36" customHeight="1" x14ac:dyDescent="0.9">
      <c r="A896" s="152">
        <v>1</v>
      </c>
      <c r="B896" s="90">
        <f>SUBTOTAL(103,$A$554:A896)</f>
        <v>316</v>
      </c>
      <c r="C896" s="89" t="s">
        <v>1702</v>
      </c>
      <c r="D896" s="163">
        <v>1982</v>
      </c>
      <c r="E896" s="163"/>
      <c r="F896" s="168" t="s">
        <v>322</v>
      </c>
      <c r="G896" s="163">
        <v>2</v>
      </c>
      <c r="H896" s="163">
        <v>2</v>
      </c>
      <c r="I896" s="164">
        <v>626.1</v>
      </c>
      <c r="J896" s="164">
        <v>566.6</v>
      </c>
      <c r="K896" s="164">
        <v>566.6</v>
      </c>
      <c r="L896" s="165">
        <v>21</v>
      </c>
      <c r="M896" s="163" t="s">
        <v>268</v>
      </c>
      <c r="N896" s="163" t="s">
        <v>269</v>
      </c>
      <c r="O896" s="166" t="s">
        <v>271</v>
      </c>
      <c r="P896" s="167">
        <v>2958681.4299999997</v>
      </c>
      <c r="Q896" s="167">
        <v>0</v>
      </c>
      <c r="R896" s="167">
        <v>0</v>
      </c>
      <c r="S896" s="167">
        <f>P896-Q896-R896</f>
        <v>2958681.4299999997</v>
      </c>
      <c r="T896" s="167">
        <f t="shared" si="267"/>
        <v>4725.5732790289085</v>
      </c>
      <c r="U896" s="167">
        <v>4725.5732790289085</v>
      </c>
      <c r="V896" s="149">
        <f t="shared" si="251"/>
        <v>0</v>
      </c>
      <c r="W896" s="149">
        <f>T896</f>
        <v>4725.5732790289085</v>
      </c>
      <c r="X896" s="149">
        <v>0</v>
      </c>
      <c r="Y896" s="368">
        <v>0</v>
      </c>
      <c r="Z896" s="368">
        <v>0</v>
      </c>
      <c r="AA896" s="368">
        <v>0</v>
      </c>
      <c r="AB896" s="368">
        <v>0</v>
      </c>
      <c r="AC896" s="368">
        <v>0</v>
      </c>
      <c r="AD896" s="368">
        <v>0</v>
      </c>
      <c r="AE896" s="368">
        <v>368.29</v>
      </c>
      <c r="AF896" s="396">
        <f>6436.53*AE896/I896</f>
        <v>3786.1517867752755</v>
      </c>
      <c r="AG896" s="368">
        <v>0</v>
      </c>
      <c r="AH896" s="396">
        <v>0</v>
      </c>
      <c r="AI896" s="368">
        <v>0</v>
      </c>
      <c r="AJ896" s="396">
        <v>0</v>
      </c>
      <c r="AK896" s="368">
        <v>0</v>
      </c>
      <c r="AL896" s="368">
        <v>0</v>
      </c>
      <c r="AM896" s="368">
        <v>0</v>
      </c>
      <c r="AN896" s="368"/>
      <c r="AO896" s="368">
        <v>0</v>
      </c>
    </row>
    <row r="897" spans="1:41" s="152" customFormat="1" ht="36" customHeight="1" x14ac:dyDescent="0.9">
      <c r="A897" s="152">
        <v>1</v>
      </c>
      <c r="B897" s="90">
        <f>SUBTOTAL(103,$A$554:A897)</f>
        <v>317</v>
      </c>
      <c r="C897" s="89" t="s">
        <v>79</v>
      </c>
      <c r="D897" s="163">
        <v>1962</v>
      </c>
      <c r="E897" s="163"/>
      <c r="F897" s="168" t="s">
        <v>270</v>
      </c>
      <c r="G897" s="163">
        <v>2</v>
      </c>
      <c r="H897" s="163">
        <v>2</v>
      </c>
      <c r="I897" s="164">
        <v>355.8</v>
      </c>
      <c r="J897" s="164">
        <v>212</v>
      </c>
      <c r="K897" s="164">
        <v>212</v>
      </c>
      <c r="L897" s="165">
        <v>21</v>
      </c>
      <c r="M897" s="163" t="s">
        <v>268</v>
      </c>
      <c r="N897" s="163" t="s">
        <v>269</v>
      </c>
      <c r="O897" s="166" t="s">
        <v>271</v>
      </c>
      <c r="P897" s="167">
        <v>2424688.3000000003</v>
      </c>
      <c r="Q897" s="167">
        <v>0</v>
      </c>
      <c r="R897" s="167">
        <v>0</v>
      </c>
      <c r="S897" s="167">
        <f>P897-Q897-R897</f>
        <v>2424688.3000000003</v>
      </c>
      <c r="T897" s="167">
        <f t="shared" si="267"/>
        <v>6814.7507026419344</v>
      </c>
      <c r="U897" s="167">
        <v>7539.9980326025852</v>
      </c>
      <c r="V897" s="149">
        <f t="shared" si="251"/>
        <v>725.24732996065086</v>
      </c>
      <c r="W897" s="149">
        <f t="shared" ref="W897:W900" si="268">X897+Y897+Z897+AA897+AB897+AD897+AF897+AH897+AJ897+AL897+AN897+AO897</f>
        <v>7539.9980326025852</v>
      </c>
      <c r="X897" s="149">
        <v>0</v>
      </c>
      <c r="Y897" s="368">
        <v>0</v>
      </c>
      <c r="Z897" s="368">
        <v>0</v>
      </c>
      <c r="AA897" s="368">
        <v>0</v>
      </c>
      <c r="AB897" s="368">
        <v>0</v>
      </c>
      <c r="AC897" s="368">
        <v>0</v>
      </c>
      <c r="AD897" s="368">
        <v>0</v>
      </c>
      <c r="AE897" s="368">
        <v>430</v>
      </c>
      <c r="AF897" s="396">
        <f t="shared" ref="AF897:AF900" si="269">6238.91*AE897/I897</f>
        <v>7539.9980326025852</v>
      </c>
      <c r="AG897" s="368">
        <v>0</v>
      </c>
      <c r="AH897" s="396">
        <v>0</v>
      </c>
      <c r="AI897" s="368">
        <v>0</v>
      </c>
      <c r="AJ897" s="396">
        <v>0</v>
      </c>
      <c r="AK897" s="368">
        <v>0</v>
      </c>
      <c r="AL897" s="368">
        <v>0</v>
      </c>
      <c r="AM897" s="368">
        <v>0</v>
      </c>
      <c r="AN897" s="368"/>
      <c r="AO897" s="368">
        <v>0</v>
      </c>
    </row>
    <row r="898" spans="1:41" s="152" customFormat="1" ht="36" customHeight="1" x14ac:dyDescent="0.9">
      <c r="A898" s="152">
        <v>1</v>
      </c>
      <c r="B898" s="90">
        <f>SUBTOTAL(103,$A$554:A898)</f>
        <v>318</v>
      </c>
      <c r="C898" s="89" t="s">
        <v>80</v>
      </c>
      <c r="D898" s="163">
        <v>1964</v>
      </c>
      <c r="E898" s="163"/>
      <c r="F898" s="168" t="s">
        <v>270</v>
      </c>
      <c r="G898" s="163">
        <v>2</v>
      </c>
      <c r="H898" s="163">
        <v>2</v>
      </c>
      <c r="I898" s="164">
        <v>651.6</v>
      </c>
      <c r="J898" s="164">
        <v>412</v>
      </c>
      <c r="K898" s="164">
        <v>385</v>
      </c>
      <c r="L898" s="165">
        <v>42</v>
      </c>
      <c r="M898" s="163" t="s">
        <v>268</v>
      </c>
      <c r="N898" s="163" t="s">
        <v>269</v>
      </c>
      <c r="O898" s="166" t="s">
        <v>271</v>
      </c>
      <c r="P898" s="167">
        <v>2424688.3000000003</v>
      </c>
      <c r="Q898" s="167">
        <v>0</v>
      </c>
      <c r="R898" s="167">
        <v>0</v>
      </c>
      <c r="S898" s="167">
        <f>P898-Q898-R898</f>
        <v>2424688.3000000003</v>
      </c>
      <c r="T898" s="167">
        <f t="shared" si="267"/>
        <v>3721.1299877225297</v>
      </c>
      <c r="U898" s="167">
        <v>4117.1444137507669</v>
      </c>
      <c r="V898" s="149">
        <f t="shared" si="251"/>
        <v>396.01442602823727</v>
      </c>
      <c r="W898" s="149">
        <f t="shared" si="268"/>
        <v>4117.1444137507669</v>
      </c>
      <c r="X898" s="149">
        <v>0</v>
      </c>
      <c r="Y898" s="368">
        <v>0</v>
      </c>
      <c r="Z898" s="368">
        <v>0</v>
      </c>
      <c r="AA898" s="368">
        <v>0</v>
      </c>
      <c r="AB898" s="368">
        <v>0</v>
      </c>
      <c r="AC898" s="368">
        <v>0</v>
      </c>
      <c r="AD898" s="368">
        <v>0</v>
      </c>
      <c r="AE898" s="368">
        <v>430</v>
      </c>
      <c r="AF898" s="396">
        <f t="shared" si="269"/>
        <v>4117.1444137507669</v>
      </c>
      <c r="AG898" s="368">
        <v>0</v>
      </c>
      <c r="AH898" s="396">
        <v>0</v>
      </c>
      <c r="AI898" s="368">
        <v>0</v>
      </c>
      <c r="AJ898" s="396">
        <v>0</v>
      </c>
      <c r="AK898" s="368">
        <v>0</v>
      </c>
      <c r="AL898" s="368">
        <v>0</v>
      </c>
      <c r="AM898" s="368">
        <v>0</v>
      </c>
      <c r="AN898" s="368"/>
      <c r="AO898" s="368">
        <v>0</v>
      </c>
    </row>
    <row r="899" spans="1:41" s="152" customFormat="1" ht="36" customHeight="1" x14ac:dyDescent="0.9">
      <c r="A899" s="152">
        <v>1</v>
      </c>
      <c r="B899" s="90">
        <f>SUBTOTAL(103,$A$554:A899)</f>
        <v>319</v>
      </c>
      <c r="C899" s="89" t="s">
        <v>78</v>
      </c>
      <c r="D899" s="163">
        <v>1929</v>
      </c>
      <c r="E899" s="163"/>
      <c r="F899" s="168" t="s">
        <v>270</v>
      </c>
      <c r="G899" s="163">
        <v>3</v>
      </c>
      <c r="H899" s="163">
        <v>1</v>
      </c>
      <c r="I899" s="164">
        <v>475.3</v>
      </c>
      <c r="J899" s="164">
        <v>295</v>
      </c>
      <c r="K899" s="164">
        <v>253</v>
      </c>
      <c r="L899" s="165">
        <v>5</v>
      </c>
      <c r="M899" s="163" t="s">
        <v>268</v>
      </c>
      <c r="N899" s="163" t="s">
        <v>269</v>
      </c>
      <c r="O899" s="166" t="s">
        <v>271</v>
      </c>
      <c r="P899" s="167">
        <v>2170941.85</v>
      </c>
      <c r="Q899" s="167">
        <v>0</v>
      </c>
      <c r="R899" s="167">
        <v>0</v>
      </c>
      <c r="S899" s="167">
        <f>P899-Q899-R899</f>
        <v>2170941.85</v>
      </c>
      <c r="T899" s="167">
        <f t="shared" si="267"/>
        <v>4567.5191458026511</v>
      </c>
      <c r="U899" s="167">
        <v>5053.6089837997051</v>
      </c>
      <c r="V899" s="149">
        <f t="shared" si="251"/>
        <v>486.08983799705402</v>
      </c>
      <c r="W899" s="149">
        <f t="shared" si="268"/>
        <v>5053.6089837997051</v>
      </c>
      <c r="X899" s="149">
        <v>0</v>
      </c>
      <c r="Y899" s="368">
        <v>0</v>
      </c>
      <c r="Z899" s="368">
        <v>0</v>
      </c>
      <c r="AA899" s="368">
        <v>0</v>
      </c>
      <c r="AB899" s="368">
        <v>0</v>
      </c>
      <c r="AC899" s="368">
        <v>0</v>
      </c>
      <c r="AD899" s="368">
        <v>0</v>
      </c>
      <c r="AE899" s="368">
        <v>385</v>
      </c>
      <c r="AF899" s="396">
        <f t="shared" si="269"/>
        <v>5053.6089837997051</v>
      </c>
      <c r="AG899" s="368">
        <v>0</v>
      </c>
      <c r="AH899" s="396">
        <v>0</v>
      </c>
      <c r="AI899" s="368">
        <v>0</v>
      </c>
      <c r="AJ899" s="396">
        <v>0</v>
      </c>
      <c r="AK899" s="368">
        <v>0</v>
      </c>
      <c r="AL899" s="368">
        <v>0</v>
      </c>
      <c r="AM899" s="368">
        <v>0</v>
      </c>
      <c r="AN899" s="368"/>
      <c r="AO899" s="368">
        <v>0</v>
      </c>
    </row>
    <row r="900" spans="1:41" s="152" customFormat="1" ht="36" customHeight="1" x14ac:dyDescent="0.9">
      <c r="A900" s="152">
        <v>1</v>
      </c>
      <c r="B900" s="90">
        <f>SUBTOTAL(103,$A$554:A900)</f>
        <v>320</v>
      </c>
      <c r="C900" s="89" t="s">
        <v>1701</v>
      </c>
      <c r="D900" s="163">
        <v>1953</v>
      </c>
      <c r="E900" s="163"/>
      <c r="F900" s="168" t="s">
        <v>270</v>
      </c>
      <c r="G900" s="163">
        <v>2</v>
      </c>
      <c r="H900" s="163">
        <v>3</v>
      </c>
      <c r="I900" s="164">
        <v>996.1</v>
      </c>
      <c r="J900" s="164">
        <v>934.7</v>
      </c>
      <c r="K900" s="164">
        <v>782.6</v>
      </c>
      <c r="L900" s="165">
        <v>30</v>
      </c>
      <c r="M900" s="163" t="s">
        <v>268</v>
      </c>
      <c r="N900" s="163" t="s">
        <v>269</v>
      </c>
      <c r="O900" s="166" t="s">
        <v>271</v>
      </c>
      <c r="P900" s="167">
        <v>4971250</v>
      </c>
      <c r="Q900" s="167">
        <v>0</v>
      </c>
      <c r="R900" s="167">
        <v>0</v>
      </c>
      <c r="S900" s="167">
        <f>P900-Q900-R900</f>
        <v>4971250</v>
      </c>
      <c r="T900" s="167">
        <f t="shared" si="267"/>
        <v>4990.7137837566506</v>
      </c>
      <c r="U900" s="167">
        <v>5950.1701636381886</v>
      </c>
      <c r="V900" s="149">
        <f t="shared" si="251"/>
        <v>959.45637988153794</v>
      </c>
      <c r="W900" s="149">
        <f t="shared" si="268"/>
        <v>5950.1701636381886</v>
      </c>
      <c r="X900" s="149">
        <v>0</v>
      </c>
      <c r="Y900" s="368">
        <v>0</v>
      </c>
      <c r="Z900" s="368">
        <v>0</v>
      </c>
      <c r="AA900" s="368">
        <v>0</v>
      </c>
      <c r="AB900" s="368">
        <v>0</v>
      </c>
      <c r="AC900" s="368">
        <v>0</v>
      </c>
      <c r="AD900" s="368">
        <v>0</v>
      </c>
      <c r="AE900" s="368">
        <v>950</v>
      </c>
      <c r="AF900" s="396">
        <f t="shared" si="269"/>
        <v>5950.1701636381886</v>
      </c>
      <c r="AG900" s="368">
        <v>0</v>
      </c>
      <c r="AH900" s="396">
        <v>0</v>
      </c>
      <c r="AI900" s="368">
        <v>0</v>
      </c>
      <c r="AJ900" s="396">
        <v>0</v>
      </c>
      <c r="AK900" s="368">
        <v>0</v>
      </c>
      <c r="AL900" s="368">
        <v>0</v>
      </c>
      <c r="AM900" s="368">
        <v>0</v>
      </c>
      <c r="AN900" s="368"/>
      <c r="AO900" s="368">
        <v>0</v>
      </c>
    </row>
    <row r="901" spans="1:41" s="152" customFormat="1" ht="36" customHeight="1" x14ac:dyDescent="0.9">
      <c r="B901" s="382" t="s">
        <v>885</v>
      </c>
      <c r="C901" s="382"/>
      <c r="D901" s="384" t="s">
        <v>903</v>
      </c>
      <c r="E901" s="163" t="s">
        <v>903</v>
      </c>
      <c r="F901" s="384" t="s">
        <v>903</v>
      </c>
      <c r="G901" s="384" t="s">
        <v>903</v>
      </c>
      <c r="H901" s="163" t="s">
        <v>903</v>
      </c>
      <c r="I901" s="387">
        <f t="shared" ref="I901:K901" si="270">SUM(I902:I903)</f>
        <v>530.5</v>
      </c>
      <c r="J901" s="167">
        <f t="shared" si="270"/>
        <v>481.3</v>
      </c>
      <c r="K901" s="167">
        <f t="shared" si="270"/>
        <v>481.3</v>
      </c>
      <c r="L901" s="165">
        <f>SUM(L902:L903)</f>
        <v>25</v>
      </c>
      <c r="M901" s="163" t="s">
        <v>903</v>
      </c>
      <c r="N901" s="163" t="s">
        <v>903</v>
      </c>
      <c r="O901" s="166" t="s">
        <v>903</v>
      </c>
      <c r="P901" s="387">
        <v>2766932.97</v>
      </c>
      <c r="Q901" s="167">
        <f t="shared" ref="Q901:S901" si="271">SUM(Q902:Q903)</f>
        <v>0</v>
      </c>
      <c r="R901" s="167">
        <f t="shared" si="271"/>
        <v>0</v>
      </c>
      <c r="S901" s="167">
        <f t="shared" si="271"/>
        <v>2766932.97</v>
      </c>
      <c r="T901" s="387">
        <f t="shared" si="267"/>
        <v>5215.7077662582469</v>
      </c>
      <c r="U901" s="387">
        <f>MAX(U902:U903)</f>
        <v>5985.4542812499994</v>
      </c>
      <c r="V901" s="149">
        <f t="shared" si="251"/>
        <v>769.74651499175252</v>
      </c>
      <c r="W901" s="149"/>
      <c r="X901" s="149"/>
      <c r="Y901" s="368"/>
      <c r="Z901" s="368"/>
      <c r="AA901" s="368"/>
      <c r="AB901" s="368"/>
      <c r="AC901" s="368"/>
      <c r="AD901" s="368"/>
      <c r="AE901" s="368"/>
      <c r="AF901" s="368"/>
      <c r="AG901" s="368"/>
      <c r="AH901" s="368"/>
      <c r="AI901" s="368"/>
      <c r="AJ901" s="368"/>
      <c r="AK901" s="368"/>
      <c r="AL901" s="368"/>
      <c r="AM901" s="368"/>
      <c r="AN901" s="368"/>
      <c r="AO901" s="368"/>
    </row>
    <row r="902" spans="1:41" s="152" customFormat="1" ht="36" customHeight="1" x14ac:dyDescent="0.9">
      <c r="A902" s="152">
        <v>1</v>
      </c>
      <c r="B902" s="90">
        <f>SUBTOTAL(103,$A$554:A902)</f>
        <v>321</v>
      </c>
      <c r="C902" s="89" t="s">
        <v>81</v>
      </c>
      <c r="D902" s="163">
        <v>1931</v>
      </c>
      <c r="E902" s="163"/>
      <c r="F902" s="168" t="s">
        <v>270</v>
      </c>
      <c r="G902" s="163">
        <v>2</v>
      </c>
      <c r="H902" s="163">
        <v>1</v>
      </c>
      <c r="I902" s="164">
        <v>320</v>
      </c>
      <c r="J902" s="164">
        <v>297</v>
      </c>
      <c r="K902" s="164">
        <v>297</v>
      </c>
      <c r="L902" s="165">
        <v>16</v>
      </c>
      <c r="M902" s="163" t="s">
        <v>268</v>
      </c>
      <c r="N902" s="163" t="s">
        <v>269</v>
      </c>
      <c r="O902" s="166" t="s">
        <v>271</v>
      </c>
      <c r="P902" s="167">
        <v>1818947.37</v>
      </c>
      <c r="Q902" s="167">
        <v>0</v>
      </c>
      <c r="R902" s="167">
        <v>0</v>
      </c>
      <c r="S902" s="167">
        <f>P902-Q902-R902</f>
        <v>1818947.37</v>
      </c>
      <c r="T902" s="167">
        <f t="shared" si="267"/>
        <v>5684.2105312500007</v>
      </c>
      <c r="U902" s="167">
        <v>5985.4542812499994</v>
      </c>
      <c r="V902" s="149">
        <f t="shared" si="251"/>
        <v>301.24374999999873</v>
      </c>
      <c r="W902" s="149">
        <f t="shared" ref="W902:W903" si="272">X902+Y902+Z902+AA902+AB902+AD902+AF902+AH902+AJ902+AL902+AN902+AO902</f>
        <v>5985.4542812499994</v>
      </c>
      <c r="X902" s="149">
        <v>0</v>
      </c>
      <c r="Y902" s="368">
        <v>0</v>
      </c>
      <c r="Z902" s="368">
        <v>0</v>
      </c>
      <c r="AA902" s="368">
        <v>0</v>
      </c>
      <c r="AB902" s="368">
        <v>0</v>
      </c>
      <c r="AC902" s="368">
        <v>0</v>
      </c>
      <c r="AD902" s="368">
        <v>0</v>
      </c>
      <c r="AE902" s="368">
        <v>307</v>
      </c>
      <c r="AF902" s="396">
        <f t="shared" ref="AF902:AF903" si="273">6238.91*AE902/I902</f>
        <v>5985.4542812499994</v>
      </c>
      <c r="AG902" s="368">
        <v>0</v>
      </c>
      <c r="AH902" s="396">
        <v>0</v>
      </c>
      <c r="AI902" s="368">
        <v>0</v>
      </c>
      <c r="AJ902" s="396">
        <v>0</v>
      </c>
      <c r="AK902" s="368">
        <v>0</v>
      </c>
      <c r="AL902" s="368">
        <v>0</v>
      </c>
      <c r="AM902" s="368">
        <v>0</v>
      </c>
      <c r="AN902" s="368"/>
      <c r="AO902" s="368">
        <v>0</v>
      </c>
    </row>
    <row r="903" spans="1:41" s="152" customFormat="1" ht="36" customHeight="1" x14ac:dyDescent="0.9">
      <c r="A903" s="152">
        <v>1</v>
      </c>
      <c r="B903" s="90">
        <f>SUBTOTAL(103,$A$554:A903)</f>
        <v>322</v>
      </c>
      <c r="C903" s="89" t="s">
        <v>82</v>
      </c>
      <c r="D903" s="163">
        <v>1965</v>
      </c>
      <c r="E903" s="163"/>
      <c r="F903" s="168" t="s">
        <v>270</v>
      </c>
      <c r="G903" s="163">
        <v>2</v>
      </c>
      <c r="H903" s="163">
        <v>1</v>
      </c>
      <c r="I903" s="164">
        <v>210.5</v>
      </c>
      <c r="J903" s="164">
        <v>184.3</v>
      </c>
      <c r="K903" s="164">
        <v>184.3</v>
      </c>
      <c r="L903" s="165">
        <v>9</v>
      </c>
      <c r="M903" s="163" t="s">
        <v>268</v>
      </c>
      <c r="N903" s="163" t="s">
        <v>272</v>
      </c>
      <c r="O903" s="166" t="s">
        <v>282</v>
      </c>
      <c r="P903" s="167">
        <v>947985.6</v>
      </c>
      <c r="Q903" s="167">
        <v>0</v>
      </c>
      <c r="R903" s="167">
        <v>0</v>
      </c>
      <c r="S903" s="167">
        <f>P903-Q903-R903</f>
        <v>947985.6</v>
      </c>
      <c r="T903" s="167">
        <f t="shared" si="267"/>
        <v>4503.494536817102</v>
      </c>
      <c r="U903" s="167">
        <v>4742.1643705463184</v>
      </c>
      <c r="V903" s="149">
        <f t="shared" si="251"/>
        <v>238.66983372921641</v>
      </c>
      <c r="W903" s="149">
        <f t="shared" si="272"/>
        <v>4742.1643705463184</v>
      </c>
      <c r="X903" s="149">
        <v>0</v>
      </c>
      <c r="Y903" s="368">
        <v>0</v>
      </c>
      <c r="Z903" s="368">
        <v>0</v>
      </c>
      <c r="AA903" s="368">
        <v>0</v>
      </c>
      <c r="AB903" s="368">
        <v>0</v>
      </c>
      <c r="AC903" s="368">
        <v>0</v>
      </c>
      <c r="AD903" s="368">
        <v>0</v>
      </c>
      <c r="AE903" s="368">
        <v>160</v>
      </c>
      <c r="AF903" s="396">
        <f t="shared" si="273"/>
        <v>4742.1643705463184</v>
      </c>
      <c r="AG903" s="368">
        <v>0</v>
      </c>
      <c r="AH903" s="396">
        <v>0</v>
      </c>
      <c r="AI903" s="368">
        <v>0</v>
      </c>
      <c r="AJ903" s="396">
        <v>0</v>
      </c>
      <c r="AK903" s="368">
        <v>0</v>
      </c>
      <c r="AL903" s="368">
        <v>0</v>
      </c>
      <c r="AM903" s="368">
        <v>0</v>
      </c>
      <c r="AN903" s="368"/>
      <c r="AO903" s="368">
        <v>0</v>
      </c>
    </row>
    <row r="904" spans="1:41" s="152" customFormat="1" ht="36" customHeight="1" x14ac:dyDescent="0.9">
      <c r="B904" s="382" t="s">
        <v>886</v>
      </c>
      <c r="C904" s="382"/>
      <c r="D904" s="384" t="s">
        <v>903</v>
      </c>
      <c r="E904" s="163" t="s">
        <v>903</v>
      </c>
      <c r="F904" s="384" t="s">
        <v>903</v>
      </c>
      <c r="G904" s="384" t="s">
        <v>903</v>
      </c>
      <c r="H904" s="163" t="s">
        <v>903</v>
      </c>
      <c r="I904" s="386">
        <f>I905</f>
        <v>654.5</v>
      </c>
      <c r="J904" s="164">
        <f>J905</f>
        <v>614.5</v>
      </c>
      <c r="K904" s="164">
        <f>K905</f>
        <v>614.5</v>
      </c>
      <c r="L904" s="165">
        <f>L905</f>
        <v>19</v>
      </c>
      <c r="M904" s="163" t="s">
        <v>903</v>
      </c>
      <c r="N904" s="163" t="s">
        <v>903</v>
      </c>
      <c r="O904" s="166" t="s">
        <v>903</v>
      </c>
      <c r="P904" s="387">
        <v>2568179.12</v>
      </c>
      <c r="Q904" s="167">
        <f>Q905</f>
        <v>0</v>
      </c>
      <c r="R904" s="167">
        <f>R905</f>
        <v>0</v>
      </c>
      <c r="S904" s="167">
        <f>S905</f>
        <v>2568179.12</v>
      </c>
      <c r="T904" s="387">
        <f t="shared" si="267"/>
        <v>3923.8794805194807</v>
      </c>
      <c r="U904" s="387">
        <f>U905</f>
        <v>3928.1026400305577</v>
      </c>
      <c r="V904" s="149">
        <f t="shared" si="251"/>
        <v>4.2231595110770286</v>
      </c>
      <c r="W904" s="149"/>
      <c r="X904" s="149"/>
      <c r="Y904" s="368"/>
      <c r="Z904" s="368"/>
      <c r="AA904" s="368"/>
      <c r="AB904" s="368"/>
      <c r="AC904" s="368"/>
      <c r="AD904" s="368"/>
      <c r="AE904" s="368"/>
      <c r="AF904" s="368"/>
      <c r="AG904" s="368"/>
      <c r="AH904" s="368"/>
      <c r="AI904" s="368"/>
      <c r="AJ904" s="368"/>
      <c r="AK904" s="368"/>
      <c r="AL904" s="368"/>
      <c r="AM904" s="368"/>
      <c r="AN904" s="368"/>
      <c r="AO904" s="368"/>
    </row>
    <row r="905" spans="1:41" s="152" customFormat="1" ht="36" customHeight="1" x14ac:dyDescent="0.9">
      <c r="A905" s="152">
        <v>1</v>
      </c>
      <c r="B905" s="90">
        <f>SUBTOTAL(103,$A$554:A905)</f>
        <v>323</v>
      </c>
      <c r="C905" s="89" t="s">
        <v>83</v>
      </c>
      <c r="D905" s="163">
        <v>1964</v>
      </c>
      <c r="E905" s="163"/>
      <c r="F905" s="168" t="s">
        <v>270</v>
      </c>
      <c r="G905" s="163">
        <v>2</v>
      </c>
      <c r="H905" s="163">
        <v>2</v>
      </c>
      <c r="I905" s="164">
        <v>654.5</v>
      </c>
      <c r="J905" s="164">
        <v>614.5</v>
      </c>
      <c r="K905" s="164">
        <v>614.5</v>
      </c>
      <c r="L905" s="165">
        <v>19</v>
      </c>
      <c r="M905" s="163" t="s">
        <v>268</v>
      </c>
      <c r="N905" s="163" t="s">
        <v>269</v>
      </c>
      <c r="O905" s="166" t="s">
        <v>271</v>
      </c>
      <c r="P905" s="167">
        <v>2568179.12</v>
      </c>
      <c r="Q905" s="167">
        <v>0</v>
      </c>
      <c r="R905" s="167">
        <v>0</v>
      </c>
      <c r="S905" s="167">
        <f>P905-Q905-R905</f>
        <v>2568179.12</v>
      </c>
      <c r="T905" s="167">
        <f t="shared" si="267"/>
        <v>3923.8794805194807</v>
      </c>
      <c r="U905" s="167">
        <v>3928.1026400305577</v>
      </c>
      <c r="V905" s="149">
        <f>U905-T905</f>
        <v>4.2231595110770286</v>
      </c>
      <c r="W905" s="149">
        <f>X905+Y905+Z905+AA905+AB905+AD905+AF905+AH905+AJ905+AL905+AN905+AO905</f>
        <v>3928.1026400305577</v>
      </c>
      <c r="X905" s="149">
        <v>0</v>
      </c>
      <c r="Y905" s="368">
        <v>0</v>
      </c>
      <c r="Z905" s="368">
        <v>0</v>
      </c>
      <c r="AA905" s="368">
        <v>0</v>
      </c>
      <c r="AB905" s="368">
        <v>0</v>
      </c>
      <c r="AC905" s="368">
        <v>0</v>
      </c>
      <c r="AD905" s="368">
        <v>0</v>
      </c>
      <c r="AE905" s="368">
        <v>399.43</v>
      </c>
      <c r="AF905" s="396">
        <f>6436.53*AE905/I905</f>
        <v>3928.1026400305577</v>
      </c>
      <c r="AG905" s="368">
        <v>0</v>
      </c>
      <c r="AH905" s="396">
        <v>0</v>
      </c>
      <c r="AI905" s="368">
        <v>0</v>
      </c>
      <c r="AJ905" s="396">
        <v>0</v>
      </c>
      <c r="AK905" s="368">
        <v>0</v>
      </c>
      <c r="AL905" s="368">
        <v>0</v>
      </c>
      <c r="AM905" s="368">
        <v>0</v>
      </c>
      <c r="AN905" s="368"/>
      <c r="AO905" s="368">
        <v>0</v>
      </c>
    </row>
    <row r="906" spans="1:41" s="152" customFormat="1" ht="36" customHeight="1" x14ac:dyDescent="0.9">
      <c r="B906" s="382" t="s">
        <v>853</v>
      </c>
      <c r="C906" s="388"/>
      <c r="D906" s="384" t="s">
        <v>903</v>
      </c>
      <c r="E906" s="163" t="s">
        <v>903</v>
      </c>
      <c r="F906" s="384" t="s">
        <v>903</v>
      </c>
      <c r="G906" s="384" t="s">
        <v>903</v>
      </c>
      <c r="H906" s="163" t="s">
        <v>903</v>
      </c>
      <c r="I906" s="386">
        <f>SUM(I907:I908)</f>
        <v>1693.8000000000002</v>
      </c>
      <c r="J906" s="164">
        <f t="shared" ref="J906:L906" si="274">SUM(J907:J908)</f>
        <v>1122.1999999999998</v>
      </c>
      <c r="K906" s="164">
        <f t="shared" si="274"/>
        <v>940</v>
      </c>
      <c r="L906" s="165">
        <f t="shared" si="274"/>
        <v>52</v>
      </c>
      <c r="M906" s="163" t="s">
        <v>903</v>
      </c>
      <c r="N906" s="163" t="s">
        <v>903</v>
      </c>
      <c r="O906" s="166" t="s">
        <v>903</v>
      </c>
      <c r="P906" s="387">
        <v>4165100.4399999995</v>
      </c>
      <c r="Q906" s="167">
        <f t="shared" ref="Q906:S906" si="275">SUM(Q907:Q908)</f>
        <v>0</v>
      </c>
      <c r="R906" s="167">
        <f t="shared" si="275"/>
        <v>0</v>
      </c>
      <c r="S906" s="167">
        <f t="shared" si="275"/>
        <v>4165100.4399999995</v>
      </c>
      <c r="T906" s="387">
        <f t="shared" si="267"/>
        <v>2459.0272995631121</v>
      </c>
      <c r="U906" s="387">
        <f>MAX(U907:U908)</f>
        <v>4650.7228526924791</v>
      </c>
      <c r="V906" s="149">
        <f t="shared" si="251"/>
        <v>2191.695553129367</v>
      </c>
      <c r="W906" s="149"/>
      <c r="X906" s="149"/>
      <c r="Y906" s="368"/>
      <c r="Z906" s="368"/>
      <c r="AA906" s="368"/>
      <c r="AB906" s="368"/>
      <c r="AC906" s="368"/>
      <c r="AD906" s="368"/>
      <c r="AE906" s="368"/>
      <c r="AF906" s="368"/>
      <c r="AG906" s="368"/>
      <c r="AH906" s="368"/>
      <c r="AI906" s="368"/>
      <c r="AJ906" s="368"/>
      <c r="AK906" s="368"/>
      <c r="AL906" s="368"/>
      <c r="AM906" s="368"/>
      <c r="AN906" s="368"/>
      <c r="AO906" s="368"/>
    </row>
    <row r="907" spans="1:41" s="152" customFormat="1" ht="36" customHeight="1" x14ac:dyDescent="0.9">
      <c r="A907" s="152">
        <v>1</v>
      </c>
      <c r="B907" s="90">
        <f>SUBTOTAL(103,$A$554:A907)</f>
        <v>324</v>
      </c>
      <c r="C907" s="89" t="s">
        <v>106</v>
      </c>
      <c r="D907" s="163">
        <v>1975</v>
      </c>
      <c r="E907" s="163"/>
      <c r="F907" s="168" t="s">
        <v>270</v>
      </c>
      <c r="G907" s="163">
        <v>2</v>
      </c>
      <c r="H907" s="163">
        <v>2</v>
      </c>
      <c r="I907" s="164">
        <v>1244.4000000000001</v>
      </c>
      <c r="J907" s="164">
        <v>727.8</v>
      </c>
      <c r="K907" s="164">
        <v>584.79999999999995</v>
      </c>
      <c r="L907" s="165">
        <v>34</v>
      </c>
      <c r="M907" s="163" t="s">
        <v>268</v>
      </c>
      <c r="N907" s="163" t="s">
        <v>269</v>
      </c>
      <c r="O907" s="166" t="s">
        <v>271</v>
      </c>
      <c r="P907" s="167">
        <v>2981647.8</v>
      </c>
      <c r="Q907" s="167">
        <v>0</v>
      </c>
      <c r="R907" s="167">
        <v>0</v>
      </c>
      <c r="S907" s="167">
        <f>P907-Q907-R907</f>
        <v>2981647.8</v>
      </c>
      <c r="T907" s="167">
        <f t="shared" si="267"/>
        <v>2396.0525554484084</v>
      </c>
      <c r="U907" s="167">
        <v>2862.7592494374794</v>
      </c>
      <c r="V907" s="149">
        <f t="shared" si="251"/>
        <v>466.70669398907103</v>
      </c>
      <c r="W907" s="149">
        <f t="shared" ref="W907:W908" si="276">X907+Y907+Z907+AA907+AB907+AD907+AF907+AH907+AJ907+AL907+AN907+AO907</f>
        <v>2862.7592494374794</v>
      </c>
      <c r="X907" s="149">
        <v>0</v>
      </c>
      <c r="Y907" s="368">
        <v>0</v>
      </c>
      <c r="Z907" s="368">
        <v>0</v>
      </c>
      <c r="AA907" s="368">
        <v>0</v>
      </c>
      <c r="AB907" s="368">
        <v>0</v>
      </c>
      <c r="AC907" s="368">
        <v>0</v>
      </c>
      <c r="AD907" s="368">
        <v>0</v>
      </c>
      <c r="AE907" s="368">
        <v>571</v>
      </c>
      <c r="AF907" s="396">
        <f t="shared" ref="AF907:AF908" si="277">6238.91*AE907/I907</f>
        <v>2862.7592494374794</v>
      </c>
      <c r="AG907" s="368">
        <v>0</v>
      </c>
      <c r="AH907" s="396">
        <v>0</v>
      </c>
      <c r="AI907" s="368">
        <v>0</v>
      </c>
      <c r="AJ907" s="396">
        <v>0</v>
      </c>
      <c r="AK907" s="368">
        <v>0</v>
      </c>
      <c r="AL907" s="368">
        <v>0</v>
      </c>
      <c r="AM907" s="368">
        <v>0</v>
      </c>
      <c r="AN907" s="368"/>
      <c r="AO907" s="368">
        <v>0</v>
      </c>
    </row>
    <row r="908" spans="1:41" s="152" customFormat="1" ht="36" customHeight="1" x14ac:dyDescent="0.9">
      <c r="A908" s="152">
        <v>1</v>
      </c>
      <c r="B908" s="90">
        <f>SUBTOTAL(103,$A$554:A908)</f>
        <v>325</v>
      </c>
      <c r="C908" s="358" t="s">
        <v>1254</v>
      </c>
      <c r="D908" s="355">
        <v>1962</v>
      </c>
      <c r="E908" s="355"/>
      <c r="F908" s="357" t="s">
        <v>334</v>
      </c>
      <c r="G908" s="355">
        <v>2</v>
      </c>
      <c r="H908" s="355">
        <v>1</v>
      </c>
      <c r="I908" s="353">
        <v>449.4</v>
      </c>
      <c r="J908" s="353">
        <v>394.4</v>
      </c>
      <c r="K908" s="353">
        <v>355.2</v>
      </c>
      <c r="L908" s="356">
        <v>18</v>
      </c>
      <c r="M908" s="355" t="s">
        <v>268</v>
      </c>
      <c r="N908" s="355" t="s">
        <v>269</v>
      </c>
      <c r="O908" s="354" t="s">
        <v>271</v>
      </c>
      <c r="P908" s="353">
        <v>1183452.6399999999</v>
      </c>
      <c r="Q908" s="353">
        <v>0</v>
      </c>
      <c r="R908" s="353">
        <v>0</v>
      </c>
      <c r="S908" s="353">
        <f>P908-Q908-R908</f>
        <v>1183452.6399999999</v>
      </c>
      <c r="T908" s="167">
        <f t="shared" si="267"/>
        <v>2633.4059635068979</v>
      </c>
      <c r="U908" s="167">
        <v>4650.7228526924791</v>
      </c>
      <c r="V908" s="149">
        <f t="shared" si="251"/>
        <v>2017.3168891855812</v>
      </c>
      <c r="W908" s="149">
        <f t="shared" si="276"/>
        <v>4650.7228526924791</v>
      </c>
      <c r="X908" s="149">
        <v>0</v>
      </c>
      <c r="Y908" s="368">
        <v>0</v>
      </c>
      <c r="Z908" s="368">
        <v>0</v>
      </c>
      <c r="AA908" s="368">
        <v>0</v>
      </c>
      <c r="AB908" s="368">
        <v>0</v>
      </c>
      <c r="AC908" s="368">
        <v>0</v>
      </c>
      <c r="AD908" s="368">
        <v>0</v>
      </c>
      <c r="AE908" s="368">
        <v>335</v>
      </c>
      <c r="AF908" s="396">
        <f t="shared" si="277"/>
        <v>4650.7228526924791</v>
      </c>
      <c r="AG908" s="368">
        <v>0</v>
      </c>
      <c r="AH908" s="396">
        <v>0</v>
      </c>
      <c r="AI908" s="368">
        <v>0</v>
      </c>
      <c r="AJ908" s="396">
        <v>0</v>
      </c>
      <c r="AK908" s="368">
        <v>0</v>
      </c>
      <c r="AL908" s="368">
        <v>0</v>
      </c>
      <c r="AM908" s="368">
        <v>0</v>
      </c>
      <c r="AN908" s="368"/>
      <c r="AO908" s="368">
        <v>0</v>
      </c>
    </row>
    <row r="909" spans="1:41" s="152" customFormat="1" ht="36" customHeight="1" x14ac:dyDescent="0.9">
      <c r="B909" s="382" t="s">
        <v>887</v>
      </c>
      <c r="C909" s="382"/>
      <c r="D909" s="384" t="s">
        <v>903</v>
      </c>
      <c r="E909" s="163" t="s">
        <v>903</v>
      </c>
      <c r="F909" s="384" t="s">
        <v>903</v>
      </c>
      <c r="G909" s="384" t="s">
        <v>903</v>
      </c>
      <c r="H909" s="163" t="s">
        <v>903</v>
      </c>
      <c r="I909" s="386">
        <f>I910</f>
        <v>948.2</v>
      </c>
      <c r="J909" s="164">
        <f>J910</f>
        <v>849.8</v>
      </c>
      <c r="K909" s="164">
        <f>K910</f>
        <v>803.9</v>
      </c>
      <c r="L909" s="165">
        <f>L910</f>
        <v>43</v>
      </c>
      <c r="M909" s="163" t="s">
        <v>903</v>
      </c>
      <c r="N909" s="163" t="s">
        <v>903</v>
      </c>
      <c r="O909" s="166" t="s">
        <v>903</v>
      </c>
      <c r="P909" s="387">
        <v>4290230.8800000008</v>
      </c>
      <c r="Q909" s="167">
        <f>Q910</f>
        <v>0</v>
      </c>
      <c r="R909" s="167">
        <f>R910</f>
        <v>0</v>
      </c>
      <c r="S909" s="167">
        <f>S910</f>
        <v>4290230.8800000008</v>
      </c>
      <c r="T909" s="387">
        <f t="shared" si="267"/>
        <v>4524.6054418898975</v>
      </c>
      <c r="U909" s="387">
        <f>U910</f>
        <v>5405.9148449694158</v>
      </c>
      <c r="V909" s="149">
        <f t="shared" si="251"/>
        <v>881.30940307951823</v>
      </c>
      <c r="W909" s="149"/>
      <c r="X909" s="149"/>
      <c r="Y909" s="368"/>
      <c r="Z909" s="368"/>
      <c r="AA909" s="368"/>
      <c r="AB909" s="368"/>
      <c r="AC909" s="368"/>
      <c r="AD909" s="368"/>
      <c r="AE909" s="368"/>
      <c r="AF909" s="368"/>
      <c r="AG909" s="368"/>
      <c r="AH909" s="368"/>
      <c r="AI909" s="368"/>
      <c r="AJ909" s="368"/>
      <c r="AK909" s="368"/>
      <c r="AL909" s="368"/>
      <c r="AM909" s="368"/>
      <c r="AN909" s="368"/>
      <c r="AO909" s="368"/>
    </row>
    <row r="910" spans="1:41" s="152" customFormat="1" ht="36" customHeight="1" x14ac:dyDescent="0.9">
      <c r="A910" s="152">
        <v>1</v>
      </c>
      <c r="B910" s="90">
        <f>SUBTOTAL(103,$A$554:A910)</f>
        <v>326</v>
      </c>
      <c r="C910" s="89" t="s">
        <v>112</v>
      </c>
      <c r="D910" s="163">
        <v>1978</v>
      </c>
      <c r="E910" s="163"/>
      <c r="F910" s="168" t="s">
        <v>270</v>
      </c>
      <c r="G910" s="163">
        <v>2</v>
      </c>
      <c r="H910" s="163">
        <v>3</v>
      </c>
      <c r="I910" s="164">
        <v>948.2</v>
      </c>
      <c r="J910" s="164">
        <v>849.8</v>
      </c>
      <c r="K910" s="164">
        <v>803.9</v>
      </c>
      <c r="L910" s="165">
        <v>43</v>
      </c>
      <c r="M910" s="163" t="s">
        <v>268</v>
      </c>
      <c r="N910" s="163" t="s">
        <v>269</v>
      </c>
      <c r="O910" s="166" t="s">
        <v>271</v>
      </c>
      <c r="P910" s="167">
        <v>4290230.8800000008</v>
      </c>
      <c r="Q910" s="167">
        <v>0</v>
      </c>
      <c r="R910" s="167">
        <v>0</v>
      </c>
      <c r="S910" s="167">
        <f>P910-Q910-R910</f>
        <v>4290230.8800000008</v>
      </c>
      <c r="T910" s="167">
        <f t="shared" si="267"/>
        <v>4524.6054418898975</v>
      </c>
      <c r="U910" s="167">
        <v>5405.9148449694158</v>
      </c>
      <c r="V910" s="149">
        <f>U910-T910</f>
        <v>881.30940307951823</v>
      </c>
      <c r="W910" s="149">
        <f>X910+Y910+Z910+AA910+AB910+AD910+AF910+AH910+AJ910+AL910+AN910+AO910</f>
        <v>5405.9148449694158</v>
      </c>
      <c r="X910" s="149">
        <v>0</v>
      </c>
      <c r="Y910" s="368">
        <v>0</v>
      </c>
      <c r="Z910" s="368">
        <v>0</v>
      </c>
      <c r="AA910" s="368">
        <v>0</v>
      </c>
      <c r="AB910" s="368">
        <v>0</v>
      </c>
      <c r="AC910" s="368">
        <v>0</v>
      </c>
      <c r="AD910" s="368">
        <v>0</v>
      </c>
      <c r="AE910" s="368">
        <v>821.6</v>
      </c>
      <c r="AF910" s="396">
        <f>6238.91*AE910/I910</f>
        <v>5405.9148449694158</v>
      </c>
      <c r="AG910" s="368">
        <v>0</v>
      </c>
      <c r="AH910" s="396">
        <v>0</v>
      </c>
      <c r="AI910" s="368">
        <v>0</v>
      </c>
      <c r="AJ910" s="396">
        <v>0</v>
      </c>
      <c r="AK910" s="368">
        <v>0</v>
      </c>
      <c r="AL910" s="368">
        <v>0</v>
      </c>
      <c r="AM910" s="368">
        <v>0</v>
      </c>
      <c r="AN910" s="368"/>
      <c r="AO910" s="368">
        <v>0</v>
      </c>
    </row>
    <row r="911" spans="1:41" s="152" customFormat="1" ht="36" customHeight="1" x14ac:dyDescent="0.9">
      <c r="B911" s="382" t="s">
        <v>888</v>
      </c>
      <c r="C911" s="382"/>
      <c r="D911" s="384" t="s">
        <v>903</v>
      </c>
      <c r="E911" s="163" t="s">
        <v>903</v>
      </c>
      <c r="F911" s="384" t="s">
        <v>903</v>
      </c>
      <c r="G911" s="384" t="s">
        <v>903</v>
      </c>
      <c r="H911" s="163" t="s">
        <v>903</v>
      </c>
      <c r="I911" s="386">
        <f>I912</f>
        <v>779.2</v>
      </c>
      <c r="J911" s="164">
        <f>J912</f>
        <v>720.2</v>
      </c>
      <c r="K911" s="164">
        <f>K912</f>
        <v>720.2</v>
      </c>
      <c r="L911" s="165">
        <f>L912</f>
        <v>33</v>
      </c>
      <c r="M911" s="163" t="s">
        <v>903</v>
      </c>
      <c r="N911" s="163" t="s">
        <v>903</v>
      </c>
      <c r="O911" s="166" t="s">
        <v>903</v>
      </c>
      <c r="P911" s="387">
        <v>2903320.8000000003</v>
      </c>
      <c r="Q911" s="167">
        <f>Q912</f>
        <v>0</v>
      </c>
      <c r="R911" s="167">
        <f>R912</f>
        <v>0</v>
      </c>
      <c r="S911" s="167">
        <f>S912</f>
        <v>2903320.8000000003</v>
      </c>
      <c r="T911" s="387">
        <f t="shared" si="267"/>
        <v>3726.0277207392201</v>
      </c>
      <c r="U911" s="387">
        <f>U912</f>
        <v>4451.7889630390137</v>
      </c>
      <c r="V911" s="149">
        <f t="shared" si="251"/>
        <v>725.76124229979359</v>
      </c>
      <c r="W911" s="149"/>
      <c r="X911" s="149"/>
      <c r="Y911" s="368"/>
      <c r="Z911" s="368"/>
      <c r="AA911" s="368"/>
      <c r="AB911" s="368"/>
      <c r="AC911" s="368"/>
      <c r="AD911" s="368"/>
      <c r="AE911" s="368"/>
      <c r="AF911" s="368"/>
      <c r="AG911" s="368"/>
      <c r="AH911" s="368"/>
      <c r="AI911" s="368"/>
      <c r="AJ911" s="368"/>
      <c r="AK911" s="368"/>
      <c r="AL911" s="368"/>
      <c r="AM911" s="368"/>
      <c r="AN911" s="368"/>
      <c r="AO911" s="368"/>
    </row>
    <row r="912" spans="1:41" s="152" customFormat="1" ht="36" customHeight="1" x14ac:dyDescent="0.9">
      <c r="A912" s="152">
        <v>1</v>
      </c>
      <c r="B912" s="90">
        <f>SUBTOTAL(103,$A$554:A912)</f>
        <v>327</v>
      </c>
      <c r="C912" s="89" t="s">
        <v>111</v>
      </c>
      <c r="D912" s="163">
        <v>1974</v>
      </c>
      <c r="E912" s="163"/>
      <c r="F912" s="168" t="s">
        <v>270</v>
      </c>
      <c r="G912" s="163">
        <v>2</v>
      </c>
      <c r="H912" s="163">
        <v>2</v>
      </c>
      <c r="I912" s="164">
        <v>779.2</v>
      </c>
      <c r="J912" s="164">
        <v>720.2</v>
      </c>
      <c r="K912" s="164">
        <v>720.2</v>
      </c>
      <c r="L912" s="165">
        <v>33</v>
      </c>
      <c r="M912" s="163" t="s">
        <v>268</v>
      </c>
      <c r="N912" s="163" t="s">
        <v>269</v>
      </c>
      <c r="O912" s="166" t="s">
        <v>271</v>
      </c>
      <c r="P912" s="167">
        <v>2903320.8000000003</v>
      </c>
      <c r="Q912" s="167">
        <v>0</v>
      </c>
      <c r="R912" s="167">
        <v>0</v>
      </c>
      <c r="S912" s="167">
        <f>P912-Q912-R912</f>
        <v>2903320.8000000003</v>
      </c>
      <c r="T912" s="167">
        <f t="shared" si="267"/>
        <v>3726.0277207392201</v>
      </c>
      <c r="U912" s="167">
        <v>4451.7889630390137</v>
      </c>
      <c r="V912" s="149">
        <f>U912-T912</f>
        <v>725.76124229979359</v>
      </c>
      <c r="W912" s="149">
        <f>X912+Y912+Z912+AA912+AB912+AD912+AF912+AH912+AJ912+AL912+AN912+AO912</f>
        <v>4451.7889630390137</v>
      </c>
      <c r="X912" s="149">
        <v>0</v>
      </c>
      <c r="Y912" s="368">
        <v>0</v>
      </c>
      <c r="Z912" s="368">
        <v>0</v>
      </c>
      <c r="AA912" s="368">
        <v>0</v>
      </c>
      <c r="AB912" s="368">
        <v>0</v>
      </c>
      <c r="AC912" s="368">
        <v>0</v>
      </c>
      <c r="AD912" s="368">
        <v>0</v>
      </c>
      <c r="AE912" s="368">
        <v>556</v>
      </c>
      <c r="AF912" s="396">
        <f>6238.91*AE912/I912</f>
        <v>4451.7889630390137</v>
      </c>
      <c r="AG912" s="368">
        <v>0</v>
      </c>
      <c r="AH912" s="396">
        <v>0</v>
      </c>
      <c r="AI912" s="368">
        <v>0</v>
      </c>
      <c r="AJ912" s="396">
        <v>0</v>
      </c>
      <c r="AK912" s="368">
        <v>0</v>
      </c>
      <c r="AL912" s="368">
        <v>0</v>
      </c>
      <c r="AM912" s="368">
        <v>0</v>
      </c>
      <c r="AN912" s="368"/>
      <c r="AO912" s="368">
        <v>0</v>
      </c>
    </row>
    <row r="913" spans="1:41" s="152" customFormat="1" ht="36" customHeight="1" x14ac:dyDescent="0.9">
      <c r="B913" s="382" t="s">
        <v>854</v>
      </c>
      <c r="C913" s="388"/>
      <c r="D913" s="384" t="s">
        <v>903</v>
      </c>
      <c r="E913" s="163" t="s">
        <v>903</v>
      </c>
      <c r="F913" s="384" t="s">
        <v>903</v>
      </c>
      <c r="G913" s="384" t="s">
        <v>903</v>
      </c>
      <c r="H913" s="163" t="s">
        <v>903</v>
      </c>
      <c r="I913" s="386">
        <f>I914</f>
        <v>1015.6</v>
      </c>
      <c r="J913" s="164">
        <f>J914</f>
        <v>926.7</v>
      </c>
      <c r="K913" s="164">
        <f>K914</f>
        <v>497.5</v>
      </c>
      <c r="L913" s="165">
        <f>L914</f>
        <v>47</v>
      </c>
      <c r="M913" s="163" t="s">
        <v>903</v>
      </c>
      <c r="N913" s="163" t="s">
        <v>903</v>
      </c>
      <c r="O913" s="166" t="s">
        <v>903</v>
      </c>
      <c r="P913" s="387">
        <v>3826397.3000000003</v>
      </c>
      <c r="Q913" s="167">
        <f>Q914</f>
        <v>0</v>
      </c>
      <c r="R913" s="167">
        <f>R914</f>
        <v>2523423.19</v>
      </c>
      <c r="S913" s="167">
        <f>S914</f>
        <v>1302974.1100000003</v>
      </c>
      <c r="T913" s="387">
        <f t="shared" si="267"/>
        <v>3767.6223907050021</v>
      </c>
      <c r="U913" s="387">
        <f>U914</f>
        <v>4879.4468422607324</v>
      </c>
      <c r="V913" s="149">
        <f t="shared" si="251"/>
        <v>1111.8244515557303</v>
      </c>
      <c r="W913" s="149"/>
      <c r="X913" s="149"/>
      <c r="Y913" s="368"/>
      <c r="Z913" s="368"/>
      <c r="AA913" s="368"/>
      <c r="AB913" s="368"/>
      <c r="AC913" s="368"/>
      <c r="AD913" s="368"/>
      <c r="AE913" s="368"/>
      <c r="AF913" s="368"/>
      <c r="AG913" s="368"/>
      <c r="AH913" s="368"/>
      <c r="AI913" s="368"/>
      <c r="AJ913" s="368"/>
      <c r="AK913" s="368"/>
      <c r="AL913" s="368"/>
      <c r="AM913" s="368"/>
      <c r="AN913" s="368"/>
      <c r="AO913" s="368"/>
    </row>
    <row r="914" spans="1:41" s="152" customFormat="1" ht="36" customHeight="1" x14ac:dyDescent="0.9">
      <c r="A914" s="152">
        <v>1</v>
      </c>
      <c r="B914" s="90">
        <f>SUBTOTAL(103,$A$554:A914)</f>
        <v>328</v>
      </c>
      <c r="C914" s="89" t="s">
        <v>57</v>
      </c>
      <c r="D914" s="163">
        <v>1972</v>
      </c>
      <c r="E914" s="163"/>
      <c r="F914" s="168" t="s">
        <v>270</v>
      </c>
      <c r="G914" s="163">
        <v>2</v>
      </c>
      <c r="H914" s="163">
        <v>3</v>
      </c>
      <c r="I914" s="164">
        <v>1015.6</v>
      </c>
      <c r="J914" s="164">
        <v>926.7</v>
      </c>
      <c r="K914" s="164">
        <v>497.5</v>
      </c>
      <c r="L914" s="165">
        <v>47</v>
      </c>
      <c r="M914" s="163" t="s">
        <v>268</v>
      </c>
      <c r="N914" s="163" t="s">
        <v>269</v>
      </c>
      <c r="O914" s="166" t="s">
        <v>271</v>
      </c>
      <c r="P914" s="167">
        <v>3826397.3000000003</v>
      </c>
      <c r="Q914" s="167">
        <v>0</v>
      </c>
      <c r="R914" s="167">
        <v>2523423.19</v>
      </c>
      <c r="S914" s="167">
        <f>P914-Q914-R914</f>
        <v>1302974.1100000003</v>
      </c>
      <c r="T914" s="167">
        <f t="shared" si="267"/>
        <v>3767.6223907050021</v>
      </c>
      <c r="U914" s="167">
        <v>4879.4468422607324</v>
      </c>
      <c r="V914" s="149">
        <f>U914-T914</f>
        <v>1111.8244515557303</v>
      </c>
      <c r="W914" s="149">
        <f>X914+Y914+Z914+AA914+AB914+AD914+AF914+AH914+AJ914+AL914+AN914+AO914</f>
        <v>4879.4468422607324</v>
      </c>
      <c r="X914" s="149">
        <v>0</v>
      </c>
      <c r="Y914" s="368">
        <v>0</v>
      </c>
      <c r="Z914" s="368">
        <v>0</v>
      </c>
      <c r="AA914" s="368">
        <v>0</v>
      </c>
      <c r="AB914" s="368">
        <v>0</v>
      </c>
      <c r="AC914" s="368">
        <v>0</v>
      </c>
      <c r="AD914" s="368">
        <v>0</v>
      </c>
      <c r="AE914" s="368">
        <v>794.3</v>
      </c>
      <c r="AF914" s="396">
        <f>6238.91*AE914/I914</f>
        <v>4879.4468422607324</v>
      </c>
      <c r="AG914" s="368">
        <v>0</v>
      </c>
      <c r="AH914" s="396">
        <v>0</v>
      </c>
      <c r="AI914" s="368">
        <v>0</v>
      </c>
      <c r="AJ914" s="396">
        <v>0</v>
      </c>
      <c r="AK914" s="368">
        <v>0</v>
      </c>
      <c r="AL914" s="368">
        <v>0</v>
      </c>
      <c r="AM914" s="368">
        <v>0</v>
      </c>
      <c r="AN914" s="368"/>
      <c r="AO914" s="368">
        <v>0</v>
      </c>
    </row>
    <row r="915" spans="1:41" s="152" customFormat="1" ht="36" customHeight="1" x14ac:dyDescent="0.9">
      <c r="B915" s="382" t="s">
        <v>855</v>
      </c>
      <c r="C915" s="382"/>
      <c r="D915" s="384" t="s">
        <v>903</v>
      </c>
      <c r="E915" s="163" t="s">
        <v>903</v>
      </c>
      <c r="F915" s="384" t="s">
        <v>903</v>
      </c>
      <c r="G915" s="384" t="s">
        <v>903</v>
      </c>
      <c r="H915" s="163" t="s">
        <v>903</v>
      </c>
      <c r="I915" s="386">
        <f>SUM(I916:I917)</f>
        <v>11870.84</v>
      </c>
      <c r="J915" s="164">
        <f t="shared" ref="J915:L915" si="278">SUM(J916:J917)</f>
        <v>10443.43</v>
      </c>
      <c r="K915" s="164">
        <f t="shared" si="278"/>
        <v>8645.2799999999988</v>
      </c>
      <c r="L915" s="165">
        <f t="shared" si="278"/>
        <v>424</v>
      </c>
      <c r="M915" s="163" t="s">
        <v>903</v>
      </c>
      <c r="N915" s="163" t="s">
        <v>903</v>
      </c>
      <c r="O915" s="166" t="s">
        <v>903</v>
      </c>
      <c r="P915" s="387">
        <v>11567413.620000001</v>
      </c>
      <c r="Q915" s="167">
        <f t="shared" ref="Q915:S915" si="279">SUM(Q916:Q917)</f>
        <v>0</v>
      </c>
      <c r="R915" s="167">
        <f t="shared" si="279"/>
        <v>0</v>
      </c>
      <c r="S915" s="167">
        <f t="shared" si="279"/>
        <v>11567413.620000001</v>
      </c>
      <c r="T915" s="387">
        <f t="shared" si="267"/>
        <v>974.4393505430113</v>
      </c>
      <c r="U915" s="387">
        <f>MAX(U916:U917)</f>
        <v>1644.4819722031743</v>
      </c>
      <c r="V915" s="149">
        <f t="shared" si="251"/>
        <v>670.04262166016304</v>
      </c>
      <c r="W915" s="149"/>
      <c r="X915" s="149"/>
      <c r="Y915" s="368"/>
      <c r="Z915" s="368"/>
      <c r="AA915" s="368"/>
      <c r="AB915" s="368"/>
      <c r="AC915" s="368"/>
      <c r="AD915" s="368"/>
      <c r="AE915" s="368"/>
      <c r="AF915" s="368"/>
      <c r="AG915" s="368"/>
      <c r="AH915" s="368"/>
      <c r="AI915" s="368"/>
      <c r="AJ915" s="368"/>
      <c r="AK915" s="368"/>
      <c r="AL915" s="368"/>
      <c r="AM915" s="368"/>
      <c r="AN915" s="368"/>
      <c r="AO915" s="368"/>
    </row>
    <row r="916" spans="1:41" s="152" customFormat="1" ht="36" customHeight="1" x14ac:dyDescent="0.9">
      <c r="A916" s="152">
        <v>1</v>
      </c>
      <c r="B916" s="90">
        <f>SUBTOTAL(103,$A$554:A916)</f>
        <v>329</v>
      </c>
      <c r="C916" s="89" t="s">
        <v>41</v>
      </c>
      <c r="D916" s="163">
        <v>1974</v>
      </c>
      <c r="E916" s="163"/>
      <c r="F916" s="168" t="s">
        <v>270</v>
      </c>
      <c r="G916" s="163">
        <v>5</v>
      </c>
      <c r="H916" s="163">
        <v>6</v>
      </c>
      <c r="I916" s="164">
        <v>5979.1</v>
      </c>
      <c r="J916" s="164">
        <v>5979.1</v>
      </c>
      <c r="K916" s="164">
        <v>4563.9399999999996</v>
      </c>
      <c r="L916" s="165">
        <v>217</v>
      </c>
      <c r="M916" s="163" t="s">
        <v>268</v>
      </c>
      <c r="N916" s="163" t="s">
        <v>272</v>
      </c>
      <c r="O916" s="166" t="s">
        <v>273</v>
      </c>
      <c r="P916" s="167">
        <v>5858309.4800000004</v>
      </c>
      <c r="Q916" s="167">
        <v>0</v>
      </c>
      <c r="R916" s="167">
        <v>0</v>
      </c>
      <c r="S916" s="167">
        <f>P916-Q916-R916</f>
        <v>5858309.4800000004</v>
      </c>
      <c r="T916" s="167">
        <f t="shared" si="267"/>
        <v>979.79787593450521</v>
      </c>
      <c r="U916" s="167">
        <v>1644.4819722031743</v>
      </c>
      <c r="V916" s="149">
        <f t="shared" si="251"/>
        <v>664.68409626866912</v>
      </c>
      <c r="W916" s="149">
        <f t="shared" ref="W916:W917" si="280">X916+Y916+Z916+AA916+AB916+AD916+AF916+AH916+AJ916+AL916+AN916+AO916</f>
        <v>1644.4819722031743</v>
      </c>
      <c r="X916" s="149">
        <v>0</v>
      </c>
      <c r="Y916" s="368">
        <v>0</v>
      </c>
      <c r="Z916" s="368">
        <v>0</v>
      </c>
      <c r="AA916" s="368">
        <v>0</v>
      </c>
      <c r="AB916" s="368">
        <v>0</v>
      </c>
      <c r="AC916" s="368">
        <v>0</v>
      </c>
      <c r="AD916" s="368">
        <v>0</v>
      </c>
      <c r="AE916" s="368">
        <v>1576</v>
      </c>
      <c r="AF916" s="396">
        <f t="shared" ref="AF916:AF917" si="281">6238.91*AE916/I916</f>
        <v>1644.4819722031743</v>
      </c>
      <c r="AG916" s="368">
        <v>0</v>
      </c>
      <c r="AH916" s="396">
        <v>0</v>
      </c>
      <c r="AI916" s="368">
        <v>0</v>
      </c>
      <c r="AJ916" s="396">
        <v>0</v>
      </c>
      <c r="AK916" s="368">
        <v>0</v>
      </c>
      <c r="AL916" s="368">
        <v>0</v>
      </c>
      <c r="AM916" s="368">
        <v>0</v>
      </c>
      <c r="AN916" s="368"/>
      <c r="AO916" s="368">
        <v>0</v>
      </c>
    </row>
    <row r="917" spans="1:41" s="152" customFormat="1" ht="36" customHeight="1" x14ac:dyDescent="0.9">
      <c r="A917" s="152">
        <v>1</v>
      </c>
      <c r="B917" s="90">
        <f>SUBTOTAL(103,$A$554:A917)</f>
        <v>330</v>
      </c>
      <c r="C917" s="358" t="s">
        <v>1572</v>
      </c>
      <c r="D917" s="355">
        <v>1971</v>
      </c>
      <c r="E917" s="355"/>
      <c r="F917" s="357" t="s">
        <v>270</v>
      </c>
      <c r="G917" s="355">
        <v>5</v>
      </c>
      <c r="H917" s="355">
        <v>6</v>
      </c>
      <c r="I917" s="353">
        <v>5891.74</v>
      </c>
      <c r="J917" s="353">
        <v>4464.33</v>
      </c>
      <c r="K917" s="353">
        <v>4081.34</v>
      </c>
      <c r="L917" s="356">
        <v>207</v>
      </c>
      <c r="M917" s="355" t="s">
        <v>268</v>
      </c>
      <c r="N917" s="355" t="s">
        <v>272</v>
      </c>
      <c r="O917" s="354" t="s">
        <v>1318</v>
      </c>
      <c r="P917" s="353">
        <v>5709104.1399999997</v>
      </c>
      <c r="Q917" s="353">
        <v>0</v>
      </c>
      <c r="R917" s="353">
        <v>0</v>
      </c>
      <c r="S917" s="353">
        <f>P917-R917-Q917</f>
        <v>5709104.1399999997</v>
      </c>
      <c r="T917" s="167">
        <f t="shared" si="267"/>
        <v>969.00137141150151</v>
      </c>
      <c r="U917" s="167">
        <v>1409.4289989035497</v>
      </c>
      <c r="V917" s="149">
        <f t="shared" ref="V917" si="282">U917-T917</f>
        <v>440.42762749204815</v>
      </c>
      <c r="W917" s="149">
        <f t="shared" si="280"/>
        <v>1409.4289989035497</v>
      </c>
      <c r="X917" s="149">
        <v>0</v>
      </c>
      <c r="Y917" s="368">
        <v>0</v>
      </c>
      <c r="Z917" s="368">
        <v>0</v>
      </c>
      <c r="AA917" s="368">
        <v>0</v>
      </c>
      <c r="AB917" s="368">
        <v>0</v>
      </c>
      <c r="AC917" s="368">
        <v>0</v>
      </c>
      <c r="AD917" s="368">
        <v>0</v>
      </c>
      <c r="AE917" s="368">
        <v>1331</v>
      </c>
      <c r="AF917" s="396">
        <f t="shared" si="281"/>
        <v>1409.4289989035497</v>
      </c>
      <c r="AG917" s="368">
        <v>0</v>
      </c>
      <c r="AH917" s="396">
        <v>0</v>
      </c>
      <c r="AI917" s="368">
        <v>0</v>
      </c>
      <c r="AJ917" s="396">
        <v>0</v>
      </c>
      <c r="AK917" s="368">
        <v>0</v>
      </c>
      <c r="AL917" s="368">
        <v>0</v>
      </c>
      <c r="AM917" s="368">
        <v>0</v>
      </c>
      <c r="AN917" s="368"/>
      <c r="AO917" s="368">
        <v>0</v>
      </c>
    </row>
    <row r="918" spans="1:41" s="152" customFormat="1" ht="36" customHeight="1" x14ac:dyDescent="0.9">
      <c r="B918" s="399" t="s">
        <v>889</v>
      </c>
      <c r="C918" s="382"/>
      <c r="D918" s="384" t="s">
        <v>903</v>
      </c>
      <c r="E918" s="163" t="s">
        <v>903</v>
      </c>
      <c r="F918" s="384" t="s">
        <v>903</v>
      </c>
      <c r="G918" s="384" t="s">
        <v>903</v>
      </c>
      <c r="H918" s="163" t="s">
        <v>903</v>
      </c>
      <c r="I918" s="386">
        <f>SUM(I919:I920)</f>
        <v>1431.7</v>
      </c>
      <c r="J918" s="164">
        <f t="shared" ref="J918:L918" si="283">SUM(J919:J920)</f>
        <v>1325.1999999999998</v>
      </c>
      <c r="K918" s="164">
        <f t="shared" si="283"/>
        <v>962.8</v>
      </c>
      <c r="L918" s="165">
        <f t="shared" si="283"/>
        <v>50</v>
      </c>
      <c r="M918" s="163" t="s">
        <v>903</v>
      </c>
      <c r="N918" s="163" t="s">
        <v>903</v>
      </c>
      <c r="O918" s="166" t="s">
        <v>903</v>
      </c>
      <c r="P918" s="387">
        <v>5796065.7599999998</v>
      </c>
      <c r="Q918" s="167">
        <f t="shared" ref="Q918:S918" si="284">SUM(Q919:Q920)</f>
        <v>0</v>
      </c>
      <c r="R918" s="167">
        <f t="shared" si="284"/>
        <v>492144.32</v>
      </c>
      <c r="S918" s="167">
        <f t="shared" si="284"/>
        <v>5303921.4399999995</v>
      </c>
      <c r="T918" s="387">
        <f t="shared" si="267"/>
        <v>4048.3800796256196</v>
      </c>
      <c r="U918" s="387">
        <f>MAX(U919:U920)</f>
        <v>5238.8418999179648</v>
      </c>
      <c r="V918" s="149">
        <f t="shared" ref="V918:V979" si="285">U918-T918</f>
        <v>1190.4618202923452</v>
      </c>
      <c r="W918" s="149"/>
      <c r="X918" s="149"/>
      <c r="Y918" s="368"/>
      <c r="Z918" s="368"/>
      <c r="AA918" s="368"/>
      <c r="AB918" s="368"/>
      <c r="AC918" s="368"/>
      <c r="AD918" s="368"/>
      <c r="AE918" s="368"/>
      <c r="AF918" s="368"/>
      <c r="AG918" s="368"/>
      <c r="AH918" s="368"/>
      <c r="AI918" s="368"/>
      <c r="AJ918" s="368"/>
      <c r="AK918" s="368"/>
      <c r="AL918" s="368"/>
      <c r="AM918" s="368"/>
      <c r="AN918" s="368"/>
      <c r="AO918" s="368"/>
    </row>
    <row r="919" spans="1:41" s="152" customFormat="1" ht="36" customHeight="1" x14ac:dyDescent="0.9">
      <c r="A919" s="152">
        <v>1</v>
      </c>
      <c r="B919" s="90">
        <f>SUBTOTAL(103,$A$554:A919)</f>
        <v>331</v>
      </c>
      <c r="C919" s="89" t="s">
        <v>55</v>
      </c>
      <c r="D919" s="163">
        <v>1968</v>
      </c>
      <c r="E919" s="163"/>
      <c r="F919" s="168" t="s">
        <v>270</v>
      </c>
      <c r="G919" s="163">
        <v>2</v>
      </c>
      <c r="H919" s="163">
        <v>2</v>
      </c>
      <c r="I919" s="164">
        <v>822.2</v>
      </c>
      <c r="J919" s="164">
        <v>760.8</v>
      </c>
      <c r="K919" s="164">
        <v>760.8</v>
      </c>
      <c r="L919" s="165">
        <v>34</v>
      </c>
      <c r="M919" s="163" t="s">
        <v>268</v>
      </c>
      <c r="N919" s="163" t="s">
        <v>272</v>
      </c>
      <c r="O919" s="166" t="s">
        <v>277</v>
      </c>
      <c r="P919" s="167">
        <v>3274450.4</v>
      </c>
      <c r="Q919" s="167">
        <v>0</v>
      </c>
      <c r="R919" s="167">
        <v>0</v>
      </c>
      <c r="S919" s="167">
        <f>P919-Q919-R919</f>
        <v>3274450.4</v>
      </c>
      <c r="T919" s="167">
        <f t="shared" si="267"/>
        <v>3982.5473120895158</v>
      </c>
      <c r="U919" s="167">
        <v>4627.2042301143265</v>
      </c>
      <c r="V919" s="149">
        <f>U919-T919</f>
        <v>644.65691802481069</v>
      </c>
      <c r="W919" s="149">
        <f>X919+Y919+Z919+AA919+AB919+AD919+AF919+AH919+AJ919+AL919+AN919+AO919</f>
        <v>4627.2042301143265</v>
      </c>
      <c r="X919" s="149">
        <v>0</v>
      </c>
      <c r="Y919" s="368">
        <v>0</v>
      </c>
      <c r="Z919" s="368">
        <v>0</v>
      </c>
      <c r="AA919" s="368">
        <v>0</v>
      </c>
      <c r="AB919" s="368">
        <v>0</v>
      </c>
      <c r="AC919" s="368">
        <v>0</v>
      </c>
      <c r="AD919" s="368">
        <v>0</v>
      </c>
      <c r="AE919" s="368">
        <v>609.79999999999995</v>
      </c>
      <c r="AF919" s="396">
        <f>6238.91*AE919/I919</f>
        <v>4627.2042301143265</v>
      </c>
      <c r="AG919" s="368">
        <v>0</v>
      </c>
      <c r="AH919" s="396">
        <v>0</v>
      </c>
      <c r="AI919" s="368">
        <v>0</v>
      </c>
      <c r="AJ919" s="396">
        <v>0</v>
      </c>
      <c r="AK919" s="368">
        <v>0</v>
      </c>
      <c r="AL919" s="368">
        <v>0</v>
      </c>
      <c r="AM919" s="368">
        <v>0</v>
      </c>
      <c r="AN919" s="368"/>
      <c r="AO919" s="368">
        <v>0</v>
      </c>
    </row>
    <row r="920" spans="1:41" s="152" customFormat="1" ht="36" customHeight="1" x14ac:dyDescent="0.9">
      <c r="A920" s="152">
        <v>1</v>
      </c>
      <c r="B920" s="90">
        <f>SUBTOTAL(103,$A$554:A920)</f>
        <v>332</v>
      </c>
      <c r="C920" s="358" t="s">
        <v>1268</v>
      </c>
      <c r="D920" s="355">
        <v>1917</v>
      </c>
      <c r="E920" s="355"/>
      <c r="F920" s="357" t="s">
        <v>270</v>
      </c>
      <c r="G920" s="355">
        <v>2</v>
      </c>
      <c r="H920" s="355">
        <v>1</v>
      </c>
      <c r="I920" s="353">
        <v>609.5</v>
      </c>
      <c r="J920" s="353">
        <v>564.4</v>
      </c>
      <c r="K920" s="353">
        <v>202</v>
      </c>
      <c r="L920" s="356">
        <v>16</v>
      </c>
      <c r="M920" s="355" t="s">
        <v>268</v>
      </c>
      <c r="N920" s="355" t="s">
        <v>269</v>
      </c>
      <c r="O920" s="354" t="s">
        <v>271</v>
      </c>
      <c r="P920" s="353">
        <v>2521615.3599999999</v>
      </c>
      <c r="Q920" s="353">
        <v>0</v>
      </c>
      <c r="R920" s="353">
        <v>492144.32</v>
      </c>
      <c r="S920" s="353">
        <f>P920-Q920-R920</f>
        <v>2029471.0399999998</v>
      </c>
      <c r="T920" s="167">
        <f>P920/I920</f>
        <v>4137.1868088597212</v>
      </c>
      <c r="U920" s="167">
        <v>5238.8418999179648</v>
      </c>
      <c r="V920" s="149">
        <f>U920-T920</f>
        <v>1101.6550910582437</v>
      </c>
      <c r="W920" s="149">
        <f>X920+Y920+Z920+AA920+AB920+AD920+AF920+AH920+AJ920+AL920+AN920+AO920</f>
        <v>5238.8418999179648</v>
      </c>
      <c r="X920" s="149">
        <v>0</v>
      </c>
      <c r="Y920" s="368">
        <v>0</v>
      </c>
      <c r="Z920" s="368">
        <v>0</v>
      </c>
      <c r="AA920" s="368">
        <v>0</v>
      </c>
      <c r="AB920" s="368">
        <v>0</v>
      </c>
      <c r="AC920" s="368">
        <v>0</v>
      </c>
      <c r="AD920" s="368">
        <v>0</v>
      </c>
      <c r="AE920" s="368">
        <v>511.8</v>
      </c>
      <c r="AF920" s="396">
        <f>6238.91*AE920/I920</f>
        <v>5238.8418999179648</v>
      </c>
      <c r="AG920" s="368">
        <v>0</v>
      </c>
      <c r="AH920" s="396">
        <v>0</v>
      </c>
      <c r="AI920" s="368">
        <v>0</v>
      </c>
      <c r="AJ920" s="396">
        <v>0</v>
      </c>
      <c r="AK920" s="368">
        <v>0</v>
      </c>
      <c r="AL920" s="368">
        <v>0</v>
      </c>
      <c r="AM920" s="368">
        <v>0</v>
      </c>
      <c r="AN920" s="368"/>
      <c r="AO920" s="368">
        <v>0</v>
      </c>
    </row>
    <row r="921" spans="1:41" s="152" customFormat="1" ht="36" customHeight="1" x14ac:dyDescent="0.9">
      <c r="B921" s="382" t="s">
        <v>896</v>
      </c>
      <c r="C921" s="382"/>
      <c r="D921" s="384" t="s">
        <v>903</v>
      </c>
      <c r="E921" s="163" t="s">
        <v>903</v>
      </c>
      <c r="F921" s="384" t="s">
        <v>903</v>
      </c>
      <c r="G921" s="384" t="s">
        <v>903</v>
      </c>
      <c r="H921" s="163" t="s">
        <v>903</v>
      </c>
      <c r="I921" s="386">
        <f>I922</f>
        <v>783.2</v>
      </c>
      <c r="J921" s="164">
        <f>J922</f>
        <v>744.2</v>
      </c>
      <c r="K921" s="164">
        <f>K922</f>
        <v>744.2</v>
      </c>
      <c r="L921" s="165">
        <f>L922</f>
        <v>21</v>
      </c>
      <c r="M921" s="163" t="s">
        <v>903</v>
      </c>
      <c r="N921" s="163" t="s">
        <v>903</v>
      </c>
      <c r="O921" s="166" t="s">
        <v>903</v>
      </c>
      <c r="P921" s="387">
        <v>3707032</v>
      </c>
      <c r="Q921" s="167">
        <f>Q922</f>
        <v>0</v>
      </c>
      <c r="R921" s="167">
        <f>R922</f>
        <v>0</v>
      </c>
      <c r="S921" s="167">
        <f>S922</f>
        <v>3707032</v>
      </c>
      <c r="T921" s="387">
        <f t="shared" si="267"/>
        <v>4733.1869254341163</v>
      </c>
      <c r="U921" s="387">
        <f>U922</f>
        <v>4733.1869254341163</v>
      </c>
      <c r="V921" s="149">
        <f t="shared" si="285"/>
        <v>0</v>
      </c>
      <c r="W921" s="149"/>
      <c r="X921" s="149"/>
      <c r="Y921" s="368"/>
      <c r="Z921" s="368"/>
      <c r="AA921" s="368"/>
      <c r="AB921" s="368"/>
      <c r="AC921" s="368"/>
      <c r="AD921" s="368"/>
      <c r="AE921" s="368"/>
      <c r="AF921" s="368"/>
      <c r="AG921" s="368"/>
      <c r="AH921" s="368"/>
      <c r="AI921" s="368"/>
      <c r="AJ921" s="368"/>
      <c r="AK921" s="368"/>
      <c r="AL921" s="368"/>
      <c r="AM921" s="368"/>
      <c r="AN921" s="368"/>
      <c r="AO921" s="368"/>
    </row>
    <row r="922" spans="1:41" s="152" customFormat="1" ht="36" customHeight="1" x14ac:dyDescent="0.9">
      <c r="A922" s="152">
        <v>1</v>
      </c>
      <c r="B922" s="90">
        <f>SUBTOTAL(103,$A$554:A922)</f>
        <v>333</v>
      </c>
      <c r="C922" s="89" t="s">
        <v>1721</v>
      </c>
      <c r="D922" s="163">
        <v>1962</v>
      </c>
      <c r="E922" s="163"/>
      <c r="F922" s="168" t="s">
        <v>1722</v>
      </c>
      <c r="G922" s="163">
        <v>2</v>
      </c>
      <c r="H922" s="163">
        <v>4</v>
      </c>
      <c r="I922" s="164">
        <v>783.2</v>
      </c>
      <c r="J922" s="164">
        <v>744.2</v>
      </c>
      <c r="K922" s="164">
        <v>744.2</v>
      </c>
      <c r="L922" s="165">
        <v>21</v>
      </c>
      <c r="M922" s="163" t="s">
        <v>268</v>
      </c>
      <c r="N922" s="163" t="s">
        <v>269</v>
      </c>
      <c r="O922" s="166" t="s">
        <v>271</v>
      </c>
      <c r="P922" s="167">
        <v>3707032</v>
      </c>
      <c r="Q922" s="167">
        <v>0</v>
      </c>
      <c r="R922" s="167">
        <v>0</v>
      </c>
      <c r="S922" s="167">
        <f>P922-Q922-R922</f>
        <v>3707032</v>
      </c>
      <c r="T922" s="167">
        <f t="shared" si="267"/>
        <v>4733.1869254341163</v>
      </c>
      <c r="U922" s="167">
        <v>4733.1869254341163</v>
      </c>
      <c r="V922" s="149">
        <f>U922-T922</f>
        <v>0</v>
      </c>
      <c r="W922" s="149">
        <f>T922</f>
        <v>4733.1869254341163</v>
      </c>
      <c r="X922" s="149">
        <v>0</v>
      </c>
      <c r="Y922" s="368">
        <v>0</v>
      </c>
      <c r="Z922" s="368">
        <v>0</v>
      </c>
      <c r="AA922" s="368">
        <v>0</v>
      </c>
      <c r="AB922" s="368">
        <v>0</v>
      </c>
      <c r="AC922" s="368">
        <v>0</v>
      </c>
      <c r="AD922" s="368">
        <v>0</v>
      </c>
      <c r="AE922" s="368">
        <v>0</v>
      </c>
      <c r="AF922" s="396">
        <v>0</v>
      </c>
      <c r="AG922" s="368">
        <v>0</v>
      </c>
      <c r="AH922" s="396">
        <v>0</v>
      </c>
      <c r="AI922" s="368">
        <v>350</v>
      </c>
      <c r="AJ922" s="397">
        <f>7802.61*AI922/I922</f>
        <v>3486.8660623084779</v>
      </c>
      <c r="AK922" s="368">
        <v>0</v>
      </c>
      <c r="AL922" s="368">
        <v>0</v>
      </c>
      <c r="AM922" s="368">
        <v>0</v>
      </c>
      <c r="AN922" s="368"/>
      <c r="AO922" s="368">
        <v>0</v>
      </c>
    </row>
    <row r="923" spans="1:41" s="152" customFormat="1" ht="36" customHeight="1" x14ac:dyDescent="0.9">
      <c r="B923" s="382" t="s">
        <v>856</v>
      </c>
      <c r="C923" s="382"/>
      <c r="D923" s="384" t="s">
        <v>903</v>
      </c>
      <c r="E923" s="163" t="s">
        <v>903</v>
      </c>
      <c r="F923" s="384" t="s">
        <v>903</v>
      </c>
      <c r="G923" s="384" t="s">
        <v>903</v>
      </c>
      <c r="H923" s="163" t="s">
        <v>903</v>
      </c>
      <c r="I923" s="386">
        <f>I924+I925+I926</f>
        <v>5924.49</v>
      </c>
      <c r="J923" s="164">
        <f>J924+J925+J926</f>
        <v>4359.9000000000005</v>
      </c>
      <c r="K923" s="164">
        <f>K924+K925+K926</f>
        <v>4223.91</v>
      </c>
      <c r="L923" s="165">
        <f>L924+L925+L926</f>
        <v>259</v>
      </c>
      <c r="M923" s="163" t="s">
        <v>903</v>
      </c>
      <c r="N923" s="163" t="s">
        <v>903</v>
      </c>
      <c r="O923" s="166" t="s">
        <v>903</v>
      </c>
      <c r="P923" s="387">
        <v>12199052.439999999</v>
      </c>
      <c r="Q923" s="167">
        <f>SUM(Q924:Q926)</f>
        <v>0</v>
      </c>
      <c r="R923" s="167">
        <f>SUM(R924:R926)</f>
        <v>0</v>
      </c>
      <c r="S923" s="167">
        <f>SUM(S924:S926)</f>
        <v>12199052.439999999</v>
      </c>
      <c r="T923" s="387">
        <f t="shared" si="267"/>
        <v>2059.0890422635534</v>
      </c>
      <c r="U923" s="387">
        <f>MAX(U924:U926)</f>
        <v>6241.5226088777226</v>
      </c>
      <c r="V923" s="149">
        <f t="shared" si="285"/>
        <v>4182.4335666141687</v>
      </c>
      <c r="W923" s="149"/>
      <c r="X923" s="149"/>
      <c r="Y923" s="368"/>
      <c r="Z923" s="368"/>
      <c r="AA923" s="368"/>
      <c r="AB923" s="368"/>
      <c r="AC923" s="368"/>
      <c r="AD923" s="368"/>
      <c r="AE923" s="368"/>
      <c r="AF923" s="368"/>
      <c r="AG923" s="368"/>
      <c r="AH923" s="368"/>
      <c r="AI923" s="368"/>
      <c r="AJ923" s="368"/>
      <c r="AK923" s="368"/>
      <c r="AL923" s="368"/>
      <c r="AM923" s="368"/>
      <c r="AN923" s="368"/>
      <c r="AO923" s="368"/>
    </row>
    <row r="924" spans="1:41" s="152" customFormat="1" ht="36" customHeight="1" x14ac:dyDescent="0.9">
      <c r="A924" s="152">
        <v>1</v>
      </c>
      <c r="B924" s="90">
        <f>SUBTOTAL(103,$A$554:A924)</f>
        <v>334</v>
      </c>
      <c r="C924" s="89" t="s">
        <v>56</v>
      </c>
      <c r="D924" s="163">
        <v>1972</v>
      </c>
      <c r="E924" s="163"/>
      <c r="F924" s="168" t="s">
        <v>270</v>
      </c>
      <c r="G924" s="163">
        <v>5</v>
      </c>
      <c r="H924" s="163">
        <v>8</v>
      </c>
      <c r="I924" s="164">
        <v>4571.29</v>
      </c>
      <c r="J924" s="164">
        <v>3066.4</v>
      </c>
      <c r="K924" s="164">
        <v>2975.61</v>
      </c>
      <c r="L924" s="165">
        <v>203</v>
      </c>
      <c r="M924" s="163" t="s">
        <v>268</v>
      </c>
      <c r="N924" s="163" t="s">
        <v>272</v>
      </c>
      <c r="O924" s="166" t="s">
        <v>274</v>
      </c>
      <c r="P924" s="167">
        <v>4719977.0600000005</v>
      </c>
      <c r="Q924" s="167">
        <v>0</v>
      </c>
      <c r="R924" s="167">
        <v>0</v>
      </c>
      <c r="S924" s="167">
        <f>P924-Q924-R924</f>
        <v>4719977.0600000005</v>
      </c>
      <c r="T924" s="167">
        <f t="shared" si="267"/>
        <v>1032.5262803278727</v>
      </c>
      <c r="U924" s="167">
        <v>3444.64</v>
      </c>
      <c r="V924" s="149">
        <f t="shared" si="285"/>
        <v>2412.1137196721274</v>
      </c>
      <c r="W924" s="149">
        <f t="shared" ref="W924:W926" si="286">X924+Y924+Z924+AA924+AB924+AD924+AF924+AH924+AJ924+AL924+AN924+AO924</f>
        <v>3444.64</v>
      </c>
      <c r="X924" s="149">
        <v>0</v>
      </c>
      <c r="Y924" s="368">
        <v>0</v>
      </c>
      <c r="Z924" s="368">
        <v>3259.66</v>
      </c>
      <c r="AA924" s="368">
        <v>184.98</v>
      </c>
      <c r="AB924" s="368">
        <v>0</v>
      </c>
      <c r="AC924" s="368">
        <v>0</v>
      </c>
      <c r="AD924" s="368">
        <v>0</v>
      </c>
      <c r="AE924" s="368">
        <v>0</v>
      </c>
      <c r="AF924" s="396">
        <v>0</v>
      </c>
      <c r="AG924" s="368">
        <v>0</v>
      </c>
      <c r="AH924" s="396">
        <v>0</v>
      </c>
      <c r="AI924" s="368">
        <v>0</v>
      </c>
      <c r="AJ924" s="396">
        <v>0</v>
      </c>
      <c r="AK924" s="368">
        <v>0</v>
      </c>
      <c r="AL924" s="368">
        <v>0</v>
      </c>
      <c r="AM924" s="368">
        <v>0</v>
      </c>
      <c r="AN924" s="368"/>
      <c r="AO924" s="368">
        <v>0</v>
      </c>
    </row>
    <row r="925" spans="1:41" s="152" customFormat="1" ht="36" customHeight="1" x14ac:dyDescent="0.9">
      <c r="A925" s="152">
        <v>1</v>
      </c>
      <c r="B925" s="90">
        <f>SUBTOTAL(103,$A$554:A925)</f>
        <v>335</v>
      </c>
      <c r="C925" s="89" t="s">
        <v>46</v>
      </c>
      <c r="D925" s="163">
        <v>1972</v>
      </c>
      <c r="E925" s="163"/>
      <c r="F925" s="168" t="s">
        <v>270</v>
      </c>
      <c r="G925" s="163">
        <v>2</v>
      </c>
      <c r="H925" s="163">
        <v>2</v>
      </c>
      <c r="I925" s="164">
        <v>716.4</v>
      </c>
      <c r="J925" s="164">
        <v>656.7</v>
      </c>
      <c r="K925" s="164">
        <v>656.7</v>
      </c>
      <c r="L925" s="165">
        <v>29</v>
      </c>
      <c r="M925" s="163" t="s">
        <v>268</v>
      </c>
      <c r="N925" s="163" t="s">
        <v>272</v>
      </c>
      <c r="O925" s="166" t="s">
        <v>274</v>
      </c>
      <c r="P925" s="167">
        <v>3947511.93</v>
      </c>
      <c r="Q925" s="167">
        <v>0</v>
      </c>
      <c r="R925" s="167">
        <v>0</v>
      </c>
      <c r="S925" s="167">
        <f>P925-Q925-R925</f>
        <v>3947511.93</v>
      </c>
      <c r="T925" s="167">
        <f t="shared" si="267"/>
        <v>5510.20649078727</v>
      </c>
      <c r="U925" s="167">
        <v>6241.5226088777226</v>
      </c>
      <c r="V925" s="149">
        <f t="shared" si="285"/>
        <v>731.31611809045262</v>
      </c>
      <c r="W925" s="149">
        <f t="shared" si="286"/>
        <v>6241.5226088777226</v>
      </c>
      <c r="X925" s="149">
        <v>0</v>
      </c>
      <c r="Y925" s="368">
        <v>0</v>
      </c>
      <c r="Z925" s="368">
        <v>0</v>
      </c>
      <c r="AA925" s="368">
        <v>0</v>
      </c>
      <c r="AB925" s="368">
        <v>0</v>
      </c>
      <c r="AC925" s="368">
        <v>0</v>
      </c>
      <c r="AD925" s="368">
        <v>0</v>
      </c>
      <c r="AE925" s="368">
        <v>716.7</v>
      </c>
      <c r="AF925" s="396">
        <f t="shared" ref="AF925:AF926" si="287">6238.91*AE925/I925</f>
        <v>6241.5226088777226</v>
      </c>
      <c r="AG925" s="368">
        <v>0</v>
      </c>
      <c r="AH925" s="396">
        <v>0</v>
      </c>
      <c r="AI925" s="368">
        <v>0</v>
      </c>
      <c r="AJ925" s="396">
        <v>0</v>
      </c>
      <c r="AK925" s="368">
        <v>0</v>
      </c>
      <c r="AL925" s="368">
        <v>0</v>
      </c>
      <c r="AM925" s="368">
        <v>0</v>
      </c>
      <c r="AN925" s="368"/>
      <c r="AO925" s="368">
        <v>0</v>
      </c>
    </row>
    <row r="926" spans="1:41" s="152" customFormat="1" ht="36" customHeight="1" x14ac:dyDescent="0.9">
      <c r="A926" s="152">
        <v>1</v>
      </c>
      <c r="B926" s="90">
        <f>SUBTOTAL(103,$A$554:A926)</f>
        <v>336</v>
      </c>
      <c r="C926" s="89" t="s">
        <v>1620</v>
      </c>
      <c r="D926" s="163">
        <v>1963</v>
      </c>
      <c r="E926" s="163"/>
      <c r="F926" s="168" t="s">
        <v>270</v>
      </c>
      <c r="G926" s="163">
        <v>2</v>
      </c>
      <c r="H926" s="163">
        <v>2</v>
      </c>
      <c r="I926" s="167">
        <v>636.79999999999995</v>
      </c>
      <c r="J926" s="167">
        <v>636.79999999999995</v>
      </c>
      <c r="K926" s="167">
        <f>636.8-45.2</f>
        <v>591.59999999999991</v>
      </c>
      <c r="L926" s="165">
        <v>27</v>
      </c>
      <c r="M926" s="163" t="s">
        <v>268</v>
      </c>
      <c r="N926" s="163" t="s">
        <v>269</v>
      </c>
      <c r="O926" s="166" t="s">
        <v>271</v>
      </c>
      <c r="P926" s="167">
        <v>3531563.4499999997</v>
      </c>
      <c r="Q926" s="167">
        <v>0</v>
      </c>
      <c r="R926" s="167">
        <v>0</v>
      </c>
      <c r="S926" s="167">
        <f>P926-Q926-R926</f>
        <v>3531563.4499999997</v>
      </c>
      <c r="T926" s="167">
        <f t="shared" si="267"/>
        <v>5545.796875</v>
      </c>
      <c r="U926" s="167">
        <v>5994.9576460427133</v>
      </c>
      <c r="V926" s="149">
        <f t="shared" si="285"/>
        <v>449.16077104271335</v>
      </c>
      <c r="W926" s="149">
        <f t="shared" si="286"/>
        <v>5994.9576460427133</v>
      </c>
      <c r="X926" s="149">
        <v>0</v>
      </c>
      <c r="Y926" s="368">
        <v>0</v>
      </c>
      <c r="Z926" s="368">
        <v>0</v>
      </c>
      <c r="AA926" s="368">
        <v>0</v>
      </c>
      <c r="AB926" s="368">
        <v>0</v>
      </c>
      <c r="AC926" s="368">
        <v>0</v>
      </c>
      <c r="AD926" s="368">
        <v>0</v>
      </c>
      <c r="AE926" s="368">
        <v>611.9</v>
      </c>
      <c r="AF926" s="396">
        <f t="shared" si="287"/>
        <v>5994.9576460427133</v>
      </c>
      <c r="AG926" s="368">
        <v>0</v>
      </c>
      <c r="AH926" s="396">
        <v>0</v>
      </c>
      <c r="AI926" s="368">
        <v>0</v>
      </c>
      <c r="AJ926" s="396">
        <v>0</v>
      </c>
      <c r="AK926" s="368">
        <v>0</v>
      </c>
      <c r="AL926" s="368">
        <v>0</v>
      </c>
      <c r="AM926" s="368">
        <v>0</v>
      </c>
      <c r="AN926" s="368"/>
      <c r="AO926" s="368">
        <v>0</v>
      </c>
    </row>
    <row r="927" spans="1:41" s="152" customFormat="1" ht="36" customHeight="1" x14ac:dyDescent="0.9">
      <c r="B927" s="382" t="s">
        <v>857</v>
      </c>
      <c r="C927" s="382"/>
      <c r="D927" s="384" t="s">
        <v>903</v>
      </c>
      <c r="E927" s="163" t="s">
        <v>903</v>
      </c>
      <c r="F927" s="384" t="s">
        <v>903</v>
      </c>
      <c r="G927" s="384" t="s">
        <v>903</v>
      </c>
      <c r="H927" s="163" t="s">
        <v>903</v>
      </c>
      <c r="I927" s="386">
        <f>SUM(I928:I930)</f>
        <v>8998.25</v>
      </c>
      <c r="J927" s="164">
        <f>SUM(J928:J930)</f>
        <v>6731.0000000000009</v>
      </c>
      <c r="K927" s="164">
        <f>SUM(K928:K930)</f>
        <v>6353.68</v>
      </c>
      <c r="L927" s="165">
        <f>SUM(L928:L930)</f>
        <v>261</v>
      </c>
      <c r="M927" s="163" t="s">
        <v>903</v>
      </c>
      <c r="N927" s="163" t="s">
        <v>903</v>
      </c>
      <c r="O927" s="166" t="s">
        <v>903</v>
      </c>
      <c r="P927" s="387">
        <v>11675176.630000001</v>
      </c>
      <c r="Q927" s="167">
        <f>SUM(Q928:Q930)</f>
        <v>0</v>
      </c>
      <c r="R927" s="167">
        <f>SUM(R928:R930)</f>
        <v>0</v>
      </c>
      <c r="S927" s="167">
        <f>SUM(S928:S930)</f>
        <v>11675176.630000001</v>
      </c>
      <c r="T927" s="387">
        <f t="shared" si="267"/>
        <v>1297.4941383046705</v>
      </c>
      <c r="U927" s="387">
        <f>MAX(U928:U930)</f>
        <v>5103.5981462585041</v>
      </c>
      <c r="V927" s="149">
        <f t="shared" si="285"/>
        <v>3806.1040079538334</v>
      </c>
      <c r="W927" s="149"/>
      <c r="X927" s="149"/>
      <c r="Y927" s="368"/>
      <c r="Z927" s="368"/>
      <c r="AA927" s="368"/>
      <c r="AB927" s="368"/>
      <c r="AC927" s="368"/>
      <c r="AD927" s="368"/>
      <c r="AE927" s="368"/>
      <c r="AF927" s="368"/>
      <c r="AG927" s="368"/>
      <c r="AH927" s="368"/>
      <c r="AI927" s="368"/>
      <c r="AJ927" s="368"/>
      <c r="AK927" s="368"/>
      <c r="AL927" s="368"/>
      <c r="AM927" s="368"/>
      <c r="AN927" s="368"/>
      <c r="AO927" s="368"/>
    </row>
    <row r="928" spans="1:41" s="152" customFormat="1" ht="36" customHeight="1" x14ac:dyDescent="0.9">
      <c r="A928" s="152">
        <v>1</v>
      </c>
      <c r="B928" s="90">
        <f>SUBTOTAL(103,$A$554:A928)</f>
        <v>337</v>
      </c>
      <c r="C928" s="89" t="s">
        <v>54</v>
      </c>
      <c r="D928" s="163">
        <v>1989</v>
      </c>
      <c r="E928" s="163"/>
      <c r="F928" s="168" t="s">
        <v>270</v>
      </c>
      <c r="G928" s="163">
        <v>5</v>
      </c>
      <c r="H928" s="163">
        <v>6</v>
      </c>
      <c r="I928" s="164">
        <v>5889.36</v>
      </c>
      <c r="J928" s="164">
        <v>4270.6000000000004</v>
      </c>
      <c r="K928" s="164">
        <v>4123.1000000000004</v>
      </c>
      <c r="L928" s="165">
        <v>172</v>
      </c>
      <c r="M928" s="163" t="s">
        <v>268</v>
      </c>
      <c r="N928" s="163" t="s">
        <v>272</v>
      </c>
      <c r="O928" s="166" t="s">
        <v>275</v>
      </c>
      <c r="P928" s="167">
        <v>7814727.5099999998</v>
      </c>
      <c r="Q928" s="167">
        <v>0</v>
      </c>
      <c r="R928" s="167">
        <v>0</v>
      </c>
      <c r="S928" s="167">
        <f>P928-Q928-R928</f>
        <v>7814727.5099999998</v>
      </c>
      <c r="T928" s="167">
        <f t="shared" si="267"/>
        <v>1326.9230459676435</v>
      </c>
      <c r="U928" s="167">
        <v>1768.2716920004891</v>
      </c>
      <c r="V928" s="149">
        <f t="shared" si="285"/>
        <v>441.34864603284564</v>
      </c>
      <c r="W928" s="149">
        <f t="shared" ref="W928:W929" si="288">X928+Y928+Z928+AA928+AB928+AD928+AF928+AH928+AJ928+AL928+AN928+AO928</f>
        <v>1768.2716920004891</v>
      </c>
      <c r="X928" s="149">
        <v>0</v>
      </c>
      <c r="Y928" s="368">
        <v>0</v>
      </c>
      <c r="Z928" s="368">
        <v>0</v>
      </c>
      <c r="AA928" s="368">
        <v>0</v>
      </c>
      <c r="AB928" s="368">
        <v>0</v>
      </c>
      <c r="AC928" s="368">
        <v>0</v>
      </c>
      <c r="AD928" s="368">
        <v>0</v>
      </c>
      <c r="AE928" s="368">
        <v>1669.2</v>
      </c>
      <c r="AF928" s="396">
        <f t="shared" ref="AF928:AF929" si="289">6238.91*AE928/I928</f>
        <v>1768.2716920004891</v>
      </c>
      <c r="AG928" s="368">
        <v>0</v>
      </c>
      <c r="AH928" s="396">
        <v>0</v>
      </c>
      <c r="AI928" s="368">
        <v>0</v>
      </c>
      <c r="AJ928" s="396">
        <v>0</v>
      </c>
      <c r="AK928" s="368">
        <v>0</v>
      </c>
      <c r="AL928" s="368">
        <v>0</v>
      </c>
      <c r="AM928" s="368">
        <v>0</v>
      </c>
      <c r="AN928" s="368"/>
      <c r="AO928" s="368">
        <v>0</v>
      </c>
    </row>
    <row r="929" spans="1:41" s="152" customFormat="1" ht="36" customHeight="1" x14ac:dyDescent="0.9">
      <c r="A929" s="152">
        <v>1</v>
      </c>
      <c r="B929" s="90">
        <f>SUBTOTAL(103,$A$554:A929)</f>
        <v>338</v>
      </c>
      <c r="C929" s="89" t="s">
        <v>1708</v>
      </c>
      <c r="D929" s="163">
        <v>1958</v>
      </c>
      <c r="E929" s="163"/>
      <c r="F929" s="168" t="s">
        <v>270</v>
      </c>
      <c r="G929" s="163">
        <v>2</v>
      </c>
      <c r="H929" s="163">
        <v>2</v>
      </c>
      <c r="I929" s="164">
        <v>705.6</v>
      </c>
      <c r="J929" s="164">
        <v>704.01</v>
      </c>
      <c r="K929" s="164">
        <v>474.19</v>
      </c>
      <c r="L929" s="165">
        <v>11</v>
      </c>
      <c r="M929" s="163" t="s">
        <v>268</v>
      </c>
      <c r="N929" s="163" t="s">
        <v>272</v>
      </c>
      <c r="O929" s="166" t="s">
        <v>275</v>
      </c>
      <c r="P929" s="167">
        <v>3224616.45</v>
      </c>
      <c r="Q929" s="167">
        <v>0</v>
      </c>
      <c r="R929" s="167">
        <v>0</v>
      </c>
      <c r="S929" s="167">
        <f>P929-Q929-R929</f>
        <v>3224616.45</v>
      </c>
      <c r="T929" s="167">
        <f t="shared" si="267"/>
        <v>4570.0346513605446</v>
      </c>
      <c r="U929" s="167">
        <v>5103.5981462585041</v>
      </c>
      <c r="V929" s="149">
        <f t="shared" si="285"/>
        <v>533.56349489795957</v>
      </c>
      <c r="W929" s="149">
        <f t="shared" si="288"/>
        <v>5103.5981462585041</v>
      </c>
      <c r="X929" s="149">
        <v>0</v>
      </c>
      <c r="Y929" s="368">
        <v>0</v>
      </c>
      <c r="Z929" s="368">
        <v>0</v>
      </c>
      <c r="AA929" s="368">
        <v>0</v>
      </c>
      <c r="AB929" s="368">
        <v>0</v>
      </c>
      <c r="AC929" s="368">
        <v>0</v>
      </c>
      <c r="AD929" s="368">
        <v>0</v>
      </c>
      <c r="AE929" s="368">
        <v>577.20000000000005</v>
      </c>
      <c r="AF929" s="396">
        <f t="shared" si="289"/>
        <v>5103.5981462585041</v>
      </c>
      <c r="AG929" s="368">
        <v>0</v>
      </c>
      <c r="AH929" s="396">
        <v>0</v>
      </c>
      <c r="AI929" s="368">
        <v>0</v>
      </c>
      <c r="AJ929" s="396">
        <v>0</v>
      </c>
      <c r="AK929" s="368">
        <v>0</v>
      </c>
      <c r="AL929" s="368">
        <v>0</v>
      </c>
      <c r="AM929" s="368">
        <v>0</v>
      </c>
      <c r="AN929" s="368"/>
      <c r="AO929" s="368">
        <v>0</v>
      </c>
    </row>
    <row r="930" spans="1:41" s="152" customFormat="1" ht="36" customHeight="1" x14ac:dyDescent="0.9">
      <c r="A930" s="152">
        <v>1</v>
      </c>
      <c r="B930" s="90">
        <f>SUBTOTAL(103,$A$554:A930)</f>
        <v>339</v>
      </c>
      <c r="C930" s="89" t="s">
        <v>1265</v>
      </c>
      <c r="D930" s="163">
        <v>1974</v>
      </c>
      <c r="E930" s="163"/>
      <c r="F930" s="168" t="s">
        <v>270</v>
      </c>
      <c r="G930" s="163">
        <v>5</v>
      </c>
      <c r="H930" s="163">
        <v>2</v>
      </c>
      <c r="I930" s="167">
        <v>2403.29</v>
      </c>
      <c r="J930" s="167">
        <v>1756.39</v>
      </c>
      <c r="K930" s="167">
        <v>1756.39</v>
      </c>
      <c r="L930" s="165">
        <v>78</v>
      </c>
      <c r="M930" s="163" t="s">
        <v>268</v>
      </c>
      <c r="N930" s="163" t="s">
        <v>272</v>
      </c>
      <c r="O930" s="166" t="s">
        <v>275</v>
      </c>
      <c r="P930" s="167">
        <v>635832.67000000004</v>
      </c>
      <c r="Q930" s="167">
        <v>0</v>
      </c>
      <c r="R930" s="167">
        <v>0</v>
      </c>
      <c r="S930" s="167">
        <f>P930-Q930-R930</f>
        <v>635832.67000000004</v>
      </c>
      <c r="T930" s="167">
        <f t="shared" si="267"/>
        <v>264.56760108018591</v>
      </c>
      <c r="U930" s="167">
        <v>264.56760108018591</v>
      </c>
      <c r="V930" s="149">
        <f t="shared" si="285"/>
        <v>0</v>
      </c>
      <c r="W930" s="149">
        <f>T930</f>
        <v>264.56760108018591</v>
      </c>
      <c r="X930" s="149">
        <v>0</v>
      </c>
      <c r="Y930" s="368">
        <v>0</v>
      </c>
      <c r="Z930" s="368">
        <v>0</v>
      </c>
      <c r="AA930" s="368">
        <v>184.98</v>
      </c>
      <c r="AB930" s="368">
        <v>0</v>
      </c>
      <c r="AC930" s="368">
        <v>0</v>
      </c>
      <c r="AD930" s="368">
        <v>0</v>
      </c>
      <c r="AE930" s="368">
        <v>0</v>
      </c>
      <c r="AF930" s="396">
        <v>0</v>
      </c>
      <c r="AG930" s="368">
        <v>0</v>
      </c>
      <c r="AH930" s="396">
        <v>0</v>
      </c>
      <c r="AI930" s="368">
        <v>0</v>
      </c>
      <c r="AJ930" s="396">
        <v>0</v>
      </c>
      <c r="AK930" s="368">
        <v>0</v>
      </c>
      <c r="AL930" s="368">
        <v>0</v>
      </c>
      <c r="AM930" s="368">
        <v>0</v>
      </c>
      <c r="AN930" s="368"/>
      <c r="AO930" s="368">
        <v>0</v>
      </c>
    </row>
    <row r="931" spans="1:41" s="152" customFormat="1" ht="36" customHeight="1" x14ac:dyDescent="0.9">
      <c r="B931" s="382" t="s">
        <v>858</v>
      </c>
      <c r="C931" s="382"/>
      <c r="D931" s="384" t="s">
        <v>903</v>
      </c>
      <c r="E931" s="163" t="s">
        <v>903</v>
      </c>
      <c r="F931" s="384" t="s">
        <v>903</v>
      </c>
      <c r="G931" s="384" t="s">
        <v>903</v>
      </c>
      <c r="H931" s="163" t="s">
        <v>903</v>
      </c>
      <c r="I931" s="386">
        <f>I932</f>
        <v>485.3</v>
      </c>
      <c r="J931" s="164">
        <f>J932</f>
        <v>441.3</v>
      </c>
      <c r="K931" s="164">
        <f>K932</f>
        <v>441.3</v>
      </c>
      <c r="L931" s="165">
        <f>L932</f>
        <v>24</v>
      </c>
      <c r="M931" s="163" t="s">
        <v>903</v>
      </c>
      <c r="N931" s="163" t="s">
        <v>903</v>
      </c>
      <c r="O931" s="166" t="s">
        <v>903</v>
      </c>
      <c r="P931" s="387">
        <v>2311215.4500000002</v>
      </c>
      <c r="Q931" s="167">
        <f>Q932</f>
        <v>0</v>
      </c>
      <c r="R931" s="167">
        <f>R932</f>
        <v>0</v>
      </c>
      <c r="S931" s="167">
        <f>S932</f>
        <v>2311215.4500000002</v>
      </c>
      <c r="T931" s="387">
        <f t="shared" si="267"/>
        <v>4762.4468370080367</v>
      </c>
      <c r="U931" s="387">
        <f>U932</f>
        <v>5707.9662888934681</v>
      </c>
      <c r="V931" s="149">
        <f t="shared" si="285"/>
        <v>945.51945188543141</v>
      </c>
      <c r="W931" s="149"/>
      <c r="X931" s="149"/>
      <c r="Y931" s="368"/>
      <c r="Z931" s="368"/>
      <c r="AA931" s="368"/>
      <c r="AB931" s="368"/>
      <c r="AC931" s="368"/>
      <c r="AD931" s="368"/>
      <c r="AE931" s="368"/>
      <c r="AF931" s="368"/>
      <c r="AG931" s="368"/>
      <c r="AH931" s="368"/>
      <c r="AI931" s="368"/>
      <c r="AJ931" s="368"/>
      <c r="AK931" s="368"/>
      <c r="AL931" s="368"/>
      <c r="AM931" s="368"/>
      <c r="AN931" s="368"/>
      <c r="AO931" s="368"/>
    </row>
    <row r="932" spans="1:41" s="152" customFormat="1" ht="36" customHeight="1" x14ac:dyDescent="0.9">
      <c r="A932" s="152">
        <v>1</v>
      </c>
      <c r="B932" s="90">
        <f>SUBTOTAL(103,$A$554:A932)</f>
        <v>340</v>
      </c>
      <c r="C932" s="89" t="s">
        <v>53</v>
      </c>
      <c r="D932" s="163">
        <v>1952</v>
      </c>
      <c r="E932" s="163"/>
      <c r="F932" s="168" t="s">
        <v>270</v>
      </c>
      <c r="G932" s="163">
        <v>2</v>
      </c>
      <c r="H932" s="163">
        <v>2</v>
      </c>
      <c r="I932" s="164">
        <v>485.3</v>
      </c>
      <c r="J932" s="164">
        <v>441.3</v>
      </c>
      <c r="K932" s="164">
        <v>441.3</v>
      </c>
      <c r="L932" s="165">
        <v>24</v>
      </c>
      <c r="M932" s="163" t="s">
        <v>268</v>
      </c>
      <c r="N932" s="163" t="s">
        <v>272</v>
      </c>
      <c r="O932" s="166" t="s">
        <v>276</v>
      </c>
      <c r="P932" s="167">
        <v>2311215.4500000002</v>
      </c>
      <c r="Q932" s="167">
        <v>0</v>
      </c>
      <c r="R932" s="167">
        <v>0</v>
      </c>
      <c r="S932" s="167">
        <f>P932-Q932-R932</f>
        <v>2311215.4500000002</v>
      </c>
      <c r="T932" s="167">
        <f t="shared" si="267"/>
        <v>4762.4468370080367</v>
      </c>
      <c r="U932" s="167">
        <v>5707.9662888934681</v>
      </c>
      <c r="V932" s="149">
        <f>U932-T932</f>
        <v>945.51945188543141</v>
      </c>
      <c r="W932" s="149">
        <f>X932+Y932+Z932+AA932+AB932+AD932+AF932+AH932+AJ932+AL932+AN932+AO932</f>
        <v>5707.9662888934681</v>
      </c>
      <c r="X932" s="149">
        <v>0</v>
      </c>
      <c r="Y932" s="368">
        <v>0</v>
      </c>
      <c r="Z932" s="368">
        <v>0</v>
      </c>
      <c r="AA932" s="368">
        <v>0</v>
      </c>
      <c r="AB932" s="368">
        <v>0</v>
      </c>
      <c r="AC932" s="368">
        <v>0</v>
      </c>
      <c r="AD932" s="368">
        <v>0</v>
      </c>
      <c r="AE932" s="368">
        <v>444</v>
      </c>
      <c r="AF932" s="396">
        <f>6238.91*AE932/I932</f>
        <v>5707.9662888934681</v>
      </c>
      <c r="AG932" s="368">
        <v>0</v>
      </c>
      <c r="AH932" s="396">
        <v>0</v>
      </c>
      <c r="AI932" s="368">
        <v>0</v>
      </c>
      <c r="AJ932" s="396">
        <v>0</v>
      </c>
      <c r="AK932" s="368">
        <v>0</v>
      </c>
      <c r="AL932" s="368">
        <v>0</v>
      </c>
      <c r="AM932" s="368">
        <v>0</v>
      </c>
      <c r="AN932" s="368"/>
      <c r="AO932" s="368">
        <v>0</v>
      </c>
    </row>
    <row r="933" spans="1:41" s="152" customFormat="1" ht="36" customHeight="1" x14ac:dyDescent="0.9">
      <c r="B933" s="382" t="s">
        <v>859</v>
      </c>
      <c r="C933" s="382"/>
      <c r="D933" s="384" t="s">
        <v>903</v>
      </c>
      <c r="E933" s="163" t="s">
        <v>903</v>
      </c>
      <c r="F933" s="384" t="s">
        <v>903</v>
      </c>
      <c r="G933" s="384" t="s">
        <v>903</v>
      </c>
      <c r="H933" s="163" t="s">
        <v>903</v>
      </c>
      <c r="I933" s="386">
        <f>SUM(I934:I938)</f>
        <v>4891.9000000000005</v>
      </c>
      <c r="J933" s="164">
        <f t="shared" ref="J933:L933" si="290">SUM(J934:J938)</f>
        <v>4511.3200000000006</v>
      </c>
      <c r="K933" s="164">
        <f t="shared" si="290"/>
        <v>4393.6699999999992</v>
      </c>
      <c r="L933" s="165">
        <f t="shared" si="290"/>
        <v>172</v>
      </c>
      <c r="M933" s="163" t="s">
        <v>903</v>
      </c>
      <c r="N933" s="163" t="s">
        <v>903</v>
      </c>
      <c r="O933" s="166" t="s">
        <v>903</v>
      </c>
      <c r="P933" s="387">
        <v>16487311.32</v>
      </c>
      <c r="Q933" s="167">
        <f t="shared" ref="Q933:S933" si="291">SUM(Q934:Q938)</f>
        <v>0</v>
      </c>
      <c r="R933" s="167">
        <f t="shared" si="291"/>
        <v>0</v>
      </c>
      <c r="S933" s="167">
        <f t="shared" si="291"/>
        <v>16487311.32</v>
      </c>
      <c r="T933" s="387">
        <f t="shared" si="267"/>
        <v>3370.3287720517587</v>
      </c>
      <c r="U933" s="387">
        <f>MAX(U934:U938)</f>
        <v>6976.754659437478</v>
      </c>
      <c r="V933" s="149">
        <f t="shared" si="285"/>
        <v>3606.4258873857193</v>
      </c>
      <c r="W933" s="149"/>
      <c r="X933" s="149"/>
      <c r="Y933" s="368"/>
      <c r="Z933" s="368"/>
      <c r="AA933" s="368"/>
      <c r="AB933" s="368"/>
      <c r="AC933" s="368"/>
      <c r="AD933" s="368"/>
      <c r="AE933" s="368"/>
      <c r="AF933" s="368"/>
      <c r="AG933" s="368"/>
      <c r="AH933" s="368"/>
      <c r="AI933" s="368"/>
      <c r="AJ933" s="368"/>
      <c r="AK933" s="368"/>
      <c r="AL933" s="368"/>
      <c r="AM933" s="368"/>
      <c r="AN933" s="368"/>
      <c r="AO933" s="368"/>
    </row>
    <row r="934" spans="1:41" s="152" customFormat="1" ht="36" customHeight="1" x14ac:dyDescent="0.9">
      <c r="A934" s="152">
        <v>1</v>
      </c>
      <c r="B934" s="90">
        <f>SUBTOTAL(103,$A$554:A934)</f>
        <v>341</v>
      </c>
      <c r="C934" s="89" t="s">
        <v>60</v>
      </c>
      <c r="D934" s="163">
        <v>1970</v>
      </c>
      <c r="E934" s="163"/>
      <c r="F934" s="168" t="s">
        <v>270</v>
      </c>
      <c r="G934" s="163">
        <v>5</v>
      </c>
      <c r="H934" s="163">
        <v>2</v>
      </c>
      <c r="I934" s="164">
        <v>2323.8000000000002</v>
      </c>
      <c r="J934" s="164">
        <v>2172.1400000000003</v>
      </c>
      <c r="K934" s="164">
        <v>2094.89</v>
      </c>
      <c r="L934" s="165">
        <v>51</v>
      </c>
      <c r="M934" s="163" t="s">
        <v>268</v>
      </c>
      <c r="N934" s="163" t="s">
        <v>272</v>
      </c>
      <c r="O934" s="166" t="s">
        <v>278</v>
      </c>
      <c r="P934" s="167">
        <v>3462053.4</v>
      </c>
      <c r="Q934" s="167">
        <v>0</v>
      </c>
      <c r="R934" s="167">
        <v>0</v>
      </c>
      <c r="S934" s="167">
        <f>P934-Q934-R934</f>
        <v>3462053.4</v>
      </c>
      <c r="T934" s="167">
        <f t="shared" si="267"/>
        <v>1489.8241673121609</v>
      </c>
      <c r="U934" s="167">
        <v>1780.0143428866511</v>
      </c>
      <c r="V934" s="149">
        <f t="shared" si="285"/>
        <v>290.19017557449024</v>
      </c>
      <c r="W934" s="149">
        <f t="shared" ref="W934:W938" si="292">X934+Y934+Z934+AA934+AB934+AD934+AF934+AH934+AJ934+AL934+AN934+AO934</f>
        <v>1780.0143428866511</v>
      </c>
      <c r="X934" s="149">
        <v>0</v>
      </c>
      <c r="Y934" s="368">
        <v>0</v>
      </c>
      <c r="Z934" s="368">
        <v>0</v>
      </c>
      <c r="AA934" s="368">
        <v>0</v>
      </c>
      <c r="AB934" s="368">
        <v>0</v>
      </c>
      <c r="AC934" s="368">
        <v>0</v>
      </c>
      <c r="AD934" s="368">
        <v>0</v>
      </c>
      <c r="AE934" s="368">
        <v>663</v>
      </c>
      <c r="AF934" s="396">
        <f t="shared" ref="AF934:AF938" si="293">6238.91*AE934/I934</f>
        <v>1780.0143428866511</v>
      </c>
      <c r="AG934" s="368">
        <v>0</v>
      </c>
      <c r="AH934" s="396">
        <v>0</v>
      </c>
      <c r="AI934" s="368">
        <v>0</v>
      </c>
      <c r="AJ934" s="396">
        <v>0</v>
      </c>
      <c r="AK934" s="368">
        <v>0</v>
      </c>
      <c r="AL934" s="368">
        <v>0</v>
      </c>
      <c r="AM934" s="368">
        <v>0</v>
      </c>
      <c r="AN934" s="368"/>
      <c r="AO934" s="368">
        <v>0</v>
      </c>
    </row>
    <row r="935" spans="1:41" s="152" customFormat="1" ht="36" customHeight="1" x14ac:dyDescent="0.9">
      <c r="A935" s="152">
        <v>1</v>
      </c>
      <c r="B935" s="90">
        <f>SUBTOTAL(103,$A$554:A935)</f>
        <v>342</v>
      </c>
      <c r="C935" s="89" t="s">
        <v>61</v>
      </c>
      <c r="D935" s="163">
        <v>1972</v>
      </c>
      <c r="E935" s="163"/>
      <c r="F935" s="168" t="s">
        <v>270</v>
      </c>
      <c r="G935" s="163">
        <v>2</v>
      </c>
      <c r="H935" s="163">
        <v>2</v>
      </c>
      <c r="I935" s="164">
        <v>590.20000000000005</v>
      </c>
      <c r="J935" s="164">
        <v>529.80000000000007</v>
      </c>
      <c r="K935" s="164">
        <v>529.79999999999995</v>
      </c>
      <c r="L935" s="165">
        <v>31</v>
      </c>
      <c r="M935" s="163" t="s">
        <v>268</v>
      </c>
      <c r="N935" s="163" t="s">
        <v>269</v>
      </c>
      <c r="O935" s="166" t="s">
        <v>271</v>
      </c>
      <c r="P935" s="167">
        <v>3446388</v>
      </c>
      <c r="Q935" s="167">
        <v>0</v>
      </c>
      <c r="R935" s="167">
        <v>0</v>
      </c>
      <c r="S935" s="167">
        <f>P935-Q935-R935</f>
        <v>3446388</v>
      </c>
      <c r="T935" s="167">
        <f t="shared" si="267"/>
        <v>5839.3561504574718</v>
      </c>
      <c r="U935" s="167">
        <v>6976.754659437478</v>
      </c>
      <c r="V935" s="149">
        <f t="shared" si="285"/>
        <v>1137.3985089800062</v>
      </c>
      <c r="W935" s="149">
        <f t="shared" si="292"/>
        <v>6976.754659437478</v>
      </c>
      <c r="X935" s="149">
        <v>0</v>
      </c>
      <c r="Y935" s="368">
        <v>0</v>
      </c>
      <c r="Z935" s="368">
        <v>0</v>
      </c>
      <c r="AA935" s="368">
        <v>0</v>
      </c>
      <c r="AB935" s="368">
        <v>0</v>
      </c>
      <c r="AC935" s="368">
        <v>0</v>
      </c>
      <c r="AD935" s="368">
        <v>0</v>
      </c>
      <c r="AE935" s="368">
        <v>660</v>
      </c>
      <c r="AF935" s="396">
        <f t="shared" si="293"/>
        <v>6976.754659437478</v>
      </c>
      <c r="AG935" s="368">
        <v>0</v>
      </c>
      <c r="AH935" s="396">
        <v>0</v>
      </c>
      <c r="AI935" s="368">
        <v>0</v>
      </c>
      <c r="AJ935" s="396">
        <v>0</v>
      </c>
      <c r="AK935" s="368">
        <v>0</v>
      </c>
      <c r="AL935" s="368">
        <v>0</v>
      </c>
      <c r="AM935" s="368">
        <v>0</v>
      </c>
      <c r="AN935" s="368"/>
      <c r="AO935" s="368">
        <v>0</v>
      </c>
    </row>
    <row r="936" spans="1:41" s="152" customFormat="1" ht="36" customHeight="1" x14ac:dyDescent="0.9">
      <c r="A936" s="152">
        <v>1</v>
      </c>
      <c r="B936" s="90">
        <f>SUBTOTAL(103,$A$554:A936)</f>
        <v>343</v>
      </c>
      <c r="C936" s="89" t="s">
        <v>59</v>
      </c>
      <c r="D936" s="163">
        <v>1974</v>
      </c>
      <c r="E936" s="163"/>
      <c r="F936" s="168" t="s">
        <v>270</v>
      </c>
      <c r="G936" s="163">
        <v>2</v>
      </c>
      <c r="H936" s="163">
        <v>2</v>
      </c>
      <c r="I936" s="164">
        <v>701.7</v>
      </c>
      <c r="J936" s="164">
        <v>641.1</v>
      </c>
      <c r="K936" s="164">
        <v>600.70000000000005</v>
      </c>
      <c r="L936" s="165">
        <v>36</v>
      </c>
      <c r="M936" s="163" t="s">
        <v>268</v>
      </c>
      <c r="N936" s="163" t="s">
        <v>269</v>
      </c>
      <c r="O936" s="166" t="s">
        <v>271</v>
      </c>
      <c r="P936" s="167">
        <v>3378504.6</v>
      </c>
      <c r="Q936" s="167">
        <v>0</v>
      </c>
      <c r="R936" s="167">
        <v>0</v>
      </c>
      <c r="S936" s="167">
        <f>P936-Q936-R936</f>
        <v>3378504.6</v>
      </c>
      <c r="T936" s="167">
        <f t="shared" si="267"/>
        <v>4814.7421975203079</v>
      </c>
      <c r="U936" s="167">
        <v>5752.5648710275045</v>
      </c>
      <c r="V936" s="149">
        <f t="shared" si="285"/>
        <v>937.82267350719667</v>
      </c>
      <c r="W936" s="149">
        <f t="shared" si="292"/>
        <v>5752.5648710275045</v>
      </c>
      <c r="X936" s="149">
        <v>0</v>
      </c>
      <c r="Y936" s="368">
        <v>0</v>
      </c>
      <c r="Z936" s="368">
        <v>0</v>
      </c>
      <c r="AA936" s="368">
        <v>0</v>
      </c>
      <c r="AB936" s="368">
        <v>0</v>
      </c>
      <c r="AC936" s="368">
        <v>0</v>
      </c>
      <c r="AD936" s="368">
        <v>0</v>
      </c>
      <c r="AE936" s="368">
        <v>647</v>
      </c>
      <c r="AF936" s="396">
        <f t="shared" si="293"/>
        <v>5752.5648710275045</v>
      </c>
      <c r="AG936" s="368">
        <v>0</v>
      </c>
      <c r="AH936" s="396">
        <v>0</v>
      </c>
      <c r="AI936" s="368">
        <v>0</v>
      </c>
      <c r="AJ936" s="396">
        <v>0</v>
      </c>
      <c r="AK936" s="368">
        <v>0</v>
      </c>
      <c r="AL936" s="368">
        <v>0</v>
      </c>
      <c r="AM936" s="368">
        <v>0</v>
      </c>
      <c r="AN936" s="368"/>
      <c r="AO936" s="368">
        <v>0</v>
      </c>
    </row>
    <row r="937" spans="1:41" s="152" customFormat="1" ht="36" customHeight="1" x14ac:dyDescent="0.9">
      <c r="A937" s="152">
        <v>1</v>
      </c>
      <c r="B937" s="90">
        <f>SUBTOTAL(103,$A$554:A937)</f>
        <v>344</v>
      </c>
      <c r="C937" s="89" t="s">
        <v>62</v>
      </c>
      <c r="D937" s="163">
        <v>1982</v>
      </c>
      <c r="E937" s="163"/>
      <c r="F937" s="168" t="s">
        <v>270</v>
      </c>
      <c r="G937" s="163">
        <v>2</v>
      </c>
      <c r="H937" s="163">
        <v>2</v>
      </c>
      <c r="I937" s="164">
        <v>549.6</v>
      </c>
      <c r="J937" s="164">
        <v>502.6</v>
      </c>
      <c r="K937" s="164">
        <v>502.6</v>
      </c>
      <c r="L937" s="165">
        <v>25</v>
      </c>
      <c r="M937" s="163" t="s">
        <v>268</v>
      </c>
      <c r="N937" s="163" t="s">
        <v>269</v>
      </c>
      <c r="O937" s="166" t="s">
        <v>271</v>
      </c>
      <c r="P937" s="167">
        <v>2799929.1599999997</v>
      </c>
      <c r="Q937" s="167">
        <v>0</v>
      </c>
      <c r="R937" s="167">
        <v>0</v>
      </c>
      <c r="S937" s="167">
        <f>P937-Q937-R937</f>
        <v>2799929.1599999997</v>
      </c>
      <c r="T937" s="167">
        <f t="shared" si="267"/>
        <v>5094.4853711790383</v>
      </c>
      <c r="U937" s="167">
        <v>6086.7968377001462</v>
      </c>
      <c r="V937" s="149">
        <f t="shared" si="285"/>
        <v>992.31146652110783</v>
      </c>
      <c r="W937" s="149">
        <f t="shared" si="292"/>
        <v>6086.7968377001462</v>
      </c>
      <c r="X937" s="149">
        <v>0</v>
      </c>
      <c r="Y937" s="368">
        <v>0</v>
      </c>
      <c r="Z937" s="368">
        <v>0</v>
      </c>
      <c r="AA937" s="368">
        <v>0</v>
      </c>
      <c r="AB937" s="368">
        <v>0</v>
      </c>
      <c r="AC937" s="368">
        <v>0</v>
      </c>
      <c r="AD937" s="368">
        <v>0</v>
      </c>
      <c r="AE937" s="368">
        <v>536.20000000000005</v>
      </c>
      <c r="AF937" s="396">
        <f t="shared" si="293"/>
        <v>6086.7968377001462</v>
      </c>
      <c r="AG937" s="368">
        <v>0</v>
      </c>
      <c r="AH937" s="396">
        <v>0</v>
      </c>
      <c r="AI937" s="368">
        <v>0</v>
      </c>
      <c r="AJ937" s="396">
        <v>0</v>
      </c>
      <c r="AK937" s="368">
        <v>0</v>
      </c>
      <c r="AL937" s="368">
        <v>0</v>
      </c>
      <c r="AM937" s="368">
        <v>0</v>
      </c>
      <c r="AN937" s="368"/>
      <c r="AO937" s="368">
        <v>0</v>
      </c>
    </row>
    <row r="938" spans="1:41" s="152" customFormat="1" ht="36" customHeight="1" x14ac:dyDescent="0.9">
      <c r="A938" s="152">
        <v>1</v>
      </c>
      <c r="B938" s="90">
        <f>SUBTOTAL(103,$A$554:A938)</f>
        <v>345</v>
      </c>
      <c r="C938" s="89" t="s">
        <v>58</v>
      </c>
      <c r="D938" s="163">
        <v>1970</v>
      </c>
      <c r="E938" s="163"/>
      <c r="F938" s="168" t="s">
        <v>270</v>
      </c>
      <c r="G938" s="163">
        <v>2</v>
      </c>
      <c r="H938" s="163">
        <v>2</v>
      </c>
      <c r="I938" s="164">
        <v>726.6</v>
      </c>
      <c r="J938" s="164">
        <v>665.68000000000006</v>
      </c>
      <c r="K938" s="164">
        <v>665.68</v>
      </c>
      <c r="L938" s="165">
        <v>29</v>
      </c>
      <c r="M938" s="163" t="s">
        <v>268</v>
      </c>
      <c r="N938" s="163" t="s">
        <v>269</v>
      </c>
      <c r="O938" s="166" t="s">
        <v>271</v>
      </c>
      <c r="P938" s="167">
        <v>3400436.16</v>
      </c>
      <c r="Q938" s="167">
        <v>0</v>
      </c>
      <c r="R938" s="167">
        <v>0</v>
      </c>
      <c r="S938" s="167">
        <f>P938-Q938-R938</f>
        <v>3400436.16</v>
      </c>
      <c r="T938" s="167">
        <f t="shared" si="267"/>
        <v>4679.9286540049543</v>
      </c>
      <c r="U938" s="167">
        <v>5591.4921442334162</v>
      </c>
      <c r="V938" s="149">
        <f t="shared" si="285"/>
        <v>911.56349022846189</v>
      </c>
      <c r="W938" s="149">
        <f t="shared" si="292"/>
        <v>5591.4921442334162</v>
      </c>
      <c r="X938" s="149">
        <v>0</v>
      </c>
      <c r="Y938" s="368">
        <v>0</v>
      </c>
      <c r="Z938" s="368">
        <v>0</v>
      </c>
      <c r="AA938" s="368">
        <v>0</v>
      </c>
      <c r="AB938" s="368">
        <v>0</v>
      </c>
      <c r="AC938" s="368">
        <v>0</v>
      </c>
      <c r="AD938" s="368">
        <v>0</v>
      </c>
      <c r="AE938" s="368">
        <v>651.20000000000005</v>
      </c>
      <c r="AF938" s="396">
        <f t="shared" si="293"/>
        <v>5591.4921442334162</v>
      </c>
      <c r="AG938" s="368">
        <v>0</v>
      </c>
      <c r="AH938" s="396">
        <v>0</v>
      </c>
      <c r="AI938" s="368">
        <v>0</v>
      </c>
      <c r="AJ938" s="396">
        <v>0</v>
      </c>
      <c r="AK938" s="368">
        <v>0</v>
      </c>
      <c r="AL938" s="368">
        <v>0</v>
      </c>
      <c r="AM938" s="368">
        <v>0</v>
      </c>
      <c r="AN938" s="368"/>
      <c r="AO938" s="368">
        <v>0</v>
      </c>
    </row>
    <row r="939" spans="1:41" s="152" customFormat="1" ht="36" customHeight="1" x14ac:dyDescent="0.9">
      <c r="B939" s="382" t="s">
        <v>860</v>
      </c>
      <c r="C939" s="388"/>
      <c r="D939" s="384" t="s">
        <v>903</v>
      </c>
      <c r="E939" s="163" t="s">
        <v>903</v>
      </c>
      <c r="F939" s="384" t="s">
        <v>903</v>
      </c>
      <c r="G939" s="384" t="s">
        <v>903</v>
      </c>
      <c r="H939" s="163" t="s">
        <v>903</v>
      </c>
      <c r="I939" s="386">
        <f>SUM(I940:I942)</f>
        <v>4675.3</v>
      </c>
      <c r="J939" s="164">
        <f t="shared" ref="J939:L939" si="294">SUM(J940:J942)</f>
        <v>3703.7999999999997</v>
      </c>
      <c r="K939" s="164">
        <f t="shared" si="294"/>
        <v>3703.7999999999997</v>
      </c>
      <c r="L939" s="165">
        <f t="shared" si="294"/>
        <v>143</v>
      </c>
      <c r="M939" s="163" t="s">
        <v>903</v>
      </c>
      <c r="N939" s="163" t="s">
        <v>903</v>
      </c>
      <c r="O939" s="166" t="s">
        <v>903</v>
      </c>
      <c r="P939" s="387">
        <v>8165392.25</v>
      </c>
      <c r="Q939" s="167">
        <f t="shared" ref="Q939:S939" si="295">SUM(Q940:Q942)</f>
        <v>0</v>
      </c>
      <c r="R939" s="167">
        <f t="shared" si="295"/>
        <v>0</v>
      </c>
      <c r="S939" s="167">
        <f t="shared" si="295"/>
        <v>8165392.25</v>
      </c>
      <c r="T939" s="387">
        <f t="shared" si="267"/>
        <v>1746.4958933116591</v>
      </c>
      <c r="U939" s="387">
        <f>MAX(U940:U942)</f>
        <v>5821.3767696267687</v>
      </c>
      <c r="V939" s="149">
        <f t="shared" si="285"/>
        <v>4074.8808763151096</v>
      </c>
      <c r="W939" s="149"/>
      <c r="X939" s="149"/>
      <c r="Y939" s="368"/>
      <c r="Z939" s="368"/>
      <c r="AA939" s="368"/>
      <c r="AB939" s="368"/>
      <c r="AC939" s="368"/>
      <c r="AD939" s="368"/>
      <c r="AE939" s="368"/>
      <c r="AF939" s="368"/>
      <c r="AG939" s="368"/>
      <c r="AH939" s="368"/>
      <c r="AI939" s="368"/>
      <c r="AJ939" s="368"/>
      <c r="AK939" s="368"/>
      <c r="AL939" s="368"/>
      <c r="AM939" s="368"/>
      <c r="AN939" s="368"/>
      <c r="AO939" s="368"/>
    </row>
    <row r="940" spans="1:41" s="152" customFormat="1" ht="36" customHeight="1" x14ac:dyDescent="0.9">
      <c r="A940" s="152">
        <v>1</v>
      </c>
      <c r="B940" s="90">
        <f>SUBTOTAL(103,$A$554:A940)</f>
        <v>346</v>
      </c>
      <c r="C940" s="89" t="s">
        <v>231</v>
      </c>
      <c r="D940" s="163">
        <v>1988</v>
      </c>
      <c r="E940" s="163"/>
      <c r="F940" s="168" t="s">
        <v>270</v>
      </c>
      <c r="G940" s="163">
        <v>5</v>
      </c>
      <c r="H940" s="163">
        <v>4</v>
      </c>
      <c r="I940" s="164">
        <v>3662.2</v>
      </c>
      <c r="J940" s="164">
        <v>2766.2</v>
      </c>
      <c r="K940" s="164">
        <v>2766.2</v>
      </c>
      <c r="L940" s="165">
        <v>110</v>
      </c>
      <c r="M940" s="163" t="s">
        <v>268</v>
      </c>
      <c r="N940" s="163" t="s">
        <v>272</v>
      </c>
      <c r="O940" s="166" t="s">
        <v>714</v>
      </c>
      <c r="P940" s="167">
        <v>4231329.66</v>
      </c>
      <c r="Q940" s="167">
        <v>0</v>
      </c>
      <c r="R940" s="167">
        <v>0</v>
      </c>
      <c r="S940" s="167">
        <f>P940-Q940-R940</f>
        <v>4231329.66</v>
      </c>
      <c r="T940" s="167">
        <f t="shared" si="267"/>
        <v>1155.4064933646443</v>
      </c>
      <c r="U940" s="167">
        <v>1461.6855387472012</v>
      </c>
      <c r="V940" s="149">
        <f t="shared" si="285"/>
        <v>306.27904538255689</v>
      </c>
      <c r="W940" s="149">
        <f t="shared" ref="W940:W942" si="296">X940+Y940+Z940+AA940+AB940+AD940+AF940+AH940+AJ940+AL940+AN940+AO940</f>
        <v>1461.6855387472012</v>
      </c>
      <c r="X940" s="149">
        <v>0</v>
      </c>
      <c r="Y940" s="368">
        <v>0</v>
      </c>
      <c r="Z940" s="368">
        <v>0</v>
      </c>
      <c r="AA940" s="368">
        <v>0</v>
      </c>
      <c r="AB940" s="368">
        <v>0</v>
      </c>
      <c r="AC940" s="368">
        <v>0</v>
      </c>
      <c r="AD940" s="368">
        <v>0</v>
      </c>
      <c r="AE940" s="368">
        <v>858</v>
      </c>
      <c r="AF940" s="396">
        <f t="shared" ref="AF940:AF942" si="297">6238.91*AE940/I940</f>
        <v>1461.6855387472012</v>
      </c>
      <c r="AG940" s="368">
        <v>0</v>
      </c>
      <c r="AH940" s="396">
        <v>0</v>
      </c>
      <c r="AI940" s="368">
        <v>0</v>
      </c>
      <c r="AJ940" s="396">
        <v>0</v>
      </c>
      <c r="AK940" s="368">
        <v>0</v>
      </c>
      <c r="AL940" s="368">
        <v>0</v>
      </c>
      <c r="AM940" s="368">
        <v>0</v>
      </c>
      <c r="AN940" s="368"/>
      <c r="AO940" s="368">
        <v>0</v>
      </c>
    </row>
    <row r="941" spans="1:41" s="152" customFormat="1" ht="36" customHeight="1" x14ac:dyDescent="0.9">
      <c r="A941" s="152">
        <v>1</v>
      </c>
      <c r="B941" s="90">
        <f>SUBTOTAL(103,$A$554:A941)</f>
        <v>347</v>
      </c>
      <c r="C941" s="89" t="s">
        <v>230</v>
      </c>
      <c r="D941" s="163">
        <v>1966</v>
      </c>
      <c r="E941" s="163"/>
      <c r="F941" s="168" t="s">
        <v>270</v>
      </c>
      <c r="G941" s="163">
        <v>2</v>
      </c>
      <c r="H941" s="163">
        <v>1</v>
      </c>
      <c r="I941" s="164">
        <v>391.5</v>
      </c>
      <c r="J941" s="164">
        <v>367.2</v>
      </c>
      <c r="K941" s="164">
        <v>367.2</v>
      </c>
      <c r="L941" s="165">
        <v>8</v>
      </c>
      <c r="M941" s="163" t="s">
        <v>268</v>
      </c>
      <c r="N941" s="163" t="s">
        <v>272</v>
      </c>
      <c r="O941" s="166" t="s">
        <v>714</v>
      </c>
      <c r="P941" s="167">
        <v>1801521</v>
      </c>
      <c r="Q941" s="167">
        <v>0</v>
      </c>
      <c r="R941" s="167">
        <v>0</v>
      </c>
      <c r="S941" s="167">
        <f>P941-Q941-R941</f>
        <v>1801521</v>
      </c>
      <c r="T941" s="167">
        <f t="shared" si="267"/>
        <v>4601.5862068965516</v>
      </c>
      <c r="U941" s="167">
        <v>5497.8900383141754</v>
      </c>
      <c r="V941" s="149">
        <f t="shared" si="285"/>
        <v>896.30383141762377</v>
      </c>
      <c r="W941" s="149">
        <f t="shared" si="296"/>
        <v>5497.8900383141754</v>
      </c>
      <c r="X941" s="149">
        <v>0</v>
      </c>
      <c r="Y941" s="368">
        <v>0</v>
      </c>
      <c r="Z941" s="368">
        <v>0</v>
      </c>
      <c r="AA941" s="368">
        <v>0</v>
      </c>
      <c r="AB941" s="368">
        <v>0</v>
      </c>
      <c r="AC941" s="368">
        <v>0</v>
      </c>
      <c r="AD941" s="368">
        <v>0</v>
      </c>
      <c r="AE941" s="368">
        <v>345</v>
      </c>
      <c r="AF941" s="396">
        <f t="shared" si="297"/>
        <v>5497.8900383141754</v>
      </c>
      <c r="AG941" s="368">
        <v>0</v>
      </c>
      <c r="AH941" s="396">
        <v>0</v>
      </c>
      <c r="AI941" s="368">
        <v>0</v>
      </c>
      <c r="AJ941" s="396">
        <v>0</v>
      </c>
      <c r="AK941" s="368">
        <v>0</v>
      </c>
      <c r="AL941" s="368">
        <v>0</v>
      </c>
      <c r="AM941" s="368">
        <v>0</v>
      </c>
      <c r="AN941" s="368"/>
      <c r="AO941" s="368">
        <v>0</v>
      </c>
    </row>
    <row r="942" spans="1:41" s="152" customFormat="1" ht="36" customHeight="1" x14ac:dyDescent="0.9">
      <c r="A942" s="152">
        <v>1</v>
      </c>
      <c r="B942" s="90">
        <f>SUBTOTAL(103,$A$554:A942)</f>
        <v>348</v>
      </c>
      <c r="C942" s="89" t="s">
        <v>1936</v>
      </c>
      <c r="D942" s="163">
        <v>1987</v>
      </c>
      <c r="E942" s="163"/>
      <c r="F942" s="168" t="s">
        <v>270</v>
      </c>
      <c r="G942" s="163">
        <v>2</v>
      </c>
      <c r="H942" s="163">
        <v>2</v>
      </c>
      <c r="I942" s="164">
        <v>621.6</v>
      </c>
      <c r="J942" s="164">
        <v>570.4</v>
      </c>
      <c r="K942" s="164">
        <f>J942</f>
        <v>570.4</v>
      </c>
      <c r="L942" s="165">
        <v>25</v>
      </c>
      <c r="M942" s="163" t="s">
        <v>268</v>
      </c>
      <c r="N942" s="163" t="s">
        <v>269</v>
      </c>
      <c r="O942" s="166" t="s">
        <v>271</v>
      </c>
      <c r="P942" s="167">
        <v>2132541.59</v>
      </c>
      <c r="Q942" s="167">
        <v>0</v>
      </c>
      <c r="R942" s="167">
        <v>0</v>
      </c>
      <c r="S942" s="167">
        <f>P942-Q942-R942</f>
        <v>2132541.59</v>
      </c>
      <c r="T942" s="167">
        <f t="shared" si="267"/>
        <v>3430.7297136422135</v>
      </c>
      <c r="U942" s="167">
        <v>5821.3767696267687</v>
      </c>
      <c r="V942" s="149">
        <f t="shared" si="285"/>
        <v>2390.6470559845552</v>
      </c>
      <c r="W942" s="149">
        <f t="shared" si="296"/>
        <v>5821.3767696267687</v>
      </c>
      <c r="X942" s="149">
        <v>0</v>
      </c>
      <c r="Y942" s="368">
        <v>0</v>
      </c>
      <c r="Z942" s="368">
        <v>0</v>
      </c>
      <c r="AA942" s="368">
        <v>0</v>
      </c>
      <c r="AB942" s="368">
        <v>0</v>
      </c>
      <c r="AC942" s="368">
        <v>0</v>
      </c>
      <c r="AD942" s="368">
        <v>0</v>
      </c>
      <c r="AE942" s="368">
        <v>580</v>
      </c>
      <c r="AF942" s="396">
        <f t="shared" si="297"/>
        <v>5821.3767696267687</v>
      </c>
      <c r="AG942" s="368">
        <v>0</v>
      </c>
      <c r="AH942" s="396">
        <v>0</v>
      </c>
      <c r="AI942" s="368">
        <v>0</v>
      </c>
      <c r="AJ942" s="396">
        <v>0</v>
      </c>
      <c r="AK942" s="368">
        <v>0</v>
      </c>
      <c r="AL942" s="368">
        <v>0</v>
      </c>
      <c r="AM942" s="368">
        <v>0</v>
      </c>
      <c r="AN942" s="368"/>
      <c r="AO942" s="368">
        <v>0</v>
      </c>
    </row>
    <row r="943" spans="1:41" s="152" customFormat="1" ht="36" customHeight="1" x14ac:dyDescent="0.9">
      <c r="B943" s="382" t="s">
        <v>862</v>
      </c>
      <c r="C943" s="388"/>
      <c r="D943" s="384" t="s">
        <v>903</v>
      </c>
      <c r="E943" s="163" t="s">
        <v>903</v>
      </c>
      <c r="F943" s="384" t="s">
        <v>903</v>
      </c>
      <c r="G943" s="384" t="s">
        <v>903</v>
      </c>
      <c r="H943" s="163" t="s">
        <v>903</v>
      </c>
      <c r="I943" s="386">
        <f>I944</f>
        <v>545.34</v>
      </c>
      <c r="J943" s="164">
        <f>J944</f>
        <v>316.54000000000002</v>
      </c>
      <c r="K943" s="164">
        <f>K944</f>
        <v>204.04</v>
      </c>
      <c r="L943" s="165">
        <f>L944</f>
        <v>22</v>
      </c>
      <c r="M943" s="163" t="s">
        <v>903</v>
      </c>
      <c r="N943" s="163" t="s">
        <v>903</v>
      </c>
      <c r="O943" s="166" t="s">
        <v>903</v>
      </c>
      <c r="P943" s="387">
        <v>1799918.22</v>
      </c>
      <c r="Q943" s="167">
        <f>Q944</f>
        <v>0</v>
      </c>
      <c r="R943" s="167">
        <f>R944</f>
        <v>0</v>
      </c>
      <c r="S943" s="167">
        <f>S944</f>
        <v>1799918.22</v>
      </c>
      <c r="T943" s="387">
        <f t="shared" si="267"/>
        <v>3300.5431840686542</v>
      </c>
      <c r="U943" s="387">
        <f>U944</f>
        <v>4227.4312454615465</v>
      </c>
      <c r="V943" s="149">
        <f t="shared" si="285"/>
        <v>926.88806139289227</v>
      </c>
      <c r="W943" s="149"/>
      <c r="X943" s="149"/>
      <c r="Y943" s="368"/>
      <c r="Z943" s="368"/>
      <c r="AA943" s="368"/>
      <c r="AB943" s="368"/>
      <c r="AC943" s="368"/>
      <c r="AD943" s="368"/>
      <c r="AE943" s="368"/>
      <c r="AF943" s="368"/>
      <c r="AG943" s="368"/>
      <c r="AH943" s="368"/>
      <c r="AI943" s="368"/>
      <c r="AJ943" s="368"/>
      <c r="AK943" s="368"/>
      <c r="AL943" s="368"/>
      <c r="AM943" s="368"/>
      <c r="AN943" s="368"/>
      <c r="AO943" s="368"/>
    </row>
    <row r="944" spans="1:41" s="152" customFormat="1" ht="36" customHeight="1" x14ac:dyDescent="0.9">
      <c r="A944" s="152">
        <v>1</v>
      </c>
      <c r="B944" s="90">
        <f>SUBTOTAL(103,$A$554:A944)</f>
        <v>349</v>
      </c>
      <c r="C944" s="89" t="s">
        <v>150</v>
      </c>
      <c r="D944" s="163">
        <v>1968</v>
      </c>
      <c r="E944" s="163"/>
      <c r="F944" s="168" t="s">
        <v>270</v>
      </c>
      <c r="G944" s="163">
        <v>2</v>
      </c>
      <c r="H944" s="163">
        <v>1</v>
      </c>
      <c r="I944" s="164">
        <v>545.34</v>
      </c>
      <c r="J944" s="164">
        <v>316.54000000000002</v>
      </c>
      <c r="K944" s="164">
        <v>204.04</v>
      </c>
      <c r="L944" s="165">
        <v>22</v>
      </c>
      <c r="M944" s="163" t="s">
        <v>268</v>
      </c>
      <c r="N944" s="163" t="s">
        <v>272</v>
      </c>
      <c r="O944" s="166" t="s">
        <v>1007</v>
      </c>
      <c r="P944" s="167">
        <v>1799918.22</v>
      </c>
      <c r="Q944" s="167">
        <v>0</v>
      </c>
      <c r="R944" s="167">
        <v>0</v>
      </c>
      <c r="S944" s="167">
        <f>P944-Q944-R944</f>
        <v>1799918.22</v>
      </c>
      <c r="T944" s="167">
        <f t="shared" si="267"/>
        <v>3300.5431840686542</v>
      </c>
      <c r="U944" s="167">
        <v>4227.4312454615465</v>
      </c>
      <c r="V944" s="149">
        <f>U944-T944</f>
        <v>926.88806139289227</v>
      </c>
      <c r="W944" s="149">
        <f>X944+Y944+Z944+AA944+AB944+AD944+AF944+AH944+AJ944+AL944+AN944+AO944</f>
        <v>4227.4312454615465</v>
      </c>
      <c r="X944" s="149">
        <v>0</v>
      </c>
      <c r="Y944" s="368">
        <v>0</v>
      </c>
      <c r="Z944" s="368">
        <v>0</v>
      </c>
      <c r="AA944" s="368">
        <v>0</v>
      </c>
      <c r="AB944" s="368">
        <v>795.31</v>
      </c>
      <c r="AC944" s="368">
        <v>0</v>
      </c>
      <c r="AD944" s="368">
        <v>0</v>
      </c>
      <c r="AE944" s="368">
        <v>300</v>
      </c>
      <c r="AF944" s="396">
        <f>6238.91*AE944/I944</f>
        <v>3432.1212454615466</v>
      </c>
      <c r="AG944" s="368">
        <v>0</v>
      </c>
      <c r="AH944" s="396">
        <v>0</v>
      </c>
      <c r="AI944" s="368">
        <v>0</v>
      </c>
      <c r="AJ944" s="396">
        <v>0</v>
      </c>
      <c r="AK944" s="368">
        <v>0</v>
      </c>
      <c r="AL944" s="368">
        <v>0</v>
      </c>
      <c r="AM944" s="368">
        <v>0</v>
      </c>
      <c r="AN944" s="368"/>
      <c r="AO944" s="368">
        <v>0</v>
      </c>
    </row>
    <row r="945" spans="1:191" s="152" customFormat="1" ht="36" customHeight="1" x14ac:dyDescent="0.9">
      <c r="B945" s="382" t="s">
        <v>890</v>
      </c>
      <c r="C945" s="382"/>
      <c r="D945" s="384" t="s">
        <v>903</v>
      </c>
      <c r="E945" s="163" t="s">
        <v>903</v>
      </c>
      <c r="F945" s="384" t="s">
        <v>903</v>
      </c>
      <c r="G945" s="384" t="s">
        <v>903</v>
      </c>
      <c r="H945" s="163" t="s">
        <v>903</v>
      </c>
      <c r="I945" s="386">
        <f>I946</f>
        <v>2138.8000000000002</v>
      </c>
      <c r="J945" s="164">
        <f>J946</f>
        <v>959.97</v>
      </c>
      <c r="K945" s="164">
        <f>K946</f>
        <v>458.1</v>
      </c>
      <c r="L945" s="165">
        <f>L946</f>
        <v>56</v>
      </c>
      <c r="M945" s="163" t="s">
        <v>903</v>
      </c>
      <c r="N945" s="163" t="s">
        <v>903</v>
      </c>
      <c r="O945" s="166" t="s">
        <v>903</v>
      </c>
      <c r="P945" s="387">
        <v>3974620.0799999996</v>
      </c>
      <c r="Q945" s="167">
        <f>Q946</f>
        <v>0</v>
      </c>
      <c r="R945" s="167">
        <f>R946</f>
        <v>0</v>
      </c>
      <c r="S945" s="167">
        <f>S946</f>
        <v>3974620.0799999996</v>
      </c>
      <c r="T945" s="387">
        <f t="shared" si="267"/>
        <v>1858.3411632691225</v>
      </c>
      <c r="U945" s="387">
        <f>U946</f>
        <v>1925.2407042358118</v>
      </c>
      <c r="V945" s="149">
        <f t="shared" si="285"/>
        <v>66.899540966689301</v>
      </c>
      <c r="W945" s="149"/>
      <c r="X945" s="149"/>
      <c r="Y945" s="368"/>
      <c r="Z945" s="368"/>
      <c r="AA945" s="368"/>
      <c r="AB945" s="368"/>
      <c r="AC945" s="368"/>
      <c r="AD945" s="368"/>
      <c r="AE945" s="368"/>
      <c r="AF945" s="368"/>
      <c r="AG945" s="368"/>
      <c r="AH945" s="368"/>
      <c r="AI945" s="368"/>
      <c r="AJ945" s="368"/>
      <c r="AK945" s="368"/>
      <c r="AL945" s="368"/>
      <c r="AM945" s="368"/>
      <c r="AN945" s="368"/>
      <c r="AO945" s="368"/>
    </row>
    <row r="946" spans="1:191" s="152" customFormat="1" ht="36" customHeight="1" x14ac:dyDescent="0.9">
      <c r="A946" s="152">
        <v>1</v>
      </c>
      <c r="B946" s="90">
        <f>SUBTOTAL(103,$A$554:A946)</f>
        <v>350</v>
      </c>
      <c r="C946" s="89" t="s">
        <v>151</v>
      </c>
      <c r="D946" s="163">
        <v>1983</v>
      </c>
      <c r="E946" s="163"/>
      <c r="F946" s="168" t="s">
        <v>270</v>
      </c>
      <c r="G946" s="163">
        <v>2</v>
      </c>
      <c r="H946" s="163">
        <v>3</v>
      </c>
      <c r="I946" s="164">
        <v>2138.8000000000002</v>
      </c>
      <c r="J946" s="164">
        <v>959.97</v>
      </c>
      <c r="K946" s="164">
        <v>458.1</v>
      </c>
      <c r="L946" s="165">
        <v>56</v>
      </c>
      <c r="M946" s="163" t="s">
        <v>268</v>
      </c>
      <c r="N946" s="163" t="s">
        <v>272</v>
      </c>
      <c r="O946" s="166" t="s">
        <v>291</v>
      </c>
      <c r="P946" s="167">
        <v>3974620.0799999996</v>
      </c>
      <c r="Q946" s="167">
        <v>0</v>
      </c>
      <c r="R946" s="167">
        <v>0</v>
      </c>
      <c r="S946" s="167">
        <f>P946-Q946-R946</f>
        <v>3974620.0799999996</v>
      </c>
      <c r="T946" s="167">
        <f t="shared" si="267"/>
        <v>1858.3411632691225</v>
      </c>
      <c r="U946" s="167">
        <v>1925.2407042358118</v>
      </c>
      <c r="V946" s="149">
        <f>U946-T946</f>
        <v>66.899540966689301</v>
      </c>
      <c r="W946" s="149">
        <f>X946+Y946+Z946+AA946+AB946+AD946+AF946+AH946+AJ946+AL946+AN946+AO946</f>
        <v>1925.2407042358118</v>
      </c>
      <c r="X946" s="149">
        <v>0</v>
      </c>
      <c r="Y946" s="368">
        <v>0</v>
      </c>
      <c r="Z946" s="368">
        <v>0</v>
      </c>
      <c r="AA946" s="368">
        <v>0</v>
      </c>
      <c r="AB946" s="368">
        <v>0</v>
      </c>
      <c r="AC946" s="368">
        <v>0</v>
      </c>
      <c r="AD946" s="368">
        <v>0</v>
      </c>
      <c r="AE946" s="368">
        <v>660.00388180300001</v>
      </c>
      <c r="AF946" s="396">
        <f>6238.91*AE946/I946</f>
        <v>1925.2407042358118</v>
      </c>
      <c r="AG946" s="368">
        <v>0</v>
      </c>
      <c r="AH946" s="396">
        <v>0</v>
      </c>
      <c r="AI946" s="368">
        <v>0</v>
      </c>
      <c r="AJ946" s="396">
        <v>0</v>
      </c>
      <c r="AK946" s="368">
        <v>0</v>
      </c>
      <c r="AL946" s="368">
        <v>0</v>
      </c>
      <c r="AM946" s="368">
        <v>0</v>
      </c>
      <c r="AN946" s="368"/>
      <c r="AO946" s="368">
        <v>0</v>
      </c>
    </row>
    <row r="947" spans="1:191" s="152" customFormat="1" ht="36" customHeight="1" x14ac:dyDescent="0.9">
      <c r="B947" s="382" t="s">
        <v>891</v>
      </c>
      <c r="C947" s="382"/>
      <c r="D947" s="384" t="s">
        <v>903</v>
      </c>
      <c r="E947" s="163" t="s">
        <v>903</v>
      </c>
      <c r="F947" s="384" t="s">
        <v>903</v>
      </c>
      <c r="G947" s="384" t="s">
        <v>903</v>
      </c>
      <c r="H947" s="163" t="s">
        <v>903</v>
      </c>
      <c r="I947" s="386">
        <f>I948</f>
        <v>1367.9</v>
      </c>
      <c r="J947" s="164">
        <f>J948</f>
        <v>926.7</v>
      </c>
      <c r="K947" s="164">
        <f>K948</f>
        <v>324.89999999999998</v>
      </c>
      <c r="L947" s="165">
        <f>L948</f>
        <v>64</v>
      </c>
      <c r="M947" s="163" t="s">
        <v>903</v>
      </c>
      <c r="N947" s="163" t="s">
        <v>903</v>
      </c>
      <c r="O947" s="166" t="s">
        <v>903</v>
      </c>
      <c r="P947" s="387">
        <v>2957808</v>
      </c>
      <c r="Q947" s="167">
        <f>Q948</f>
        <v>0</v>
      </c>
      <c r="R947" s="167">
        <f>R948</f>
        <v>0</v>
      </c>
      <c r="S947" s="167">
        <f>S948</f>
        <v>2957808</v>
      </c>
      <c r="T947" s="387">
        <f t="shared" si="267"/>
        <v>2162.2984136267269</v>
      </c>
      <c r="U947" s="387">
        <f>U948</f>
        <v>2736.5640763213682</v>
      </c>
      <c r="V947" s="149">
        <f t="shared" si="285"/>
        <v>574.26566269464138</v>
      </c>
      <c r="W947" s="149"/>
      <c r="X947" s="149"/>
      <c r="Y947" s="368"/>
      <c r="Z947" s="368"/>
      <c r="AA947" s="368"/>
      <c r="AB947" s="368"/>
      <c r="AC947" s="368"/>
      <c r="AD947" s="368"/>
      <c r="AE947" s="368"/>
      <c r="AF947" s="368"/>
      <c r="AG947" s="368"/>
      <c r="AH947" s="368"/>
      <c r="AI947" s="368"/>
      <c r="AJ947" s="368"/>
      <c r="AK947" s="368"/>
      <c r="AL947" s="368"/>
      <c r="AM947" s="368"/>
      <c r="AN947" s="368"/>
      <c r="AO947" s="368"/>
    </row>
    <row r="948" spans="1:191" s="152" customFormat="1" ht="36" customHeight="1" x14ac:dyDescent="0.9">
      <c r="A948" s="152">
        <v>1</v>
      </c>
      <c r="B948" s="90">
        <f>SUBTOTAL(103,$A$554:A948)</f>
        <v>351</v>
      </c>
      <c r="C948" s="89" t="s">
        <v>156</v>
      </c>
      <c r="D948" s="163">
        <v>1974</v>
      </c>
      <c r="E948" s="163"/>
      <c r="F948" s="168" t="s">
        <v>270</v>
      </c>
      <c r="G948" s="163">
        <v>2</v>
      </c>
      <c r="H948" s="163">
        <v>1</v>
      </c>
      <c r="I948" s="164">
        <v>1367.9</v>
      </c>
      <c r="J948" s="164">
        <v>926.7</v>
      </c>
      <c r="K948" s="164">
        <v>324.89999999999998</v>
      </c>
      <c r="L948" s="165">
        <v>64</v>
      </c>
      <c r="M948" s="163" t="s">
        <v>268</v>
      </c>
      <c r="N948" s="163" t="s">
        <v>272</v>
      </c>
      <c r="O948" s="166" t="s">
        <v>1007</v>
      </c>
      <c r="P948" s="167">
        <v>2957808</v>
      </c>
      <c r="Q948" s="167">
        <v>0</v>
      </c>
      <c r="R948" s="167">
        <v>0</v>
      </c>
      <c r="S948" s="167">
        <f>P948-Q948-R948</f>
        <v>2957808</v>
      </c>
      <c r="T948" s="167">
        <f t="shared" si="267"/>
        <v>2162.2984136267269</v>
      </c>
      <c r="U948" s="167">
        <v>2736.5640763213682</v>
      </c>
      <c r="V948" s="149">
        <f>U948-T948</f>
        <v>574.26566269464138</v>
      </c>
      <c r="W948" s="149">
        <f>X948+Y948+Z948+AA948+AB948+AD948+AF948+AH948+AJ948+AL948+AN948+AO948</f>
        <v>2736.5640763213682</v>
      </c>
      <c r="X948" s="149">
        <v>0</v>
      </c>
      <c r="Y948" s="368">
        <v>0</v>
      </c>
      <c r="Z948" s="368">
        <v>0</v>
      </c>
      <c r="AA948" s="368">
        <v>0</v>
      </c>
      <c r="AB948" s="368">
        <v>0</v>
      </c>
      <c r="AC948" s="368">
        <v>0</v>
      </c>
      <c r="AD948" s="368">
        <v>0</v>
      </c>
      <c r="AE948" s="368">
        <v>600</v>
      </c>
      <c r="AF948" s="396">
        <f>6238.91*AE948/I948</f>
        <v>2736.5640763213682</v>
      </c>
      <c r="AG948" s="368">
        <v>0</v>
      </c>
      <c r="AH948" s="396">
        <v>0</v>
      </c>
      <c r="AI948" s="368">
        <v>0</v>
      </c>
      <c r="AJ948" s="396">
        <v>0</v>
      </c>
      <c r="AK948" s="368">
        <v>0</v>
      </c>
      <c r="AL948" s="368">
        <v>0</v>
      </c>
      <c r="AM948" s="368">
        <v>0</v>
      </c>
      <c r="AN948" s="368"/>
      <c r="AO948" s="368">
        <v>0</v>
      </c>
    </row>
    <row r="949" spans="1:191" s="152" customFormat="1" ht="36" customHeight="1" x14ac:dyDescent="0.9">
      <c r="B949" s="382" t="s">
        <v>864</v>
      </c>
      <c r="C949" s="382"/>
      <c r="D949" s="384" t="s">
        <v>903</v>
      </c>
      <c r="E949" s="163" t="s">
        <v>903</v>
      </c>
      <c r="F949" s="384" t="s">
        <v>903</v>
      </c>
      <c r="G949" s="384" t="s">
        <v>903</v>
      </c>
      <c r="H949" s="163" t="s">
        <v>903</v>
      </c>
      <c r="I949" s="386">
        <f>I950</f>
        <v>2208.39</v>
      </c>
      <c r="J949" s="164">
        <f>J950</f>
        <v>2056</v>
      </c>
      <c r="K949" s="164">
        <f>K950</f>
        <v>446.69</v>
      </c>
      <c r="L949" s="165">
        <f>L950</f>
        <v>74</v>
      </c>
      <c r="M949" s="163" t="s">
        <v>903</v>
      </c>
      <c r="N949" s="163" t="s">
        <v>903</v>
      </c>
      <c r="O949" s="166" t="s">
        <v>903</v>
      </c>
      <c r="P949" s="387">
        <v>4651054.3499999996</v>
      </c>
      <c r="Q949" s="167">
        <f>Q950</f>
        <v>0</v>
      </c>
      <c r="R949" s="167">
        <f>R950</f>
        <v>0</v>
      </c>
      <c r="S949" s="167">
        <f>S950</f>
        <v>4651054.3499999996</v>
      </c>
      <c r="T949" s="387">
        <f t="shared" si="267"/>
        <v>2106.0837759634846</v>
      </c>
      <c r="U949" s="387">
        <f>U950</f>
        <v>2217.6990250816207</v>
      </c>
      <c r="V949" s="149">
        <f t="shared" si="285"/>
        <v>111.61524911813603</v>
      </c>
      <c r="W949" s="149"/>
      <c r="X949" s="149"/>
      <c r="Y949" s="368"/>
      <c r="Z949" s="368"/>
      <c r="AA949" s="368"/>
      <c r="AB949" s="368"/>
      <c r="AC949" s="368"/>
      <c r="AD949" s="368"/>
      <c r="AE949" s="368"/>
      <c r="AF949" s="368"/>
      <c r="AG949" s="368"/>
      <c r="AH949" s="368"/>
      <c r="AI949" s="368"/>
      <c r="AJ949" s="368"/>
      <c r="AK949" s="368"/>
      <c r="AL949" s="368"/>
      <c r="AM949" s="368"/>
      <c r="AN949" s="368"/>
      <c r="AO949" s="368"/>
    </row>
    <row r="950" spans="1:191" s="152" customFormat="1" ht="36" customHeight="1" x14ac:dyDescent="0.9">
      <c r="A950" s="152">
        <v>1</v>
      </c>
      <c r="B950" s="90">
        <f>SUBTOTAL(103,$A$554:A950)</f>
        <v>352</v>
      </c>
      <c r="C950" s="89" t="s">
        <v>155</v>
      </c>
      <c r="D950" s="163">
        <v>1970</v>
      </c>
      <c r="E950" s="163"/>
      <c r="F950" s="168" t="s">
        <v>270</v>
      </c>
      <c r="G950" s="163">
        <v>5</v>
      </c>
      <c r="H950" s="163">
        <v>4</v>
      </c>
      <c r="I950" s="164">
        <v>2208.39</v>
      </c>
      <c r="J950" s="164">
        <v>2056</v>
      </c>
      <c r="K950" s="164">
        <v>446.69</v>
      </c>
      <c r="L950" s="165">
        <v>74</v>
      </c>
      <c r="M950" s="163" t="s">
        <v>268</v>
      </c>
      <c r="N950" s="163" t="s">
        <v>272</v>
      </c>
      <c r="O950" s="166" t="s">
        <v>292</v>
      </c>
      <c r="P950" s="167">
        <v>4651054.3499999996</v>
      </c>
      <c r="Q950" s="167">
        <v>0</v>
      </c>
      <c r="R950" s="167">
        <v>0</v>
      </c>
      <c r="S950" s="167">
        <f>P950-Q950-R950</f>
        <v>4651054.3499999996</v>
      </c>
      <c r="T950" s="167">
        <f t="shared" si="267"/>
        <v>2106.0837759634846</v>
      </c>
      <c r="U950" s="167">
        <v>2217.6990250816207</v>
      </c>
      <c r="V950" s="149">
        <f>U950-T950</f>
        <v>111.61524911813603</v>
      </c>
      <c r="W950" s="149">
        <f>X950+Y950+Z950+AA950+AB950+AD950+AF950+AH950+AJ950+AL950+AN950+AO950</f>
        <v>2217.6990250816207</v>
      </c>
      <c r="X950" s="149">
        <v>0</v>
      </c>
      <c r="Y950" s="368">
        <v>0</v>
      </c>
      <c r="Z950" s="368">
        <v>0</v>
      </c>
      <c r="AA950" s="368">
        <v>0</v>
      </c>
      <c r="AB950" s="368">
        <v>0</v>
      </c>
      <c r="AC950" s="368">
        <v>0</v>
      </c>
      <c r="AD950" s="368">
        <v>0</v>
      </c>
      <c r="AE950" s="368">
        <v>785</v>
      </c>
      <c r="AF950" s="396">
        <f>6238.91*AE950/I950</f>
        <v>2217.6990250816207</v>
      </c>
      <c r="AG950" s="368">
        <v>0</v>
      </c>
      <c r="AH950" s="396">
        <v>0</v>
      </c>
      <c r="AI950" s="368">
        <v>0</v>
      </c>
      <c r="AJ950" s="396">
        <v>0</v>
      </c>
      <c r="AK950" s="368">
        <v>0</v>
      </c>
      <c r="AL950" s="368">
        <v>0</v>
      </c>
      <c r="AM950" s="368">
        <v>0</v>
      </c>
      <c r="AN950" s="368"/>
      <c r="AO950" s="368">
        <v>0</v>
      </c>
    </row>
    <row r="951" spans="1:191" s="152" customFormat="1" ht="36" customHeight="1" x14ac:dyDescent="0.9">
      <c r="B951" s="382" t="s">
        <v>865</v>
      </c>
      <c r="C951" s="382"/>
      <c r="D951" s="384" t="s">
        <v>903</v>
      </c>
      <c r="E951" s="163" t="s">
        <v>903</v>
      </c>
      <c r="F951" s="384" t="s">
        <v>903</v>
      </c>
      <c r="G951" s="384" t="s">
        <v>903</v>
      </c>
      <c r="H951" s="163" t="s">
        <v>903</v>
      </c>
      <c r="I951" s="386">
        <f>I952</f>
        <v>1501</v>
      </c>
      <c r="J951" s="164">
        <f>J952</f>
        <v>442.7</v>
      </c>
      <c r="K951" s="164">
        <f>K952</f>
        <v>358.85</v>
      </c>
      <c r="L951" s="165">
        <f>L952</f>
        <v>32</v>
      </c>
      <c r="M951" s="163" t="s">
        <v>903</v>
      </c>
      <c r="N951" s="163" t="s">
        <v>903</v>
      </c>
      <c r="O951" s="166" t="s">
        <v>903</v>
      </c>
      <c r="P951" s="386">
        <v>3145116.58</v>
      </c>
      <c r="Q951" s="164">
        <f>Q952</f>
        <v>0</v>
      </c>
      <c r="R951" s="164">
        <f>R952</f>
        <v>0</v>
      </c>
      <c r="S951" s="164">
        <f>S952</f>
        <v>3145116.58</v>
      </c>
      <c r="T951" s="387">
        <f t="shared" si="267"/>
        <v>2095.3474883411059</v>
      </c>
      <c r="U951" s="387">
        <f>U952</f>
        <v>2503.4821369420383</v>
      </c>
      <c r="V951" s="149">
        <f t="shared" si="285"/>
        <v>408.13464860093245</v>
      </c>
      <c r="W951" s="149"/>
      <c r="X951" s="149"/>
      <c r="Y951" s="368"/>
      <c r="Z951" s="368"/>
      <c r="AA951" s="368"/>
      <c r="AB951" s="368"/>
      <c r="AC951" s="368"/>
      <c r="AD951" s="368"/>
      <c r="AE951" s="368"/>
      <c r="AF951" s="368"/>
      <c r="AG951" s="368"/>
      <c r="AH951" s="368"/>
      <c r="AI951" s="368"/>
      <c r="AJ951" s="368"/>
      <c r="AK951" s="368"/>
      <c r="AL951" s="368"/>
      <c r="AM951" s="368"/>
      <c r="AN951" s="368"/>
      <c r="AO951" s="368"/>
    </row>
    <row r="952" spans="1:191" s="152" customFormat="1" ht="36" customHeight="1" x14ac:dyDescent="0.9">
      <c r="A952" s="152">
        <v>1</v>
      </c>
      <c r="B952" s="90">
        <f>SUBTOTAL(103,$A$554:A952)</f>
        <v>353</v>
      </c>
      <c r="C952" s="89" t="s">
        <v>154</v>
      </c>
      <c r="D952" s="163">
        <v>1978</v>
      </c>
      <c r="E952" s="163"/>
      <c r="F952" s="168" t="s">
        <v>270</v>
      </c>
      <c r="G952" s="163">
        <v>2</v>
      </c>
      <c r="H952" s="163">
        <v>2</v>
      </c>
      <c r="I952" s="164">
        <v>1501</v>
      </c>
      <c r="J952" s="164">
        <v>442.7</v>
      </c>
      <c r="K952" s="164">
        <v>358.85</v>
      </c>
      <c r="L952" s="165">
        <v>32</v>
      </c>
      <c r="M952" s="163" t="s">
        <v>268</v>
      </c>
      <c r="N952" s="163" t="s">
        <v>272</v>
      </c>
      <c r="O952" s="166" t="s">
        <v>297</v>
      </c>
      <c r="P952" s="167">
        <v>3145116.58</v>
      </c>
      <c r="Q952" s="167">
        <v>0</v>
      </c>
      <c r="R952" s="167">
        <v>0</v>
      </c>
      <c r="S952" s="167">
        <f>P952-Q952-R952</f>
        <v>3145116.58</v>
      </c>
      <c r="T952" s="167">
        <f t="shared" si="267"/>
        <v>2095.3474883411059</v>
      </c>
      <c r="U952" s="167">
        <v>2503.4821369420383</v>
      </c>
      <c r="V952" s="149">
        <f>U952-T952</f>
        <v>408.13464860093245</v>
      </c>
      <c r="W952" s="149">
        <f>X952+Y952+Z952+AA952+AB952+AD952+AF952+AH952+AJ952+AL952+AN952+AO952</f>
        <v>2503.4821369420383</v>
      </c>
      <c r="X952" s="149">
        <v>0</v>
      </c>
      <c r="Y952" s="368">
        <v>0</v>
      </c>
      <c r="Z952" s="368">
        <v>0</v>
      </c>
      <c r="AA952" s="368">
        <v>0</v>
      </c>
      <c r="AB952" s="368">
        <v>0</v>
      </c>
      <c r="AC952" s="368">
        <v>0</v>
      </c>
      <c r="AD952" s="368">
        <v>0</v>
      </c>
      <c r="AE952" s="368">
        <v>602.30499999999995</v>
      </c>
      <c r="AF952" s="396">
        <f>6238.91*AE952/I952</f>
        <v>2503.4821369420383</v>
      </c>
      <c r="AG952" s="368">
        <v>0</v>
      </c>
      <c r="AH952" s="396">
        <v>0</v>
      </c>
      <c r="AI952" s="368">
        <v>0</v>
      </c>
      <c r="AJ952" s="396">
        <v>0</v>
      </c>
      <c r="AK952" s="368">
        <v>0</v>
      </c>
      <c r="AL952" s="368">
        <v>0</v>
      </c>
      <c r="AM952" s="368">
        <v>0</v>
      </c>
      <c r="AN952" s="368"/>
      <c r="AO952" s="368">
        <v>0</v>
      </c>
    </row>
    <row r="953" spans="1:191" s="152" customFormat="1" ht="36" customHeight="1" x14ac:dyDescent="0.9">
      <c r="B953" s="382" t="s">
        <v>866</v>
      </c>
      <c r="C953" s="382"/>
      <c r="D953" s="384" t="s">
        <v>903</v>
      </c>
      <c r="E953" s="163" t="s">
        <v>903</v>
      </c>
      <c r="F953" s="384" t="s">
        <v>903</v>
      </c>
      <c r="G953" s="384" t="s">
        <v>903</v>
      </c>
      <c r="H953" s="163" t="s">
        <v>903</v>
      </c>
      <c r="I953" s="386">
        <f>SUM(I954:I956)</f>
        <v>13728.17</v>
      </c>
      <c r="J953" s="164">
        <f>SUM(J954:J956)</f>
        <v>9270.61</v>
      </c>
      <c r="K953" s="164">
        <f>SUM(K954:K956)</f>
        <v>9270.31</v>
      </c>
      <c r="L953" s="165">
        <f>SUM(L954:L956)</f>
        <v>453</v>
      </c>
      <c r="M953" s="163" t="s">
        <v>903</v>
      </c>
      <c r="N953" s="163" t="s">
        <v>903</v>
      </c>
      <c r="O953" s="166" t="s">
        <v>903</v>
      </c>
      <c r="P953" s="387">
        <v>17099543.050000001</v>
      </c>
      <c r="Q953" s="167">
        <f>SUM(Q954:Q956)</f>
        <v>0</v>
      </c>
      <c r="R953" s="167">
        <f>SUM(R954:R956)</f>
        <v>0</v>
      </c>
      <c r="S953" s="167">
        <f>SUM(S954:S956)</f>
        <v>17099543.050000001</v>
      </c>
      <c r="T953" s="387">
        <f t="shared" si="267"/>
        <v>1245.5806600588426</v>
      </c>
      <c r="U953" s="387">
        <f>MAX(U954:U956)</f>
        <v>2974.0768902384166</v>
      </c>
      <c r="V953" s="149">
        <f t="shared" si="285"/>
        <v>1728.496230179574</v>
      </c>
      <c r="W953" s="149"/>
      <c r="X953" s="149"/>
      <c r="Y953" s="368"/>
      <c r="Z953" s="368"/>
      <c r="AA953" s="368"/>
      <c r="AB953" s="368"/>
      <c r="AC953" s="368"/>
      <c r="AD953" s="368"/>
      <c r="AE953" s="368"/>
      <c r="AF953" s="368"/>
      <c r="AG953" s="368"/>
      <c r="AH953" s="368"/>
      <c r="AI953" s="368"/>
      <c r="AJ953" s="368"/>
      <c r="AK953" s="368"/>
      <c r="AL953" s="368"/>
      <c r="AM953" s="368"/>
      <c r="AN953" s="368"/>
      <c r="AO953" s="368"/>
    </row>
    <row r="954" spans="1:191" s="152" customFormat="1" ht="36" customHeight="1" x14ac:dyDescent="0.9">
      <c r="A954" s="152">
        <v>1</v>
      </c>
      <c r="B954" s="90">
        <f>SUBTOTAL(103,$A$554:A954)</f>
        <v>354</v>
      </c>
      <c r="C954" s="89" t="s">
        <v>147</v>
      </c>
      <c r="D954" s="163">
        <v>1989</v>
      </c>
      <c r="E954" s="163"/>
      <c r="F954" s="168" t="s">
        <v>290</v>
      </c>
      <c r="G954" s="163">
        <v>5</v>
      </c>
      <c r="H954" s="163">
        <v>5</v>
      </c>
      <c r="I954" s="164">
        <v>3901.1</v>
      </c>
      <c r="J954" s="164">
        <v>2252.5</v>
      </c>
      <c r="K954" s="164">
        <v>2252.1999999999998</v>
      </c>
      <c r="L954" s="165">
        <v>188</v>
      </c>
      <c r="M954" s="163" t="s">
        <v>268</v>
      </c>
      <c r="N954" s="163" t="s">
        <v>294</v>
      </c>
      <c r="O954" s="166" t="s">
        <v>298</v>
      </c>
      <c r="P954" s="167">
        <v>6391288.3800000008</v>
      </c>
      <c r="Q954" s="167">
        <v>0</v>
      </c>
      <c r="R954" s="167">
        <v>0</v>
      </c>
      <c r="S954" s="167">
        <f>P954-Q954-R954</f>
        <v>6391288.3800000008</v>
      </c>
      <c r="T954" s="167">
        <f t="shared" si="267"/>
        <v>1638.3297992873806</v>
      </c>
      <c r="U954" s="167">
        <v>1762.0750654943477</v>
      </c>
      <c r="V954" s="149">
        <f t="shared" si="285"/>
        <v>123.74526620696702</v>
      </c>
      <c r="W954" s="149">
        <f t="shared" ref="W954:W956" si="298">X954+Y954+Z954+AA954+AB954+AD954+AF954+AH954+AJ954+AL954+AN954+AO954</f>
        <v>1762.0750654943477</v>
      </c>
      <c r="X954" s="149">
        <v>0</v>
      </c>
      <c r="Y954" s="368">
        <v>0</v>
      </c>
      <c r="Z954" s="368">
        <v>0</v>
      </c>
      <c r="AA954" s="368">
        <v>0</v>
      </c>
      <c r="AB954" s="368">
        <v>0</v>
      </c>
      <c r="AC954" s="368">
        <v>0</v>
      </c>
      <c r="AD954" s="368">
        <v>0</v>
      </c>
      <c r="AE954" s="368">
        <v>1101.8</v>
      </c>
      <c r="AF954" s="396">
        <f t="shared" ref="AF954:AF956" si="299">6238.91*AE954/I954</f>
        <v>1762.0750654943477</v>
      </c>
      <c r="AG954" s="368">
        <v>0</v>
      </c>
      <c r="AH954" s="396">
        <v>0</v>
      </c>
      <c r="AI954" s="368">
        <v>0</v>
      </c>
      <c r="AJ954" s="396">
        <v>0</v>
      </c>
      <c r="AK954" s="368">
        <v>0</v>
      </c>
      <c r="AL954" s="368">
        <v>0</v>
      </c>
      <c r="AM954" s="368">
        <v>0</v>
      </c>
      <c r="AN954" s="368"/>
      <c r="AO954" s="368">
        <v>0</v>
      </c>
    </row>
    <row r="955" spans="1:191" s="152" customFormat="1" ht="36" customHeight="1" x14ac:dyDescent="0.9">
      <c r="A955" s="152">
        <v>1</v>
      </c>
      <c r="B955" s="90">
        <f>SUBTOTAL(103,$A$554:A955)</f>
        <v>355</v>
      </c>
      <c r="C955" s="89" t="s">
        <v>158</v>
      </c>
      <c r="D955" s="163">
        <v>1975</v>
      </c>
      <c r="E955" s="163"/>
      <c r="F955" s="168" t="s">
        <v>290</v>
      </c>
      <c r="G955" s="163">
        <v>5</v>
      </c>
      <c r="H955" s="163">
        <v>8</v>
      </c>
      <c r="I955" s="164">
        <v>8270.9699999999993</v>
      </c>
      <c r="J955" s="164">
        <v>6155.11</v>
      </c>
      <c r="K955" s="164">
        <v>6155.11</v>
      </c>
      <c r="L955" s="165">
        <v>233</v>
      </c>
      <c r="M955" s="163" t="s">
        <v>268</v>
      </c>
      <c r="N955" s="163" t="s">
        <v>272</v>
      </c>
      <c r="O955" s="166" t="s">
        <v>297</v>
      </c>
      <c r="P955" s="167">
        <v>6834775.6500000004</v>
      </c>
      <c r="Q955" s="167">
        <v>0</v>
      </c>
      <c r="R955" s="167">
        <v>0</v>
      </c>
      <c r="S955" s="167">
        <f>P955-Q955-R955</f>
        <v>6834775.6500000004</v>
      </c>
      <c r="T955" s="167">
        <f t="shared" si="267"/>
        <v>826.35720477767427</v>
      </c>
      <c r="U955" s="167">
        <v>1163.0393271284988</v>
      </c>
      <c r="V955" s="149">
        <f t="shared" si="285"/>
        <v>336.68212235082456</v>
      </c>
      <c r="W955" s="149">
        <f t="shared" si="298"/>
        <v>1163.0393271284988</v>
      </c>
      <c r="X955" s="149">
        <v>0</v>
      </c>
      <c r="Y955" s="368">
        <v>0</v>
      </c>
      <c r="Z955" s="368">
        <v>0</v>
      </c>
      <c r="AA955" s="368">
        <v>0</v>
      </c>
      <c r="AB955" s="368">
        <v>0</v>
      </c>
      <c r="AC955" s="368">
        <v>0</v>
      </c>
      <c r="AD955" s="368">
        <v>0</v>
      </c>
      <c r="AE955" s="368">
        <v>1541.85</v>
      </c>
      <c r="AF955" s="396">
        <f t="shared" si="299"/>
        <v>1163.0393271284988</v>
      </c>
      <c r="AG955" s="368">
        <v>0</v>
      </c>
      <c r="AH955" s="396">
        <v>0</v>
      </c>
      <c r="AI955" s="368">
        <v>0</v>
      </c>
      <c r="AJ955" s="396">
        <v>0</v>
      </c>
      <c r="AK955" s="368">
        <v>0</v>
      </c>
      <c r="AL955" s="368">
        <v>0</v>
      </c>
      <c r="AM955" s="368">
        <v>0</v>
      </c>
      <c r="AN955" s="368"/>
      <c r="AO955" s="368">
        <v>0</v>
      </c>
    </row>
    <row r="956" spans="1:191" s="121" customFormat="1" ht="36" customHeight="1" x14ac:dyDescent="0.9">
      <c r="A956" s="152">
        <v>1</v>
      </c>
      <c r="B956" s="90">
        <f>SUBTOTAL(103,$A$554:A956)</f>
        <v>356</v>
      </c>
      <c r="C956" s="176" t="s">
        <v>159</v>
      </c>
      <c r="D956" s="163">
        <v>1979</v>
      </c>
      <c r="E956" s="163"/>
      <c r="F956" s="178" t="s">
        <v>270</v>
      </c>
      <c r="G956" s="163">
        <v>2</v>
      </c>
      <c r="H956" s="163">
        <v>3</v>
      </c>
      <c r="I956" s="164">
        <v>1556.1</v>
      </c>
      <c r="J956" s="164">
        <v>863</v>
      </c>
      <c r="K956" s="164">
        <v>863</v>
      </c>
      <c r="L956" s="177">
        <v>32</v>
      </c>
      <c r="M956" s="163" t="s">
        <v>268</v>
      </c>
      <c r="N956" s="163" t="s">
        <v>272</v>
      </c>
      <c r="O956" s="163" t="s">
        <v>297</v>
      </c>
      <c r="P956" s="164">
        <v>3873479.02</v>
      </c>
      <c r="Q956" s="164">
        <v>0</v>
      </c>
      <c r="R956" s="164">
        <v>0</v>
      </c>
      <c r="S956" s="164">
        <f>P956-Q956-R956</f>
        <v>3873479.02</v>
      </c>
      <c r="T956" s="167">
        <f t="shared" si="267"/>
        <v>2489.2224278645331</v>
      </c>
      <c r="U956" s="167">
        <v>2974.0768902384166</v>
      </c>
      <c r="V956" s="149">
        <f t="shared" si="285"/>
        <v>484.85446237388351</v>
      </c>
      <c r="W956" s="149">
        <f t="shared" si="298"/>
        <v>2974.0768902384166</v>
      </c>
      <c r="X956" s="149">
        <v>0</v>
      </c>
      <c r="Y956" s="368">
        <v>0</v>
      </c>
      <c r="Z956" s="368">
        <v>0</v>
      </c>
      <c r="AA956" s="368">
        <v>0</v>
      </c>
      <c r="AB956" s="368">
        <v>0</v>
      </c>
      <c r="AC956" s="368">
        <v>0</v>
      </c>
      <c r="AD956" s="368">
        <v>0</v>
      </c>
      <c r="AE956" s="368">
        <v>741.79</v>
      </c>
      <c r="AF956" s="396">
        <f t="shared" si="299"/>
        <v>2974.0768902384166</v>
      </c>
      <c r="AG956" s="368">
        <v>0</v>
      </c>
      <c r="AH956" s="396">
        <v>0</v>
      </c>
      <c r="AI956" s="368">
        <v>0</v>
      </c>
      <c r="AJ956" s="396">
        <v>0</v>
      </c>
      <c r="AK956" s="368">
        <v>0</v>
      </c>
      <c r="AL956" s="368">
        <v>0</v>
      </c>
      <c r="AM956" s="368">
        <v>0</v>
      </c>
      <c r="AN956" s="368"/>
      <c r="AO956" s="368">
        <v>0</v>
      </c>
      <c r="AP956" s="152"/>
      <c r="DQ956" s="123"/>
      <c r="DR956" s="123"/>
      <c r="DS956" s="123"/>
      <c r="EG956" s="124"/>
      <c r="EP956" s="125"/>
      <c r="FS956" s="126"/>
      <c r="GI956" s="127"/>
    </row>
    <row r="957" spans="1:191" s="152" customFormat="1" ht="36" customHeight="1" x14ac:dyDescent="0.9">
      <c r="B957" s="382" t="s">
        <v>867</v>
      </c>
      <c r="C957" s="388"/>
      <c r="D957" s="384" t="s">
        <v>903</v>
      </c>
      <c r="E957" s="163" t="s">
        <v>903</v>
      </c>
      <c r="F957" s="384" t="s">
        <v>903</v>
      </c>
      <c r="G957" s="384" t="s">
        <v>903</v>
      </c>
      <c r="H957" s="163" t="s">
        <v>903</v>
      </c>
      <c r="I957" s="386">
        <f>SUM(I958:I960)</f>
        <v>4664.58</v>
      </c>
      <c r="J957" s="164">
        <f t="shared" ref="J957:L957" si="300">SUM(J958:J960)</f>
        <v>3946.58</v>
      </c>
      <c r="K957" s="164">
        <f t="shared" si="300"/>
        <v>3632.2</v>
      </c>
      <c r="L957" s="165">
        <f t="shared" si="300"/>
        <v>158</v>
      </c>
      <c r="M957" s="163" t="s">
        <v>903</v>
      </c>
      <c r="N957" s="163" t="s">
        <v>903</v>
      </c>
      <c r="O957" s="166" t="s">
        <v>903</v>
      </c>
      <c r="P957" s="387">
        <v>11170130.879999999</v>
      </c>
      <c r="Q957" s="167">
        <f t="shared" ref="Q957:S957" si="301">SUM(Q958:Q960)</f>
        <v>0</v>
      </c>
      <c r="R957" s="167">
        <f t="shared" si="301"/>
        <v>0</v>
      </c>
      <c r="S957" s="167">
        <f t="shared" si="301"/>
        <v>11170130.879999999</v>
      </c>
      <c r="T957" s="387">
        <f t="shared" si="267"/>
        <v>2394.6702339760491</v>
      </c>
      <c r="U957" s="387">
        <f>MAX(U959:U960)</f>
        <v>8515.4231614623004</v>
      </c>
      <c r="V957" s="149">
        <f t="shared" si="285"/>
        <v>6120.7529274862518</v>
      </c>
      <c r="W957" s="149"/>
      <c r="X957" s="149"/>
      <c r="Y957" s="368"/>
      <c r="Z957" s="368"/>
      <c r="AA957" s="368"/>
      <c r="AB957" s="368"/>
      <c r="AC957" s="368"/>
      <c r="AD957" s="368"/>
      <c r="AE957" s="368"/>
      <c r="AF957" s="368"/>
      <c r="AG957" s="368"/>
      <c r="AH957" s="368"/>
      <c r="AI957" s="368"/>
      <c r="AJ957" s="368"/>
      <c r="AK957" s="368"/>
      <c r="AL957" s="368"/>
      <c r="AM957" s="368"/>
      <c r="AN957" s="368"/>
      <c r="AO957" s="368"/>
    </row>
    <row r="958" spans="1:191" s="152" customFormat="1" ht="36" customHeight="1" x14ac:dyDescent="0.9">
      <c r="A958" s="152">
        <v>1</v>
      </c>
      <c r="B958" s="90">
        <f>SUBTOTAL(103,$A$554:A958)</f>
        <v>357</v>
      </c>
      <c r="C958" s="89" t="s">
        <v>96</v>
      </c>
      <c r="D958" s="163">
        <v>1967</v>
      </c>
      <c r="E958" s="163"/>
      <c r="F958" s="168" t="s">
        <v>270</v>
      </c>
      <c r="G958" s="163">
        <v>2</v>
      </c>
      <c r="H958" s="163">
        <v>2</v>
      </c>
      <c r="I958" s="164">
        <v>987</v>
      </c>
      <c r="J958" s="164">
        <v>915.8</v>
      </c>
      <c r="K958" s="164">
        <v>915.8</v>
      </c>
      <c r="L958" s="165">
        <v>33</v>
      </c>
      <c r="M958" s="163" t="s">
        <v>268</v>
      </c>
      <c r="N958" s="163" t="s">
        <v>272</v>
      </c>
      <c r="O958" s="166" t="s">
        <v>285</v>
      </c>
      <c r="P958" s="167">
        <v>4020786</v>
      </c>
      <c r="Q958" s="167">
        <v>0</v>
      </c>
      <c r="R958" s="167">
        <v>0</v>
      </c>
      <c r="S958" s="167">
        <f>P958-Q958-R958</f>
        <v>4020786</v>
      </c>
      <c r="T958" s="167">
        <f t="shared" ref="T958:T966" si="302">P958/I958</f>
        <v>4073.744680851064</v>
      </c>
      <c r="U958" s="167">
        <v>4867.2347517730495</v>
      </c>
      <c r="V958" s="149">
        <f t="shared" si="285"/>
        <v>793.49007092198553</v>
      </c>
      <c r="W958" s="149">
        <f t="shared" ref="W958:W960" si="303">X958+Y958+Z958+AA958+AB958+AD958+AF958+AH958+AJ958+AL958+AN958+AO958</f>
        <v>4867.2347517730495</v>
      </c>
      <c r="X958" s="149">
        <v>0</v>
      </c>
      <c r="Y958" s="368">
        <v>0</v>
      </c>
      <c r="Z958" s="368">
        <v>0</v>
      </c>
      <c r="AA958" s="368">
        <v>0</v>
      </c>
      <c r="AB958" s="368">
        <v>0</v>
      </c>
      <c r="AC958" s="368">
        <v>0</v>
      </c>
      <c r="AD958" s="368">
        <v>0</v>
      </c>
      <c r="AE958" s="368">
        <v>770</v>
      </c>
      <c r="AF958" s="396">
        <f t="shared" ref="AF958:AF960" si="304">6238.91*AE958/I958</f>
        <v>4867.2347517730495</v>
      </c>
      <c r="AG958" s="368">
        <v>0</v>
      </c>
      <c r="AH958" s="396">
        <v>0</v>
      </c>
      <c r="AI958" s="368">
        <v>0</v>
      </c>
      <c r="AJ958" s="396">
        <v>0</v>
      </c>
      <c r="AK958" s="368">
        <v>0</v>
      </c>
      <c r="AL958" s="368">
        <v>0</v>
      </c>
      <c r="AM958" s="368">
        <v>0</v>
      </c>
      <c r="AN958" s="368"/>
      <c r="AO958" s="368">
        <v>0</v>
      </c>
    </row>
    <row r="959" spans="1:191" s="152" customFormat="1" ht="36" customHeight="1" x14ac:dyDescent="0.9">
      <c r="A959" s="152">
        <v>1</v>
      </c>
      <c r="B959" s="90">
        <f>SUBTOTAL(103,$A$554:A959)</f>
        <v>358</v>
      </c>
      <c r="C959" s="89" t="s">
        <v>95</v>
      </c>
      <c r="D959" s="163">
        <v>1971</v>
      </c>
      <c r="E959" s="163"/>
      <c r="F959" s="168" t="s">
        <v>270</v>
      </c>
      <c r="G959" s="163">
        <v>5</v>
      </c>
      <c r="H959" s="163">
        <v>4</v>
      </c>
      <c r="I959" s="164">
        <v>3414.98</v>
      </c>
      <c r="J959" s="164">
        <v>2878.58</v>
      </c>
      <c r="K959" s="164">
        <v>2564.1999999999998</v>
      </c>
      <c r="L959" s="165">
        <v>115</v>
      </c>
      <c r="M959" s="163" t="s">
        <v>268</v>
      </c>
      <c r="N959" s="163" t="s">
        <v>272</v>
      </c>
      <c r="O959" s="166" t="s">
        <v>283</v>
      </c>
      <c r="P959" s="167">
        <v>5002484.3999999994</v>
      </c>
      <c r="Q959" s="167">
        <v>0</v>
      </c>
      <c r="R959" s="167">
        <v>0</v>
      </c>
      <c r="S959" s="167">
        <f>P959-Q959-R959</f>
        <v>5002484.3999999994</v>
      </c>
      <c r="T959" s="167">
        <f t="shared" si="302"/>
        <v>1464.8649186818077</v>
      </c>
      <c r="U959" s="167">
        <v>1750.1934945446239</v>
      </c>
      <c r="V959" s="149">
        <f t="shared" si="285"/>
        <v>285.32857586281625</v>
      </c>
      <c r="W959" s="149">
        <f t="shared" si="303"/>
        <v>1750.1934945446239</v>
      </c>
      <c r="X959" s="149">
        <v>0</v>
      </c>
      <c r="Y959" s="368">
        <v>0</v>
      </c>
      <c r="Z959" s="368">
        <v>0</v>
      </c>
      <c r="AA959" s="368">
        <v>0</v>
      </c>
      <c r="AB959" s="368">
        <v>0</v>
      </c>
      <c r="AC959" s="368">
        <v>0</v>
      </c>
      <c r="AD959" s="368">
        <v>0</v>
      </c>
      <c r="AE959" s="368">
        <v>958</v>
      </c>
      <c r="AF959" s="396">
        <f t="shared" si="304"/>
        <v>1750.1934945446239</v>
      </c>
      <c r="AG959" s="368">
        <v>0</v>
      </c>
      <c r="AH959" s="396">
        <v>0</v>
      </c>
      <c r="AI959" s="368">
        <v>0</v>
      </c>
      <c r="AJ959" s="396">
        <v>0</v>
      </c>
      <c r="AK959" s="368">
        <v>0</v>
      </c>
      <c r="AL959" s="368">
        <v>0</v>
      </c>
      <c r="AM959" s="368">
        <v>0</v>
      </c>
      <c r="AN959" s="368"/>
      <c r="AO959" s="368">
        <v>0</v>
      </c>
    </row>
    <row r="960" spans="1:191" s="152" customFormat="1" ht="36" customHeight="1" x14ac:dyDescent="0.9">
      <c r="A960" s="152">
        <v>1</v>
      </c>
      <c r="B960" s="90">
        <f>SUBTOTAL(103,$A$554:A960)</f>
        <v>359</v>
      </c>
      <c r="C960" s="89" t="s">
        <v>1280</v>
      </c>
      <c r="D960" s="163">
        <v>1917</v>
      </c>
      <c r="E960" s="163"/>
      <c r="F960" s="168" t="s">
        <v>270</v>
      </c>
      <c r="G960" s="163">
        <v>2</v>
      </c>
      <c r="H960" s="163">
        <v>1</v>
      </c>
      <c r="I960" s="167">
        <v>262.60000000000002</v>
      </c>
      <c r="J960" s="167">
        <v>152.19999999999999</v>
      </c>
      <c r="K960" s="167">
        <v>152.19999999999999</v>
      </c>
      <c r="L960" s="165">
        <v>10</v>
      </c>
      <c r="M960" s="163" t="s">
        <v>268</v>
      </c>
      <c r="N960" s="163" t="s">
        <v>269</v>
      </c>
      <c r="O960" s="166" t="s">
        <v>271</v>
      </c>
      <c r="P960" s="167">
        <v>2146860.48</v>
      </c>
      <c r="Q960" s="167">
        <v>0</v>
      </c>
      <c r="R960" s="167">
        <v>0</v>
      </c>
      <c r="S960" s="167">
        <f>P960-Q960-R960</f>
        <v>2146860.48</v>
      </c>
      <c r="T960" s="167">
        <f t="shared" si="302"/>
        <v>8175.4016755521698</v>
      </c>
      <c r="U960" s="167">
        <v>8515.4231614623004</v>
      </c>
      <c r="V960" s="149">
        <f t="shared" si="285"/>
        <v>340.02148591013065</v>
      </c>
      <c r="W960" s="149">
        <f t="shared" si="303"/>
        <v>8515.4231614623004</v>
      </c>
      <c r="X960" s="149">
        <v>0</v>
      </c>
      <c r="Y960" s="368">
        <v>0</v>
      </c>
      <c r="Z960" s="368">
        <v>0</v>
      </c>
      <c r="AA960" s="368">
        <v>0</v>
      </c>
      <c r="AB960" s="368">
        <v>0</v>
      </c>
      <c r="AC960" s="368">
        <v>0</v>
      </c>
      <c r="AD960" s="368">
        <v>0</v>
      </c>
      <c r="AE960" s="368">
        <v>358.42</v>
      </c>
      <c r="AF960" s="396">
        <f t="shared" si="304"/>
        <v>8515.4231614623004</v>
      </c>
      <c r="AG960" s="368">
        <v>0</v>
      </c>
      <c r="AH960" s="396">
        <v>0</v>
      </c>
      <c r="AI960" s="368">
        <v>0</v>
      </c>
      <c r="AJ960" s="396">
        <v>0</v>
      </c>
      <c r="AK960" s="368">
        <v>0</v>
      </c>
      <c r="AL960" s="368">
        <v>0</v>
      </c>
      <c r="AM960" s="368">
        <v>0</v>
      </c>
      <c r="AN960" s="368"/>
      <c r="AO960" s="368">
        <v>0</v>
      </c>
    </row>
    <row r="961" spans="1:41" s="152" customFormat="1" ht="36" customHeight="1" x14ac:dyDescent="0.9">
      <c r="B961" s="382" t="s">
        <v>868</v>
      </c>
      <c r="C961" s="382"/>
      <c r="D961" s="384" t="s">
        <v>903</v>
      </c>
      <c r="E961" s="163" t="s">
        <v>903</v>
      </c>
      <c r="F961" s="384" t="s">
        <v>903</v>
      </c>
      <c r="G961" s="384" t="s">
        <v>903</v>
      </c>
      <c r="H961" s="163" t="s">
        <v>903</v>
      </c>
      <c r="I961" s="386">
        <f>I962</f>
        <v>708.1</v>
      </c>
      <c r="J961" s="164">
        <f>J962</f>
        <v>650.9</v>
      </c>
      <c r="K961" s="164">
        <f>K962</f>
        <v>650.9</v>
      </c>
      <c r="L961" s="165">
        <f>L962</f>
        <v>43</v>
      </c>
      <c r="M961" s="163" t="s">
        <v>903</v>
      </c>
      <c r="N961" s="163" t="s">
        <v>903</v>
      </c>
      <c r="O961" s="166" t="s">
        <v>903</v>
      </c>
      <c r="P961" s="387">
        <v>3103317.94</v>
      </c>
      <c r="Q961" s="167">
        <f>Q962</f>
        <v>0</v>
      </c>
      <c r="R961" s="167">
        <f>R962</f>
        <v>0</v>
      </c>
      <c r="S961" s="167">
        <f>S962</f>
        <v>3103317.94</v>
      </c>
      <c r="T961" s="387">
        <f t="shared" si="302"/>
        <v>4382.5984183024993</v>
      </c>
      <c r="U961" s="387">
        <f>U962</f>
        <v>5198.3574353904814</v>
      </c>
      <c r="V961" s="149">
        <f t="shared" si="285"/>
        <v>815.7590170879821</v>
      </c>
      <c r="W961" s="149"/>
      <c r="X961" s="149"/>
      <c r="Y961" s="368"/>
      <c r="Z961" s="368"/>
      <c r="AA961" s="368"/>
      <c r="AB961" s="368"/>
      <c r="AC961" s="368"/>
      <c r="AD961" s="368"/>
      <c r="AE961" s="368"/>
      <c r="AF961" s="368"/>
      <c r="AG961" s="368"/>
      <c r="AH961" s="368"/>
      <c r="AI961" s="368"/>
      <c r="AJ961" s="368"/>
      <c r="AK961" s="368"/>
      <c r="AL961" s="368"/>
      <c r="AM961" s="368"/>
      <c r="AN961" s="368"/>
      <c r="AO961" s="368"/>
    </row>
    <row r="962" spans="1:41" s="152" customFormat="1" ht="36" customHeight="1" x14ac:dyDescent="0.9">
      <c r="A962" s="152">
        <v>1</v>
      </c>
      <c r="B962" s="90">
        <f>SUBTOTAL(103,$A$554:A962)</f>
        <v>360</v>
      </c>
      <c r="C962" s="89" t="s">
        <v>97</v>
      </c>
      <c r="D962" s="163">
        <v>1969</v>
      </c>
      <c r="E962" s="163"/>
      <c r="F962" s="168" t="s">
        <v>270</v>
      </c>
      <c r="G962" s="163">
        <v>2</v>
      </c>
      <c r="H962" s="163">
        <v>2</v>
      </c>
      <c r="I962" s="164">
        <v>708.1</v>
      </c>
      <c r="J962" s="164">
        <v>650.9</v>
      </c>
      <c r="K962" s="164">
        <v>650.9</v>
      </c>
      <c r="L962" s="165">
        <v>43</v>
      </c>
      <c r="M962" s="163" t="s">
        <v>268</v>
      </c>
      <c r="N962" s="163" t="s">
        <v>272</v>
      </c>
      <c r="O962" s="166" t="s">
        <v>1008</v>
      </c>
      <c r="P962" s="167">
        <v>3103317.94</v>
      </c>
      <c r="Q962" s="167">
        <v>0</v>
      </c>
      <c r="R962" s="167">
        <v>0</v>
      </c>
      <c r="S962" s="167">
        <f>P962-Q962-R962</f>
        <v>3103317.94</v>
      </c>
      <c r="T962" s="167">
        <f t="shared" si="302"/>
        <v>4382.5984183024993</v>
      </c>
      <c r="U962" s="167">
        <v>5198.3574353904814</v>
      </c>
      <c r="V962" s="149">
        <f>U962-T962</f>
        <v>815.7590170879821</v>
      </c>
      <c r="W962" s="149">
        <f>X962+Y962+Z962+AA962+AB962+AD962+AF962+AH962+AJ962+AL962+AN962+AO962</f>
        <v>5198.3574353904814</v>
      </c>
      <c r="X962" s="149">
        <v>0</v>
      </c>
      <c r="Y962" s="368">
        <v>0</v>
      </c>
      <c r="Z962" s="368">
        <v>0</v>
      </c>
      <c r="AA962" s="368">
        <v>0</v>
      </c>
      <c r="AB962" s="368">
        <v>0</v>
      </c>
      <c r="AC962" s="368">
        <v>0</v>
      </c>
      <c r="AD962" s="368">
        <v>0</v>
      </c>
      <c r="AE962" s="368">
        <v>590</v>
      </c>
      <c r="AF962" s="396">
        <f>6238.91*AE962/I962</f>
        <v>5198.3574353904814</v>
      </c>
      <c r="AG962" s="368">
        <v>0</v>
      </c>
      <c r="AH962" s="396">
        <v>0</v>
      </c>
      <c r="AI962" s="368">
        <v>0</v>
      </c>
      <c r="AJ962" s="396">
        <v>0</v>
      </c>
      <c r="AK962" s="368">
        <v>0</v>
      </c>
      <c r="AL962" s="368">
        <v>0</v>
      </c>
      <c r="AM962" s="368">
        <v>0</v>
      </c>
      <c r="AN962" s="368"/>
      <c r="AO962" s="368">
        <v>0</v>
      </c>
    </row>
    <row r="963" spans="1:41" s="152" customFormat="1" ht="36" customHeight="1" x14ac:dyDescent="0.9">
      <c r="B963" s="382" t="s">
        <v>892</v>
      </c>
      <c r="C963" s="382"/>
      <c r="D963" s="384" t="s">
        <v>903</v>
      </c>
      <c r="E963" s="163" t="s">
        <v>903</v>
      </c>
      <c r="F963" s="384" t="s">
        <v>903</v>
      </c>
      <c r="G963" s="384" t="s">
        <v>903</v>
      </c>
      <c r="H963" s="163" t="s">
        <v>903</v>
      </c>
      <c r="I963" s="386">
        <f>I964</f>
        <v>788.3</v>
      </c>
      <c r="J963" s="164">
        <f>J964</f>
        <v>726.9</v>
      </c>
      <c r="K963" s="164">
        <f>K964</f>
        <v>726.9</v>
      </c>
      <c r="L963" s="165">
        <f>L964</f>
        <v>20</v>
      </c>
      <c r="M963" s="163" t="s">
        <v>903</v>
      </c>
      <c r="N963" s="163" t="s">
        <v>903</v>
      </c>
      <c r="O963" s="166" t="s">
        <v>903</v>
      </c>
      <c r="P963" s="387">
        <v>3655260</v>
      </c>
      <c r="Q963" s="167">
        <f>Q964</f>
        <v>0</v>
      </c>
      <c r="R963" s="167">
        <f>R964</f>
        <v>0</v>
      </c>
      <c r="S963" s="167">
        <f>S964</f>
        <v>3655260</v>
      </c>
      <c r="T963" s="387">
        <f t="shared" si="302"/>
        <v>4636.8895090701508</v>
      </c>
      <c r="U963" s="387">
        <f>U964</f>
        <v>5540.0697703919832</v>
      </c>
      <c r="V963" s="149">
        <f t="shared" si="285"/>
        <v>903.1802613218324</v>
      </c>
      <c r="W963" s="149"/>
      <c r="X963" s="149"/>
      <c r="Y963" s="368"/>
      <c r="Z963" s="368"/>
      <c r="AA963" s="368"/>
      <c r="AB963" s="368"/>
      <c r="AC963" s="368"/>
      <c r="AD963" s="368"/>
      <c r="AE963" s="368"/>
      <c r="AF963" s="368"/>
      <c r="AG963" s="368"/>
      <c r="AH963" s="368"/>
      <c r="AI963" s="368"/>
      <c r="AJ963" s="368"/>
      <c r="AK963" s="368"/>
      <c r="AL963" s="368"/>
      <c r="AM963" s="368"/>
      <c r="AN963" s="368"/>
      <c r="AO963" s="368"/>
    </row>
    <row r="964" spans="1:41" s="152" customFormat="1" ht="36" customHeight="1" x14ac:dyDescent="0.9">
      <c r="A964" s="152">
        <v>1</v>
      </c>
      <c r="B964" s="90">
        <f>SUBTOTAL(103,$A$554:A964)</f>
        <v>361</v>
      </c>
      <c r="C964" s="89" t="s">
        <v>98</v>
      </c>
      <c r="D964" s="163">
        <v>1972</v>
      </c>
      <c r="E964" s="163"/>
      <c r="F964" s="168" t="s">
        <v>270</v>
      </c>
      <c r="G964" s="163">
        <v>2</v>
      </c>
      <c r="H964" s="163">
        <v>2</v>
      </c>
      <c r="I964" s="164">
        <v>788.3</v>
      </c>
      <c r="J964" s="164">
        <v>726.9</v>
      </c>
      <c r="K964" s="164">
        <v>726.9</v>
      </c>
      <c r="L964" s="165">
        <v>20</v>
      </c>
      <c r="M964" s="163" t="s">
        <v>268</v>
      </c>
      <c r="N964" s="163" t="s">
        <v>286</v>
      </c>
      <c r="O964" s="166" t="s">
        <v>271</v>
      </c>
      <c r="P964" s="167">
        <v>3655260</v>
      </c>
      <c r="Q964" s="167">
        <v>0</v>
      </c>
      <c r="R964" s="167">
        <v>0</v>
      </c>
      <c r="S964" s="167">
        <f>P964-Q964-R964</f>
        <v>3655260</v>
      </c>
      <c r="T964" s="167">
        <f t="shared" si="302"/>
        <v>4636.8895090701508</v>
      </c>
      <c r="U964" s="167">
        <v>5540.0697703919832</v>
      </c>
      <c r="V964" s="149">
        <f>U964-T964</f>
        <v>903.1802613218324</v>
      </c>
      <c r="W964" s="149">
        <f>X964+Y964+Z964+AA964+AB964+AD964+AF964+AH964+AJ964+AL964+AN964+AO964</f>
        <v>5540.0697703919832</v>
      </c>
      <c r="X964" s="149">
        <v>0</v>
      </c>
      <c r="Y964" s="368">
        <v>0</v>
      </c>
      <c r="Z964" s="368">
        <v>0</v>
      </c>
      <c r="AA964" s="368">
        <v>0</v>
      </c>
      <c r="AB964" s="368">
        <v>0</v>
      </c>
      <c r="AC964" s="368">
        <v>0</v>
      </c>
      <c r="AD964" s="368">
        <v>0</v>
      </c>
      <c r="AE964" s="368">
        <v>700</v>
      </c>
      <c r="AF964" s="396">
        <f>6238.91*AE964/I964</f>
        <v>5540.0697703919832</v>
      </c>
      <c r="AG964" s="368">
        <v>0</v>
      </c>
      <c r="AH964" s="396">
        <v>0</v>
      </c>
      <c r="AI964" s="368">
        <v>0</v>
      </c>
      <c r="AJ964" s="396">
        <v>0</v>
      </c>
      <c r="AK964" s="368">
        <v>0</v>
      </c>
      <c r="AL964" s="368">
        <v>0</v>
      </c>
      <c r="AM964" s="368">
        <v>0</v>
      </c>
      <c r="AN964" s="368"/>
      <c r="AO964" s="368">
        <v>0</v>
      </c>
    </row>
    <row r="965" spans="1:41" s="152" customFormat="1" ht="36" customHeight="1" x14ac:dyDescent="0.9">
      <c r="B965" s="382" t="s">
        <v>870</v>
      </c>
      <c r="C965" s="382"/>
      <c r="D965" s="384" t="s">
        <v>903</v>
      </c>
      <c r="E965" s="163" t="s">
        <v>903</v>
      </c>
      <c r="F965" s="384" t="s">
        <v>903</v>
      </c>
      <c r="G965" s="384" t="s">
        <v>903</v>
      </c>
      <c r="H965" s="163" t="s">
        <v>903</v>
      </c>
      <c r="I965" s="386">
        <f>I966</f>
        <v>707.1</v>
      </c>
      <c r="J965" s="164">
        <f>J966</f>
        <v>649.5</v>
      </c>
      <c r="K965" s="164">
        <f>K966</f>
        <v>649.5</v>
      </c>
      <c r="L965" s="165">
        <f>L966</f>
        <v>32</v>
      </c>
      <c r="M965" s="163" t="s">
        <v>903</v>
      </c>
      <c r="N965" s="163" t="s">
        <v>903</v>
      </c>
      <c r="O965" s="166" t="s">
        <v>903</v>
      </c>
      <c r="P965" s="387">
        <v>3080862</v>
      </c>
      <c r="Q965" s="167">
        <f>Q966</f>
        <v>0</v>
      </c>
      <c r="R965" s="167">
        <f>R966</f>
        <v>0</v>
      </c>
      <c r="S965" s="167">
        <f>S966</f>
        <v>3080862</v>
      </c>
      <c r="T965" s="387">
        <f t="shared" si="302"/>
        <v>4357.0386084005086</v>
      </c>
      <c r="U965" s="387">
        <f>U966</f>
        <v>5205.7090934804128</v>
      </c>
      <c r="V965" s="149">
        <f t="shared" si="285"/>
        <v>848.67048507990421</v>
      </c>
      <c r="W965" s="149"/>
      <c r="X965" s="149"/>
      <c r="Y965" s="368"/>
      <c r="Z965" s="368"/>
      <c r="AA965" s="368"/>
      <c r="AB965" s="368"/>
      <c r="AC965" s="368"/>
      <c r="AD965" s="368"/>
      <c r="AE965" s="368"/>
      <c r="AF965" s="368"/>
      <c r="AG965" s="368"/>
      <c r="AH965" s="368"/>
      <c r="AI965" s="368"/>
      <c r="AJ965" s="368"/>
      <c r="AK965" s="368"/>
      <c r="AL965" s="368"/>
      <c r="AM965" s="368"/>
      <c r="AN965" s="368"/>
      <c r="AO965" s="368"/>
    </row>
    <row r="966" spans="1:41" s="152" customFormat="1" ht="36" customHeight="1" x14ac:dyDescent="0.9">
      <c r="A966" s="152">
        <v>1</v>
      </c>
      <c r="B966" s="90">
        <f>SUBTOTAL(103,$A$554:A966)</f>
        <v>362</v>
      </c>
      <c r="C966" s="89" t="s">
        <v>99</v>
      </c>
      <c r="D966" s="163">
        <v>1971</v>
      </c>
      <c r="E966" s="163"/>
      <c r="F966" s="168" t="s">
        <v>270</v>
      </c>
      <c r="G966" s="163">
        <v>2</v>
      </c>
      <c r="H966" s="163">
        <v>2</v>
      </c>
      <c r="I966" s="164">
        <v>707.1</v>
      </c>
      <c r="J966" s="164">
        <v>649.5</v>
      </c>
      <c r="K966" s="164">
        <v>649.5</v>
      </c>
      <c r="L966" s="165">
        <v>32</v>
      </c>
      <c r="M966" s="163" t="s">
        <v>268</v>
      </c>
      <c r="N966" s="163" t="s">
        <v>272</v>
      </c>
      <c r="O966" s="166" t="s">
        <v>285</v>
      </c>
      <c r="P966" s="167">
        <v>3080862</v>
      </c>
      <c r="Q966" s="167">
        <v>0</v>
      </c>
      <c r="R966" s="167">
        <v>0</v>
      </c>
      <c r="S966" s="167">
        <f>P966-Q966-R966</f>
        <v>3080862</v>
      </c>
      <c r="T966" s="167">
        <f t="shared" si="302"/>
        <v>4357.0386084005086</v>
      </c>
      <c r="U966" s="167">
        <v>5205.7090934804128</v>
      </c>
      <c r="V966" s="149">
        <f>U966-T966</f>
        <v>848.67048507990421</v>
      </c>
      <c r="W966" s="149">
        <f>X966+Y966+Z966+AA966+AB966+AD966+AF966+AH966+AJ966+AL966+AN966+AO966</f>
        <v>5205.7090934804128</v>
      </c>
      <c r="X966" s="149">
        <v>0</v>
      </c>
      <c r="Y966" s="368">
        <v>0</v>
      </c>
      <c r="Z966" s="368">
        <v>0</v>
      </c>
      <c r="AA966" s="368">
        <v>0</v>
      </c>
      <c r="AB966" s="368">
        <v>0</v>
      </c>
      <c r="AC966" s="368">
        <v>0</v>
      </c>
      <c r="AD966" s="368">
        <v>0</v>
      </c>
      <c r="AE966" s="368">
        <v>590</v>
      </c>
      <c r="AF966" s="396">
        <f>6238.91*AE966/I966</f>
        <v>5205.7090934804128</v>
      </c>
      <c r="AG966" s="368">
        <v>0</v>
      </c>
      <c r="AH966" s="396">
        <v>0</v>
      </c>
      <c r="AI966" s="368">
        <v>0</v>
      </c>
      <c r="AJ966" s="396">
        <v>0</v>
      </c>
      <c r="AK966" s="368">
        <v>0</v>
      </c>
      <c r="AL966" s="368">
        <v>0</v>
      </c>
      <c r="AM966" s="368">
        <v>0</v>
      </c>
      <c r="AN966" s="368"/>
      <c r="AO966" s="368">
        <v>0</v>
      </c>
    </row>
    <row r="967" spans="1:41" s="152" customFormat="1" ht="36" customHeight="1" x14ac:dyDescent="0.9">
      <c r="B967" s="382" t="s">
        <v>871</v>
      </c>
      <c r="C967" s="388"/>
      <c r="D967" s="384" t="s">
        <v>903</v>
      </c>
      <c r="E967" s="163" t="s">
        <v>903</v>
      </c>
      <c r="F967" s="384" t="s">
        <v>903</v>
      </c>
      <c r="G967" s="384" t="s">
        <v>903</v>
      </c>
      <c r="H967" s="163" t="s">
        <v>903</v>
      </c>
      <c r="I967" s="386">
        <f>SUM(I968:I971)</f>
        <v>2751.2</v>
      </c>
      <c r="J967" s="164">
        <f>SUM(J968:J971)</f>
        <v>1929.9</v>
      </c>
      <c r="K967" s="164">
        <f>SUM(K968:K971)</f>
        <v>1737.8999999999999</v>
      </c>
      <c r="L967" s="165">
        <f>SUM(L968:L971)</f>
        <v>78</v>
      </c>
      <c r="M967" s="163" t="s">
        <v>903</v>
      </c>
      <c r="N967" s="163" t="s">
        <v>903</v>
      </c>
      <c r="O967" s="166" t="s">
        <v>903</v>
      </c>
      <c r="P967" s="387">
        <v>9374338.0300000012</v>
      </c>
      <c r="Q967" s="167">
        <f>Q968+Q969+Q970</f>
        <v>0</v>
      </c>
      <c r="R967" s="167">
        <f>R968+R969+R970</f>
        <v>0</v>
      </c>
      <c r="S967" s="167">
        <f>SUM(S968:S971)</f>
        <v>9374338.0300000012</v>
      </c>
      <c r="T967" s="387">
        <f>P967/I967</f>
        <v>3407.3633432683928</v>
      </c>
      <c r="U967" s="387">
        <f>MAX(U968:U971)</f>
        <v>8500.7857333689553</v>
      </c>
      <c r="V967" s="149">
        <f t="shared" si="285"/>
        <v>5093.4223901005626</v>
      </c>
      <c r="W967" s="149"/>
      <c r="X967" s="149"/>
      <c r="Y967" s="368"/>
      <c r="Z967" s="368"/>
      <c r="AA967" s="368"/>
      <c r="AB967" s="368"/>
      <c r="AC967" s="368"/>
      <c r="AD967" s="368"/>
      <c r="AE967" s="368"/>
      <c r="AF967" s="368"/>
      <c r="AG967" s="368"/>
      <c r="AH967" s="368"/>
      <c r="AI967" s="368"/>
      <c r="AJ967" s="368"/>
      <c r="AK967" s="368"/>
      <c r="AL967" s="368"/>
      <c r="AM967" s="368"/>
      <c r="AN967" s="368"/>
      <c r="AO967" s="368"/>
    </row>
    <row r="968" spans="1:41" s="152" customFormat="1" ht="36" customHeight="1" x14ac:dyDescent="0.9">
      <c r="A968" s="152">
        <v>1</v>
      </c>
      <c r="B968" s="90">
        <f>SUBTOTAL(103,$A$554:A968)</f>
        <v>363</v>
      </c>
      <c r="C968" s="89" t="s">
        <v>190</v>
      </c>
      <c r="D968" s="163" t="s">
        <v>313</v>
      </c>
      <c r="E968" s="163"/>
      <c r="F968" s="168" t="s">
        <v>270</v>
      </c>
      <c r="G968" s="163" t="s">
        <v>307</v>
      </c>
      <c r="H968" s="163" t="s">
        <v>307</v>
      </c>
      <c r="I968" s="164">
        <v>953.3</v>
      </c>
      <c r="J968" s="164">
        <v>579.1</v>
      </c>
      <c r="K968" s="164">
        <v>542.29999999999995</v>
      </c>
      <c r="L968" s="165">
        <v>23</v>
      </c>
      <c r="M968" s="163" t="s">
        <v>268</v>
      </c>
      <c r="N968" s="163" t="s">
        <v>269</v>
      </c>
      <c r="O968" s="166" t="s">
        <v>271</v>
      </c>
      <c r="P968" s="167">
        <v>3524909.29</v>
      </c>
      <c r="Q968" s="167">
        <v>0</v>
      </c>
      <c r="R968" s="167">
        <v>0</v>
      </c>
      <c r="S968" s="167">
        <f>P968-Q968-R968</f>
        <v>3524909.29</v>
      </c>
      <c r="T968" s="167">
        <f t="shared" ref="T968:T1031" si="305">P968/I968</f>
        <v>3697.5865834469737</v>
      </c>
      <c r="U968" s="167">
        <v>4554.9998531417186</v>
      </c>
      <c r="V968" s="149">
        <f t="shared" si="285"/>
        <v>857.41326969474494</v>
      </c>
      <c r="W968" s="149">
        <f t="shared" ref="W968:W971" si="306">X968+Y968+Z968+AA968+AB968+AD968+AF968+AH968+AJ968+AL968+AN968+AO968</f>
        <v>4554.9998531417186</v>
      </c>
      <c r="X968" s="149">
        <v>0</v>
      </c>
      <c r="Y968" s="368">
        <v>0</v>
      </c>
      <c r="Z968" s="368">
        <v>0</v>
      </c>
      <c r="AA968" s="368">
        <v>0</v>
      </c>
      <c r="AB968" s="368">
        <v>0</v>
      </c>
      <c r="AC968" s="368">
        <v>0</v>
      </c>
      <c r="AD968" s="368">
        <v>0</v>
      </c>
      <c r="AE968" s="368">
        <v>696</v>
      </c>
      <c r="AF968" s="396">
        <f t="shared" ref="AF968:AF969" si="307">6238.91*AE968/I968</f>
        <v>4554.9998531417186</v>
      </c>
      <c r="AG968" s="368">
        <v>0</v>
      </c>
      <c r="AH968" s="396">
        <v>0</v>
      </c>
      <c r="AI968" s="368">
        <v>0</v>
      </c>
      <c r="AJ968" s="396">
        <v>0</v>
      </c>
      <c r="AK968" s="368">
        <v>0</v>
      </c>
      <c r="AL968" s="368">
        <v>0</v>
      </c>
      <c r="AM968" s="368">
        <v>0</v>
      </c>
      <c r="AN968" s="368"/>
      <c r="AO968" s="368">
        <v>0</v>
      </c>
    </row>
    <row r="969" spans="1:41" s="152" customFormat="1" ht="36" customHeight="1" x14ac:dyDescent="0.9">
      <c r="A969" s="152">
        <v>1</v>
      </c>
      <c r="B969" s="90">
        <f>SUBTOTAL(103,$A$554:A969)</f>
        <v>364</v>
      </c>
      <c r="C969" s="89" t="s">
        <v>191</v>
      </c>
      <c r="D969" s="163" t="s">
        <v>306</v>
      </c>
      <c r="E969" s="163"/>
      <c r="F969" s="168" t="s">
        <v>270</v>
      </c>
      <c r="G969" s="163" t="s">
        <v>307</v>
      </c>
      <c r="H969" s="163" t="s">
        <v>312</v>
      </c>
      <c r="I969" s="164">
        <v>374.3</v>
      </c>
      <c r="J969" s="164">
        <v>369</v>
      </c>
      <c r="K969" s="164">
        <v>278.10000000000002</v>
      </c>
      <c r="L969" s="165">
        <v>16</v>
      </c>
      <c r="M969" s="163" t="s">
        <v>268</v>
      </c>
      <c r="N969" s="163" t="s">
        <v>269</v>
      </c>
      <c r="O969" s="166" t="s">
        <v>271</v>
      </c>
      <c r="P969" s="167">
        <v>2601000</v>
      </c>
      <c r="Q969" s="167">
        <v>0</v>
      </c>
      <c r="R969" s="167">
        <v>0</v>
      </c>
      <c r="S969" s="167">
        <f>P969-Q969-R969</f>
        <v>2601000</v>
      </c>
      <c r="T969" s="167">
        <f t="shared" si="305"/>
        <v>6948.9714133048356</v>
      </c>
      <c r="U969" s="167">
        <v>8500.7857333689553</v>
      </c>
      <c r="V969" s="149">
        <f t="shared" si="285"/>
        <v>1551.8143200641198</v>
      </c>
      <c r="W969" s="149">
        <f t="shared" si="306"/>
        <v>8500.7857333689553</v>
      </c>
      <c r="X969" s="149">
        <v>0</v>
      </c>
      <c r="Y969" s="368">
        <v>0</v>
      </c>
      <c r="Z969" s="368">
        <v>0</v>
      </c>
      <c r="AA969" s="368">
        <v>0</v>
      </c>
      <c r="AB969" s="368">
        <v>0</v>
      </c>
      <c r="AC969" s="368">
        <v>0</v>
      </c>
      <c r="AD969" s="368">
        <v>0</v>
      </c>
      <c r="AE969" s="368">
        <v>510</v>
      </c>
      <c r="AF969" s="396">
        <f t="shared" si="307"/>
        <v>8500.7857333689553</v>
      </c>
      <c r="AG969" s="368">
        <v>0</v>
      </c>
      <c r="AH969" s="396">
        <v>0</v>
      </c>
      <c r="AI969" s="368">
        <v>0</v>
      </c>
      <c r="AJ969" s="396">
        <v>0</v>
      </c>
      <c r="AK969" s="368">
        <v>0</v>
      </c>
      <c r="AL969" s="368">
        <v>0</v>
      </c>
      <c r="AM969" s="368">
        <v>0</v>
      </c>
      <c r="AN969" s="368"/>
      <c r="AO969" s="368">
        <v>0</v>
      </c>
    </row>
    <row r="970" spans="1:41" s="152" customFormat="1" ht="36" customHeight="1" x14ac:dyDescent="0.9">
      <c r="A970" s="152">
        <v>1</v>
      </c>
      <c r="B970" s="90">
        <f>SUBTOTAL(103,$A$554:A970)</f>
        <v>365</v>
      </c>
      <c r="C970" s="89" t="s">
        <v>192</v>
      </c>
      <c r="D970" s="163" t="s">
        <v>311</v>
      </c>
      <c r="E970" s="163"/>
      <c r="F970" s="168" t="s">
        <v>322</v>
      </c>
      <c r="G970" s="163" t="s">
        <v>307</v>
      </c>
      <c r="H970" s="163" t="s">
        <v>308</v>
      </c>
      <c r="I970" s="164">
        <v>1058.5999999999999</v>
      </c>
      <c r="J970" s="164">
        <v>653.79999999999995</v>
      </c>
      <c r="K970" s="164">
        <v>608.29999999999995</v>
      </c>
      <c r="L970" s="165">
        <v>31</v>
      </c>
      <c r="M970" s="163" t="s">
        <v>268</v>
      </c>
      <c r="N970" s="163" t="s">
        <v>269</v>
      </c>
      <c r="O970" s="166" t="s">
        <v>271</v>
      </c>
      <c r="P970" s="167">
        <v>1603819.24</v>
      </c>
      <c r="Q970" s="167">
        <v>0</v>
      </c>
      <c r="R970" s="167">
        <v>0</v>
      </c>
      <c r="S970" s="167">
        <f>P970-Q970-R970</f>
        <v>1603819.24</v>
      </c>
      <c r="T970" s="167">
        <f t="shared" si="305"/>
        <v>1515.0380124692992</v>
      </c>
      <c r="U970" s="167">
        <v>3913.8351690912527</v>
      </c>
      <c r="V970" s="149">
        <f t="shared" si="285"/>
        <v>2398.7971566219535</v>
      </c>
      <c r="W970" s="149">
        <f t="shared" si="306"/>
        <v>3913.8351690912527</v>
      </c>
      <c r="X970" s="149">
        <v>0</v>
      </c>
      <c r="Y970" s="368">
        <v>0</v>
      </c>
      <c r="Z970" s="368">
        <v>0</v>
      </c>
      <c r="AA970" s="368">
        <v>0</v>
      </c>
      <c r="AB970" s="368">
        <v>0</v>
      </c>
      <c r="AC970" s="368">
        <v>0</v>
      </c>
      <c r="AD970" s="368">
        <v>0</v>
      </c>
      <c r="AE970" s="368">
        <v>0</v>
      </c>
      <c r="AF970" s="396">
        <v>0</v>
      </c>
      <c r="AG970" s="368">
        <v>0</v>
      </c>
      <c r="AH970" s="396">
        <v>0</v>
      </c>
      <c r="AI970" s="368">
        <v>531</v>
      </c>
      <c r="AJ970" s="397">
        <f>7802.61*AI970/I970</f>
        <v>3913.8351690912527</v>
      </c>
      <c r="AK970" s="368">
        <v>0</v>
      </c>
      <c r="AL970" s="368">
        <v>0</v>
      </c>
      <c r="AM970" s="368">
        <v>0</v>
      </c>
      <c r="AN970" s="368"/>
      <c r="AO970" s="368">
        <v>0</v>
      </c>
    </row>
    <row r="971" spans="1:41" s="152" customFormat="1" ht="36" customHeight="1" x14ac:dyDescent="0.9">
      <c r="A971" s="152">
        <v>1</v>
      </c>
      <c r="B971" s="90">
        <f>SUBTOTAL(103,$A$554:A971)</f>
        <v>366</v>
      </c>
      <c r="C971" s="89" t="s">
        <v>185</v>
      </c>
      <c r="D971" s="163" t="s">
        <v>306</v>
      </c>
      <c r="E971" s="163"/>
      <c r="F971" s="168" t="s">
        <v>270</v>
      </c>
      <c r="G971" s="163" t="s">
        <v>307</v>
      </c>
      <c r="H971" s="163" t="s">
        <v>308</v>
      </c>
      <c r="I971" s="167">
        <v>365</v>
      </c>
      <c r="J971" s="167">
        <v>328</v>
      </c>
      <c r="K971" s="167">
        <v>309.2</v>
      </c>
      <c r="L971" s="165">
        <v>8</v>
      </c>
      <c r="M971" s="163" t="s">
        <v>268</v>
      </c>
      <c r="N971" s="163" t="s">
        <v>269</v>
      </c>
      <c r="O971" s="166" t="s">
        <v>271</v>
      </c>
      <c r="P971" s="167">
        <v>1644609.5</v>
      </c>
      <c r="Q971" s="167">
        <v>0</v>
      </c>
      <c r="R971" s="167">
        <v>0</v>
      </c>
      <c r="S971" s="167">
        <f>P971-Q971-R971</f>
        <v>1644609.5</v>
      </c>
      <c r="T971" s="167">
        <f t="shared" si="305"/>
        <v>4505.7794520547941</v>
      </c>
      <c r="U971" s="167">
        <v>5162.0570410958908</v>
      </c>
      <c r="V971" s="149">
        <f t="shared" si="285"/>
        <v>656.27758904109669</v>
      </c>
      <c r="W971" s="149">
        <f t="shared" si="306"/>
        <v>5162.0570410958908</v>
      </c>
      <c r="X971" s="149">
        <v>0</v>
      </c>
      <c r="Y971" s="368">
        <v>0</v>
      </c>
      <c r="Z971" s="368">
        <v>0</v>
      </c>
      <c r="AA971" s="368">
        <v>0</v>
      </c>
      <c r="AB971" s="368">
        <v>0</v>
      </c>
      <c r="AC971" s="368">
        <v>0</v>
      </c>
      <c r="AD971" s="368">
        <v>0</v>
      </c>
      <c r="AE971" s="368">
        <v>302</v>
      </c>
      <c r="AF971" s="396">
        <f>6238.91*AE971/I971</f>
        <v>5162.0570410958908</v>
      </c>
      <c r="AG971" s="368">
        <v>0</v>
      </c>
      <c r="AH971" s="396">
        <v>0</v>
      </c>
      <c r="AI971" s="368">
        <v>0</v>
      </c>
      <c r="AJ971" s="396">
        <v>0</v>
      </c>
      <c r="AK971" s="368">
        <v>0</v>
      </c>
      <c r="AL971" s="368">
        <v>0</v>
      </c>
      <c r="AM971" s="368">
        <v>0</v>
      </c>
      <c r="AN971" s="368"/>
      <c r="AO971" s="368">
        <v>0</v>
      </c>
    </row>
    <row r="972" spans="1:41" s="152" customFormat="1" ht="36" customHeight="1" x14ac:dyDescent="0.9">
      <c r="B972" s="382" t="s">
        <v>873</v>
      </c>
      <c r="C972" s="382"/>
      <c r="D972" s="384" t="s">
        <v>903</v>
      </c>
      <c r="E972" s="163" t="s">
        <v>903</v>
      </c>
      <c r="F972" s="384" t="s">
        <v>903</v>
      </c>
      <c r="G972" s="384" t="s">
        <v>903</v>
      </c>
      <c r="H972" s="163" t="s">
        <v>903</v>
      </c>
      <c r="I972" s="386">
        <f>I973</f>
        <v>834.7</v>
      </c>
      <c r="J972" s="164">
        <f>J973</f>
        <v>476.3</v>
      </c>
      <c r="K972" s="164">
        <f>K973</f>
        <v>476.3</v>
      </c>
      <c r="L972" s="165">
        <f>L973</f>
        <v>54</v>
      </c>
      <c r="M972" s="163" t="s">
        <v>903</v>
      </c>
      <c r="N972" s="163" t="s">
        <v>903</v>
      </c>
      <c r="O972" s="166" t="s">
        <v>903</v>
      </c>
      <c r="P972" s="387">
        <v>4275483</v>
      </c>
      <c r="Q972" s="167">
        <f>Q973</f>
        <v>0</v>
      </c>
      <c r="R972" s="167">
        <f>R973</f>
        <v>0</v>
      </c>
      <c r="S972" s="167">
        <f>S973</f>
        <v>4275483</v>
      </c>
      <c r="T972" s="387">
        <f t="shared" si="305"/>
        <v>5122.1792260692464</v>
      </c>
      <c r="U972" s="387">
        <f>U973</f>
        <v>6266.0421951599374</v>
      </c>
      <c r="V972" s="149">
        <f t="shared" si="285"/>
        <v>1143.862969090691</v>
      </c>
      <c r="W972" s="149"/>
      <c r="X972" s="149"/>
      <c r="Y972" s="368"/>
      <c r="Z972" s="368"/>
      <c r="AA972" s="368"/>
      <c r="AB972" s="368"/>
      <c r="AC972" s="368"/>
      <c r="AD972" s="368"/>
      <c r="AE972" s="368"/>
      <c r="AF972" s="368"/>
      <c r="AG972" s="368"/>
      <c r="AH972" s="368"/>
      <c r="AI972" s="368"/>
      <c r="AJ972" s="368"/>
      <c r="AK972" s="368"/>
      <c r="AL972" s="368"/>
      <c r="AM972" s="368"/>
      <c r="AN972" s="368"/>
      <c r="AO972" s="368"/>
    </row>
    <row r="973" spans="1:41" s="152" customFormat="1" ht="36" customHeight="1" x14ac:dyDescent="0.9">
      <c r="A973" s="152">
        <v>1</v>
      </c>
      <c r="B973" s="90">
        <f>SUBTOTAL(103,$A$554:A973)</f>
        <v>367</v>
      </c>
      <c r="C973" s="89" t="s">
        <v>194</v>
      </c>
      <c r="D973" s="163" t="s">
        <v>314</v>
      </c>
      <c r="E973" s="163"/>
      <c r="F973" s="168" t="s">
        <v>315</v>
      </c>
      <c r="G973" s="163" t="s">
        <v>307</v>
      </c>
      <c r="H973" s="163" t="s">
        <v>316</v>
      </c>
      <c r="I973" s="164">
        <v>834.7</v>
      </c>
      <c r="J973" s="164">
        <v>476.3</v>
      </c>
      <c r="K973" s="164">
        <v>476.3</v>
      </c>
      <c r="L973" s="165">
        <v>54</v>
      </c>
      <c r="M973" s="163" t="s">
        <v>268</v>
      </c>
      <c r="N973" s="163" t="s">
        <v>269</v>
      </c>
      <c r="O973" s="166" t="s">
        <v>271</v>
      </c>
      <c r="P973" s="167">
        <v>4275483</v>
      </c>
      <c r="Q973" s="167">
        <v>0</v>
      </c>
      <c r="R973" s="167">
        <v>0</v>
      </c>
      <c r="S973" s="167">
        <f>P973-Q973-R973</f>
        <v>4275483</v>
      </c>
      <c r="T973" s="167">
        <f t="shared" si="305"/>
        <v>5122.1792260692464</v>
      </c>
      <c r="U973" s="167">
        <v>6266.0421951599374</v>
      </c>
      <c r="V973" s="149">
        <f>U973-T973</f>
        <v>1143.862969090691</v>
      </c>
      <c r="W973" s="149">
        <f>X973+Y973+Z973+AA973+AB973+AD973+AF973+AH973+AJ973+AL973+AN973+AO973</f>
        <v>6266.0421951599374</v>
      </c>
      <c r="X973" s="149">
        <v>0</v>
      </c>
      <c r="Y973" s="368">
        <v>0</v>
      </c>
      <c r="Z973" s="368">
        <v>0</v>
      </c>
      <c r="AA973" s="368">
        <v>0</v>
      </c>
      <c r="AB973" s="368">
        <v>0</v>
      </c>
      <c r="AC973" s="368">
        <v>0</v>
      </c>
      <c r="AD973" s="368">
        <v>0</v>
      </c>
      <c r="AE973" s="368">
        <v>838.33</v>
      </c>
      <c r="AF973" s="396">
        <f>6238.91*AE973/I973</f>
        <v>6266.0421951599374</v>
      </c>
      <c r="AG973" s="368">
        <v>0</v>
      </c>
      <c r="AH973" s="396">
        <v>0</v>
      </c>
      <c r="AI973" s="368">
        <v>0</v>
      </c>
      <c r="AJ973" s="396">
        <v>0</v>
      </c>
      <c r="AK973" s="368">
        <v>0</v>
      </c>
      <c r="AL973" s="368">
        <v>0</v>
      </c>
      <c r="AM973" s="368">
        <v>0</v>
      </c>
      <c r="AN973" s="368"/>
      <c r="AO973" s="368">
        <v>0</v>
      </c>
    </row>
    <row r="974" spans="1:41" s="152" customFormat="1" ht="36" customHeight="1" x14ac:dyDescent="0.9">
      <c r="B974" s="382" t="s">
        <v>874</v>
      </c>
      <c r="C974" s="382"/>
      <c r="D974" s="384" t="s">
        <v>903</v>
      </c>
      <c r="E974" s="163" t="s">
        <v>903</v>
      </c>
      <c r="F974" s="384" t="s">
        <v>903</v>
      </c>
      <c r="G974" s="384" t="s">
        <v>903</v>
      </c>
      <c r="H974" s="163" t="s">
        <v>903</v>
      </c>
      <c r="I974" s="386">
        <f>I975</f>
        <v>350.9</v>
      </c>
      <c r="J974" s="164">
        <f>J975</f>
        <v>311.89999999999998</v>
      </c>
      <c r="K974" s="164">
        <f>K975</f>
        <v>266.79999999999995</v>
      </c>
      <c r="L974" s="165">
        <f>L975</f>
        <v>18</v>
      </c>
      <c r="M974" s="163" t="s">
        <v>903</v>
      </c>
      <c r="N974" s="163" t="s">
        <v>903</v>
      </c>
      <c r="O974" s="166" t="s">
        <v>903</v>
      </c>
      <c r="P974" s="387">
        <v>1403643.06</v>
      </c>
      <c r="Q974" s="167">
        <f>Q975</f>
        <v>0</v>
      </c>
      <c r="R974" s="167">
        <f>R975</f>
        <v>0</v>
      </c>
      <c r="S974" s="167">
        <f>S975</f>
        <v>1403643.06</v>
      </c>
      <c r="T974" s="387">
        <f t="shared" si="305"/>
        <v>4000.1227130236539</v>
      </c>
      <c r="U974" s="387">
        <f>U975</f>
        <v>5933.6319016813914</v>
      </c>
      <c r="V974" s="149">
        <f t="shared" si="285"/>
        <v>1933.5091886577375</v>
      </c>
      <c r="W974" s="149"/>
      <c r="X974" s="149"/>
      <c r="Y974" s="368"/>
      <c r="Z974" s="368"/>
      <c r="AA974" s="368"/>
      <c r="AB974" s="368"/>
      <c r="AC974" s="368"/>
      <c r="AD974" s="368"/>
      <c r="AE974" s="368"/>
      <c r="AF974" s="368"/>
      <c r="AG974" s="368"/>
      <c r="AH974" s="368"/>
      <c r="AI974" s="368"/>
      <c r="AJ974" s="368"/>
      <c r="AK974" s="368"/>
      <c r="AL974" s="368"/>
      <c r="AM974" s="368"/>
      <c r="AN974" s="368"/>
      <c r="AO974" s="368"/>
    </row>
    <row r="975" spans="1:41" s="152" customFormat="1" ht="36" customHeight="1" x14ac:dyDescent="0.9">
      <c r="A975" s="152">
        <v>1</v>
      </c>
      <c r="B975" s="90">
        <f>SUBTOTAL(103,$A$554:A975)</f>
        <v>368</v>
      </c>
      <c r="C975" s="89" t="s">
        <v>807</v>
      </c>
      <c r="D975" s="163">
        <v>1930</v>
      </c>
      <c r="E975" s="163"/>
      <c r="F975" s="168" t="s">
        <v>270</v>
      </c>
      <c r="G975" s="163">
        <v>2</v>
      </c>
      <c r="H975" s="163">
        <v>1</v>
      </c>
      <c r="I975" s="164">
        <v>350.9</v>
      </c>
      <c r="J975" s="164">
        <v>311.89999999999998</v>
      </c>
      <c r="K975" s="164">
        <f>J975-45.1</f>
        <v>266.79999999999995</v>
      </c>
      <c r="L975" s="165">
        <v>18</v>
      </c>
      <c r="M975" s="163" t="s">
        <v>268</v>
      </c>
      <c r="N975" s="163" t="s">
        <v>269</v>
      </c>
      <c r="O975" s="166" t="s">
        <v>271</v>
      </c>
      <c r="P975" s="167">
        <v>1403643.06</v>
      </c>
      <c r="Q975" s="167">
        <v>0</v>
      </c>
      <c r="R975" s="167">
        <v>0</v>
      </c>
      <c r="S975" s="167">
        <f>P975-Q975-R975</f>
        <v>1403643.06</v>
      </c>
      <c r="T975" s="167">
        <f t="shared" si="305"/>
        <v>4000.1227130236539</v>
      </c>
      <c r="U975" s="167">
        <v>5933.6319016813914</v>
      </c>
      <c r="V975" s="149">
        <f>U975-T975</f>
        <v>1933.5091886577375</v>
      </c>
      <c r="W975" s="149">
        <f>X975+Y975+Z975+AA975+AB975+AD975+AF975+AH975+AJ975+AL975+AN975+AO975</f>
        <v>5933.6319016813914</v>
      </c>
      <c r="X975" s="149">
        <v>0</v>
      </c>
      <c r="Y975" s="368">
        <v>0</v>
      </c>
      <c r="Z975" s="368">
        <v>0</v>
      </c>
      <c r="AA975" s="368">
        <v>0</v>
      </c>
      <c r="AB975" s="368">
        <v>0</v>
      </c>
      <c r="AC975" s="368">
        <v>0</v>
      </c>
      <c r="AD975" s="368">
        <v>0</v>
      </c>
      <c r="AE975" s="368">
        <v>333.73</v>
      </c>
      <c r="AF975" s="396">
        <f>6238.91*AE975/I975</f>
        <v>5933.6319016813914</v>
      </c>
      <c r="AG975" s="368">
        <v>0</v>
      </c>
      <c r="AH975" s="396">
        <v>0</v>
      </c>
      <c r="AI975" s="368">
        <v>0</v>
      </c>
      <c r="AJ975" s="396">
        <v>0</v>
      </c>
      <c r="AK975" s="368">
        <v>0</v>
      </c>
      <c r="AL975" s="368">
        <v>0</v>
      </c>
      <c r="AM975" s="368">
        <v>0</v>
      </c>
      <c r="AN975" s="368"/>
      <c r="AO975" s="368">
        <v>0</v>
      </c>
    </row>
    <row r="976" spans="1:41" s="152" customFormat="1" ht="36" customHeight="1" x14ac:dyDescent="0.9">
      <c r="B976" s="382" t="s">
        <v>875</v>
      </c>
      <c r="C976" s="388"/>
      <c r="D976" s="384" t="s">
        <v>903</v>
      </c>
      <c r="E976" s="163" t="s">
        <v>903</v>
      </c>
      <c r="F976" s="384" t="s">
        <v>903</v>
      </c>
      <c r="G976" s="384" t="s">
        <v>903</v>
      </c>
      <c r="H976" s="163" t="s">
        <v>903</v>
      </c>
      <c r="I976" s="386">
        <f>SUM(I977:I981)</f>
        <v>5073.4000000000005</v>
      </c>
      <c r="J976" s="164">
        <f t="shared" ref="J976:L976" si="308">SUM(J977:J981)</f>
        <v>4546.0999999999995</v>
      </c>
      <c r="K976" s="164">
        <f t="shared" si="308"/>
        <v>3979.2000000000003</v>
      </c>
      <c r="L976" s="165">
        <f t="shared" si="308"/>
        <v>189</v>
      </c>
      <c r="M976" s="163" t="s">
        <v>903</v>
      </c>
      <c r="N976" s="163" t="s">
        <v>903</v>
      </c>
      <c r="O976" s="166" t="s">
        <v>903</v>
      </c>
      <c r="P976" s="387">
        <v>11001949.310000001</v>
      </c>
      <c r="Q976" s="167">
        <f t="shared" ref="Q976:S976" si="309">SUM(Q977:Q981)</f>
        <v>0</v>
      </c>
      <c r="R976" s="167">
        <f t="shared" si="309"/>
        <v>0</v>
      </c>
      <c r="S976" s="167">
        <f t="shared" si="309"/>
        <v>11001949.310000001</v>
      </c>
      <c r="T976" s="387">
        <f t="shared" si="305"/>
        <v>2168.5554677336695</v>
      </c>
      <c r="U976" s="387">
        <f>MAX(U977:U981)</f>
        <v>4860.6235859124863</v>
      </c>
      <c r="V976" s="149">
        <f t="shared" si="285"/>
        <v>2692.0681181788168</v>
      </c>
      <c r="W976" s="149"/>
      <c r="X976" s="149"/>
      <c r="Y976" s="368"/>
      <c r="Z976" s="368"/>
      <c r="AA976" s="368"/>
      <c r="AB976" s="368"/>
      <c r="AC976" s="368"/>
      <c r="AD976" s="368"/>
      <c r="AE976" s="368"/>
      <c r="AF976" s="368"/>
      <c r="AG976" s="368"/>
      <c r="AH976" s="368"/>
      <c r="AI976" s="368"/>
      <c r="AJ976" s="368"/>
      <c r="AK976" s="368"/>
      <c r="AL976" s="368"/>
      <c r="AM976" s="368"/>
      <c r="AN976" s="368"/>
      <c r="AO976" s="368"/>
    </row>
    <row r="977" spans="1:41" s="152" customFormat="1" ht="36" customHeight="1" x14ac:dyDescent="0.9">
      <c r="A977" s="152">
        <v>1</v>
      </c>
      <c r="B977" s="90">
        <f>SUBTOTAL(103,$A$554:A977)</f>
        <v>369</v>
      </c>
      <c r="C977" s="89" t="s">
        <v>213</v>
      </c>
      <c r="D977" s="163">
        <v>1938</v>
      </c>
      <c r="E977" s="163"/>
      <c r="F977" s="168" t="s">
        <v>270</v>
      </c>
      <c r="G977" s="163">
        <v>3</v>
      </c>
      <c r="H977" s="163">
        <v>4</v>
      </c>
      <c r="I977" s="164">
        <v>1675.2</v>
      </c>
      <c r="J977" s="164">
        <v>1444.2</v>
      </c>
      <c r="K977" s="164">
        <v>1029.4000000000001</v>
      </c>
      <c r="L977" s="165">
        <v>57</v>
      </c>
      <c r="M977" s="163" t="s">
        <v>268</v>
      </c>
      <c r="N977" s="163" t="s">
        <v>269</v>
      </c>
      <c r="O977" s="166" t="s">
        <v>271</v>
      </c>
      <c r="P977" s="167">
        <v>6135300</v>
      </c>
      <c r="Q977" s="167">
        <v>0</v>
      </c>
      <c r="R977" s="167">
        <v>0</v>
      </c>
      <c r="S977" s="167">
        <f>P977-Q977-R977</f>
        <v>6135300</v>
      </c>
      <c r="T977" s="167">
        <f t="shared" si="305"/>
        <v>3662.4283667621776</v>
      </c>
      <c r="U977" s="167">
        <v>4480.3060709169049</v>
      </c>
      <c r="V977" s="149">
        <f t="shared" si="285"/>
        <v>817.87770415472733</v>
      </c>
      <c r="W977" s="149">
        <f t="shared" ref="W977:W981" si="310">X977+Y977+Z977+AA977+AB977+AD977+AF977+AH977+AJ977+AL977+AN977+AO977</f>
        <v>4480.3060709169049</v>
      </c>
      <c r="X977" s="149">
        <v>0</v>
      </c>
      <c r="Y977" s="368">
        <v>0</v>
      </c>
      <c r="Z977" s="368">
        <v>0</v>
      </c>
      <c r="AA977" s="368">
        <v>0</v>
      </c>
      <c r="AB977" s="368">
        <v>0</v>
      </c>
      <c r="AC977" s="368">
        <v>0</v>
      </c>
      <c r="AD977" s="368">
        <v>0</v>
      </c>
      <c r="AE977" s="368">
        <v>1203</v>
      </c>
      <c r="AF977" s="396">
        <f t="shared" ref="AF977:AF978" si="311">6238.91*AE977/I977</f>
        <v>4480.3060709169049</v>
      </c>
      <c r="AG977" s="368">
        <v>0</v>
      </c>
      <c r="AH977" s="396">
        <v>0</v>
      </c>
      <c r="AI977" s="368">
        <v>0</v>
      </c>
      <c r="AJ977" s="396">
        <v>0</v>
      </c>
      <c r="AK977" s="368">
        <v>0</v>
      </c>
      <c r="AL977" s="368">
        <v>0</v>
      </c>
      <c r="AM977" s="368">
        <v>0</v>
      </c>
      <c r="AN977" s="368"/>
      <c r="AO977" s="368">
        <v>0</v>
      </c>
    </row>
    <row r="978" spans="1:41" s="152" customFormat="1" ht="36" customHeight="1" x14ac:dyDescent="0.9">
      <c r="A978" s="152">
        <v>1</v>
      </c>
      <c r="B978" s="90">
        <f>SUBTOTAL(103,$A$554:A978)</f>
        <v>370</v>
      </c>
      <c r="C978" s="89" t="s">
        <v>214</v>
      </c>
      <c r="D978" s="163">
        <v>1974</v>
      </c>
      <c r="E978" s="163"/>
      <c r="F978" s="168" t="s">
        <v>270</v>
      </c>
      <c r="G978" s="163">
        <v>2</v>
      </c>
      <c r="H978" s="163">
        <v>2</v>
      </c>
      <c r="I978" s="164">
        <v>749.6</v>
      </c>
      <c r="J978" s="164">
        <v>685.4</v>
      </c>
      <c r="K978" s="164">
        <v>685.4</v>
      </c>
      <c r="L978" s="165">
        <v>29</v>
      </c>
      <c r="M978" s="163" t="s">
        <v>268</v>
      </c>
      <c r="N978" s="163" t="s">
        <v>272</v>
      </c>
      <c r="O978" s="166" t="s">
        <v>336</v>
      </c>
      <c r="P978" s="167">
        <v>2978400</v>
      </c>
      <c r="Q978" s="167">
        <v>0</v>
      </c>
      <c r="R978" s="167">
        <v>0</v>
      </c>
      <c r="S978" s="167">
        <f>P978-Q978-R978</f>
        <v>2978400</v>
      </c>
      <c r="T978" s="167">
        <f t="shared" si="305"/>
        <v>3973.3191035218783</v>
      </c>
      <c r="U978" s="167">
        <v>4860.6235859124863</v>
      </c>
      <c r="V978" s="149">
        <f t="shared" si="285"/>
        <v>887.30448239060797</v>
      </c>
      <c r="W978" s="149">
        <f t="shared" si="310"/>
        <v>4860.6235859124863</v>
      </c>
      <c r="X978" s="149">
        <v>0</v>
      </c>
      <c r="Y978" s="368">
        <v>0</v>
      </c>
      <c r="Z978" s="368">
        <v>0</v>
      </c>
      <c r="AA978" s="368">
        <v>0</v>
      </c>
      <c r="AB978" s="368">
        <v>0</v>
      </c>
      <c r="AC978" s="368">
        <v>0</v>
      </c>
      <c r="AD978" s="368">
        <v>0</v>
      </c>
      <c r="AE978" s="368">
        <v>584</v>
      </c>
      <c r="AF978" s="396">
        <f t="shared" si="311"/>
        <v>4860.6235859124863</v>
      </c>
      <c r="AG978" s="368">
        <v>0</v>
      </c>
      <c r="AH978" s="396">
        <v>0</v>
      </c>
      <c r="AI978" s="368">
        <v>0</v>
      </c>
      <c r="AJ978" s="396">
        <v>0</v>
      </c>
      <c r="AK978" s="368">
        <v>0</v>
      </c>
      <c r="AL978" s="368">
        <v>0</v>
      </c>
      <c r="AM978" s="368">
        <v>0</v>
      </c>
      <c r="AN978" s="368"/>
      <c r="AO978" s="368">
        <v>0</v>
      </c>
    </row>
    <row r="979" spans="1:41" s="152" customFormat="1" ht="36" customHeight="1" x14ac:dyDescent="0.9">
      <c r="A979" s="152">
        <v>1</v>
      </c>
      <c r="B979" s="90">
        <f>SUBTOTAL(103,$A$554:A979)</f>
        <v>371</v>
      </c>
      <c r="C979" s="358" t="s">
        <v>219</v>
      </c>
      <c r="D979" s="355">
        <v>1992</v>
      </c>
      <c r="E979" s="355"/>
      <c r="F979" s="357" t="s">
        <v>315</v>
      </c>
      <c r="G979" s="355">
        <v>2</v>
      </c>
      <c r="H979" s="355">
        <v>2</v>
      </c>
      <c r="I979" s="353">
        <v>690.3</v>
      </c>
      <c r="J979" s="353">
        <v>630.29999999999995</v>
      </c>
      <c r="K979" s="353">
        <v>630.29999999999995</v>
      </c>
      <c r="L979" s="356">
        <v>25</v>
      </c>
      <c r="M979" s="355" t="s">
        <v>268</v>
      </c>
      <c r="N979" s="355" t="s">
        <v>272</v>
      </c>
      <c r="O979" s="354" t="s">
        <v>336</v>
      </c>
      <c r="P979" s="353">
        <v>653859.32000000007</v>
      </c>
      <c r="Q979" s="353">
        <v>0</v>
      </c>
      <c r="R979" s="353">
        <v>0</v>
      </c>
      <c r="S979" s="353">
        <f>P979-Q979-R979</f>
        <v>653859.32000000007</v>
      </c>
      <c r="T979" s="167">
        <f t="shared" si="305"/>
        <v>947.21037230189791</v>
      </c>
      <c r="U979" s="167">
        <v>3259.66</v>
      </c>
      <c r="V979" s="149">
        <f t="shared" si="285"/>
        <v>2312.4496276981017</v>
      </c>
      <c r="W979" s="149">
        <f t="shared" si="310"/>
        <v>3259.66</v>
      </c>
      <c r="X979" s="149">
        <v>0</v>
      </c>
      <c r="Y979" s="368">
        <v>0</v>
      </c>
      <c r="Z979" s="368">
        <v>3259.66</v>
      </c>
      <c r="AA979" s="368">
        <v>0</v>
      </c>
      <c r="AB979" s="368">
        <v>0</v>
      </c>
      <c r="AC979" s="368">
        <v>0</v>
      </c>
      <c r="AD979" s="368">
        <v>0</v>
      </c>
      <c r="AE979" s="368">
        <v>0</v>
      </c>
      <c r="AF979" s="396">
        <v>0</v>
      </c>
      <c r="AG979" s="368">
        <v>0</v>
      </c>
      <c r="AH979" s="396">
        <v>0</v>
      </c>
      <c r="AI979" s="368">
        <v>0</v>
      </c>
      <c r="AJ979" s="396">
        <v>0</v>
      </c>
      <c r="AK979" s="368">
        <v>0</v>
      </c>
      <c r="AL979" s="368">
        <v>0</v>
      </c>
      <c r="AM979" s="368">
        <v>0</v>
      </c>
      <c r="AN979" s="368"/>
      <c r="AO979" s="368">
        <v>0</v>
      </c>
    </row>
    <row r="980" spans="1:41" s="152" customFormat="1" ht="36" customHeight="1" x14ac:dyDescent="0.9">
      <c r="A980" s="152">
        <v>1</v>
      </c>
      <c r="B980" s="90">
        <f>SUBTOTAL(103,$A$554:A980)</f>
        <v>372</v>
      </c>
      <c r="C980" s="89" t="s">
        <v>1581</v>
      </c>
      <c r="D980" s="163">
        <v>1981</v>
      </c>
      <c r="E980" s="163"/>
      <c r="F980" s="168" t="s">
        <v>1596</v>
      </c>
      <c r="G980" s="163">
        <v>2</v>
      </c>
      <c r="H980" s="163">
        <v>3</v>
      </c>
      <c r="I980" s="167">
        <v>922.9</v>
      </c>
      <c r="J980" s="167">
        <v>838.7</v>
      </c>
      <c r="K980" s="167">
        <f>J980</f>
        <v>838.7</v>
      </c>
      <c r="L980" s="165">
        <v>43</v>
      </c>
      <c r="M980" s="163" t="s">
        <v>268</v>
      </c>
      <c r="N980" s="163" t="s">
        <v>269</v>
      </c>
      <c r="O980" s="166" t="s">
        <v>271</v>
      </c>
      <c r="P980" s="167">
        <v>574655</v>
      </c>
      <c r="Q980" s="167">
        <v>0</v>
      </c>
      <c r="R980" s="167">
        <v>0</v>
      </c>
      <c r="S980" s="167">
        <f>P980-R980-Q980</f>
        <v>574655</v>
      </c>
      <c r="T980" s="167">
        <f t="shared" si="305"/>
        <v>622.66226026655113</v>
      </c>
      <c r="U980" s="167">
        <v>3259.66</v>
      </c>
      <c r="V980" s="149">
        <f t="shared" ref="V980:V981" si="312">U980-T980</f>
        <v>2636.9977397334487</v>
      </c>
      <c r="W980" s="149">
        <f t="shared" si="310"/>
        <v>3259.66</v>
      </c>
      <c r="X980" s="149">
        <v>0</v>
      </c>
      <c r="Y980" s="368">
        <v>0</v>
      </c>
      <c r="Z980" s="368">
        <v>3259.66</v>
      </c>
      <c r="AA980" s="368">
        <v>0</v>
      </c>
      <c r="AB980" s="368">
        <v>0</v>
      </c>
      <c r="AC980" s="368">
        <v>0</v>
      </c>
      <c r="AD980" s="368">
        <v>0</v>
      </c>
      <c r="AE980" s="368">
        <v>0</v>
      </c>
      <c r="AF980" s="396">
        <v>0</v>
      </c>
      <c r="AG980" s="368">
        <v>0</v>
      </c>
      <c r="AH980" s="396">
        <v>0</v>
      </c>
      <c r="AI980" s="368">
        <v>0</v>
      </c>
      <c r="AJ980" s="396">
        <v>0</v>
      </c>
      <c r="AK980" s="368">
        <v>0</v>
      </c>
      <c r="AL980" s="368">
        <v>0</v>
      </c>
      <c r="AM980" s="368">
        <v>0</v>
      </c>
      <c r="AN980" s="368"/>
      <c r="AO980" s="368">
        <v>0</v>
      </c>
    </row>
    <row r="981" spans="1:41" s="152" customFormat="1" ht="36" customHeight="1" x14ac:dyDescent="0.9">
      <c r="A981" s="152">
        <v>1</v>
      </c>
      <c r="B981" s="90">
        <f>SUBTOTAL(103,$A$554:A981)</f>
        <v>373</v>
      </c>
      <c r="C981" s="89" t="s">
        <v>1582</v>
      </c>
      <c r="D981" s="163">
        <v>1980</v>
      </c>
      <c r="E981" s="163"/>
      <c r="F981" s="168" t="s">
        <v>1596</v>
      </c>
      <c r="G981" s="163">
        <v>2</v>
      </c>
      <c r="H981" s="163">
        <v>3</v>
      </c>
      <c r="I981" s="167">
        <v>1035.4000000000001</v>
      </c>
      <c r="J981" s="167">
        <v>947.5</v>
      </c>
      <c r="K981" s="167">
        <f>J981-152.1</f>
        <v>795.4</v>
      </c>
      <c r="L981" s="165">
        <v>35</v>
      </c>
      <c r="M981" s="163" t="s">
        <v>268</v>
      </c>
      <c r="N981" s="163" t="s">
        <v>269</v>
      </c>
      <c r="O981" s="166" t="s">
        <v>271</v>
      </c>
      <c r="P981" s="167">
        <v>659734.99</v>
      </c>
      <c r="Q981" s="167">
        <v>0</v>
      </c>
      <c r="R981" s="167">
        <v>0</v>
      </c>
      <c r="S981" s="167">
        <f>P981-R981-Q981</f>
        <v>659734.99</v>
      </c>
      <c r="T981" s="167">
        <f t="shared" si="305"/>
        <v>637.17885841220777</v>
      </c>
      <c r="U981" s="167">
        <v>3259.66</v>
      </c>
      <c r="V981" s="149">
        <f t="shared" si="312"/>
        <v>2622.4811415877921</v>
      </c>
      <c r="W981" s="149">
        <f t="shared" si="310"/>
        <v>3259.66</v>
      </c>
      <c r="X981" s="149">
        <v>0</v>
      </c>
      <c r="Y981" s="368">
        <v>0</v>
      </c>
      <c r="Z981" s="368">
        <v>3259.66</v>
      </c>
      <c r="AA981" s="368">
        <v>0</v>
      </c>
      <c r="AB981" s="368">
        <v>0</v>
      </c>
      <c r="AC981" s="368">
        <v>0</v>
      </c>
      <c r="AD981" s="368">
        <v>0</v>
      </c>
      <c r="AE981" s="368">
        <v>0</v>
      </c>
      <c r="AF981" s="396">
        <v>0</v>
      </c>
      <c r="AG981" s="368">
        <v>0</v>
      </c>
      <c r="AH981" s="396">
        <v>0</v>
      </c>
      <c r="AI981" s="368">
        <v>0</v>
      </c>
      <c r="AJ981" s="396">
        <v>0</v>
      </c>
      <c r="AK981" s="368">
        <v>0</v>
      </c>
      <c r="AL981" s="368">
        <v>0</v>
      </c>
      <c r="AM981" s="368">
        <v>0</v>
      </c>
      <c r="AN981" s="368"/>
      <c r="AO981" s="368">
        <v>0</v>
      </c>
    </row>
    <row r="982" spans="1:41" s="152" customFormat="1" ht="36" customHeight="1" x14ac:dyDescent="0.9">
      <c r="B982" s="382" t="s">
        <v>876</v>
      </c>
      <c r="C982" s="382"/>
      <c r="D982" s="384" t="s">
        <v>903</v>
      </c>
      <c r="E982" s="163" t="s">
        <v>903</v>
      </c>
      <c r="F982" s="384" t="s">
        <v>903</v>
      </c>
      <c r="G982" s="384" t="s">
        <v>903</v>
      </c>
      <c r="H982" s="163" t="s">
        <v>903</v>
      </c>
      <c r="I982" s="386">
        <f>I983</f>
        <v>813.6</v>
      </c>
      <c r="J982" s="164">
        <f>J983</f>
        <v>752.3</v>
      </c>
      <c r="K982" s="164">
        <f>K983</f>
        <v>752.3</v>
      </c>
      <c r="L982" s="165">
        <f>L983</f>
        <v>16</v>
      </c>
      <c r="M982" s="163" t="s">
        <v>903</v>
      </c>
      <c r="N982" s="163" t="s">
        <v>903</v>
      </c>
      <c r="O982" s="166" t="s">
        <v>903</v>
      </c>
      <c r="P982" s="387">
        <v>3498600</v>
      </c>
      <c r="Q982" s="167">
        <f>Q983</f>
        <v>0</v>
      </c>
      <c r="R982" s="167">
        <f>R983</f>
        <v>0</v>
      </c>
      <c r="S982" s="167">
        <f>S983</f>
        <v>3498600</v>
      </c>
      <c r="T982" s="387">
        <f t="shared" si="305"/>
        <v>4300.1474926253686</v>
      </c>
      <c r="U982" s="387">
        <f>U983</f>
        <v>5260.4378810226153</v>
      </c>
      <c r="V982" s="149">
        <f t="shared" ref="V982:V1043" si="313">U982-T982</f>
        <v>960.29038839724672</v>
      </c>
      <c r="W982" s="149"/>
      <c r="X982" s="149"/>
      <c r="Y982" s="368"/>
      <c r="Z982" s="368"/>
      <c r="AA982" s="368"/>
      <c r="AB982" s="368"/>
      <c r="AC982" s="368"/>
      <c r="AD982" s="368"/>
      <c r="AE982" s="368"/>
      <c r="AF982" s="368"/>
      <c r="AG982" s="368"/>
      <c r="AH982" s="368"/>
      <c r="AI982" s="368"/>
      <c r="AJ982" s="368"/>
      <c r="AK982" s="368"/>
      <c r="AL982" s="368"/>
      <c r="AM982" s="368"/>
      <c r="AN982" s="368"/>
      <c r="AO982" s="368"/>
    </row>
    <row r="983" spans="1:41" s="152" customFormat="1" ht="36" customHeight="1" x14ac:dyDescent="0.9">
      <c r="A983" s="152">
        <v>1</v>
      </c>
      <c r="B983" s="90">
        <f>SUBTOTAL(103,$A$554:A983)</f>
        <v>374</v>
      </c>
      <c r="C983" s="89" t="s">
        <v>226</v>
      </c>
      <c r="D983" s="163">
        <v>1973</v>
      </c>
      <c r="E983" s="163"/>
      <c r="F983" s="168" t="s">
        <v>270</v>
      </c>
      <c r="G983" s="163">
        <v>2</v>
      </c>
      <c r="H983" s="163">
        <v>2</v>
      </c>
      <c r="I983" s="164">
        <v>813.6</v>
      </c>
      <c r="J983" s="164">
        <v>752.3</v>
      </c>
      <c r="K983" s="164">
        <v>752.3</v>
      </c>
      <c r="L983" s="165">
        <v>16</v>
      </c>
      <c r="M983" s="163" t="s">
        <v>268</v>
      </c>
      <c r="N983" s="163" t="s">
        <v>269</v>
      </c>
      <c r="O983" s="166" t="s">
        <v>271</v>
      </c>
      <c r="P983" s="167">
        <v>3498600</v>
      </c>
      <c r="Q983" s="167">
        <v>0</v>
      </c>
      <c r="R983" s="167">
        <v>0</v>
      </c>
      <c r="S983" s="167">
        <f>P983-Q983-R983</f>
        <v>3498600</v>
      </c>
      <c r="T983" s="167">
        <f t="shared" si="305"/>
        <v>4300.1474926253686</v>
      </c>
      <c r="U983" s="167">
        <v>5260.4378810226153</v>
      </c>
      <c r="V983" s="149">
        <f>U983-T983</f>
        <v>960.29038839724672</v>
      </c>
      <c r="W983" s="149">
        <f>X983+Y983+Z983+AA983+AB983+AD983+AF983+AH983+AJ983+AL983+AN983+AO983</f>
        <v>5260.4378810226153</v>
      </c>
      <c r="X983" s="149">
        <v>0</v>
      </c>
      <c r="Y983" s="368">
        <v>0</v>
      </c>
      <c r="Z983" s="368">
        <v>0</v>
      </c>
      <c r="AA983" s="368">
        <v>0</v>
      </c>
      <c r="AB983" s="368">
        <v>0</v>
      </c>
      <c r="AC983" s="368">
        <v>0</v>
      </c>
      <c r="AD983" s="368">
        <v>0</v>
      </c>
      <c r="AE983" s="368">
        <v>686</v>
      </c>
      <c r="AF983" s="396">
        <f>6238.91*AE983/I983</f>
        <v>5260.4378810226153</v>
      </c>
      <c r="AG983" s="368">
        <v>0</v>
      </c>
      <c r="AH983" s="396">
        <v>0</v>
      </c>
      <c r="AI983" s="368">
        <v>0</v>
      </c>
      <c r="AJ983" s="396">
        <v>0</v>
      </c>
      <c r="AK983" s="368">
        <v>0</v>
      </c>
      <c r="AL983" s="368">
        <v>0</v>
      </c>
      <c r="AM983" s="368">
        <v>0</v>
      </c>
      <c r="AN983" s="368"/>
      <c r="AO983" s="368">
        <v>0</v>
      </c>
    </row>
    <row r="984" spans="1:41" s="152" customFormat="1" ht="36" customHeight="1" x14ac:dyDescent="0.9">
      <c r="B984" s="382" t="s">
        <v>878</v>
      </c>
      <c r="C984" s="382"/>
      <c r="D984" s="384" t="s">
        <v>903</v>
      </c>
      <c r="E984" s="163" t="s">
        <v>903</v>
      </c>
      <c r="F984" s="384" t="s">
        <v>903</v>
      </c>
      <c r="G984" s="384" t="s">
        <v>903</v>
      </c>
      <c r="H984" s="163" t="s">
        <v>903</v>
      </c>
      <c r="I984" s="386">
        <f>I985</f>
        <v>791.9</v>
      </c>
      <c r="J984" s="164">
        <f>J985</f>
        <v>736.9</v>
      </c>
      <c r="K984" s="164">
        <f>K985</f>
        <v>695.3</v>
      </c>
      <c r="L984" s="165">
        <f>L985</f>
        <v>22</v>
      </c>
      <c r="M984" s="163" t="s">
        <v>903</v>
      </c>
      <c r="N984" s="163" t="s">
        <v>903</v>
      </c>
      <c r="O984" s="166" t="s">
        <v>903</v>
      </c>
      <c r="P984" s="387">
        <v>3451696.55</v>
      </c>
      <c r="Q984" s="167">
        <f>Q985</f>
        <v>0</v>
      </c>
      <c r="R984" s="167">
        <f>R985</f>
        <v>0</v>
      </c>
      <c r="S984" s="167">
        <f>S985</f>
        <v>3451696.55</v>
      </c>
      <c r="T984" s="387">
        <f t="shared" si="305"/>
        <v>4358.753062255335</v>
      </c>
      <c r="U984" s="387">
        <f>U985</f>
        <v>4990.1825912362665</v>
      </c>
      <c r="V984" s="149">
        <f t="shared" si="313"/>
        <v>631.42952898093154</v>
      </c>
      <c r="W984" s="149"/>
      <c r="X984" s="149"/>
      <c r="Y984" s="368"/>
      <c r="Z984" s="368"/>
      <c r="AA984" s="368"/>
      <c r="AB984" s="368"/>
      <c r="AC984" s="368"/>
      <c r="AD984" s="368"/>
      <c r="AE984" s="368"/>
      <c r="AF984" s="368"/>
      <c r="AG984" s="368"/>
      <c r="AH984" s="368"/>
      <c r="AI984" s="368"/>
      <c r="AJ984" s="368"/>
      <c r="AK984" s="368"/>
      <c r="AL984" s="368"/>
      <c r="AM984" s="368"/>
      <c r="AN984" s="368"/>
      <c r="AO984" s="368"/>
    </row>
    <row r="985" spans="1:41" s="152" customFormat="1" ht="36" customHeight="1" x14ac:dyDescent="0.9">
      <c r="A985" s="152">
        <v>1</v>
      </c>
      <c r="B985" s="90">
        <f>SUBTOTAL(103,$A$554:A985)</f>
        <v>375</v>
      </c>
      <c r="C985" s="89" t="s">
        <v>220</v>
      </c>
      <c r="D985" s="163">
        <v>1979</v>
      </c>
      <c r="E985" s="163"/>
      <c r="F985" s="168" t="s">
        <v>270</v>
      </c>
      <c r="G985" s="163">
        <v>2</v>
      </c>
      <c r="H985" s="163">
        <v>2</v>
      </c>
      <c r="I985" s="164">
        <v>791.9</v>
      </c>
      <c r="J985" s="164">
        <v>736.9</v>
      </c>
      <c r="K985" s="164">
        <v>695.3</v>
      </c>
      <c r="L985" s="165">
        <v>22</v>
      </c>
      <c r="M985" s="163" t="s">
        <v>268</v>
      </c>
      <c r="N985" s="163" t="s">
        <v>269</v>
      </c>
      <c r="O985" s="166" t="s">
        <v>271</v>
      </c>
      <c r="P985" s="167">
        <v>3451696.55</v>
      </c>
      <c r="Q985" s="167">
        <v>0</v>
      </c>
      <c r="R985" s="167">
        <v>0</v>
      </c>
      <c r="S985" s="167">
        <f>P985-Q985-R985</f>
        <v>3451696.55</v>
      </c>
      <c r="T985" s="167">
        <f t="shared" si="305"/>
        <v>4358.753062255335</v>
      </c>
      <c r="U985" s="167">
        <v>4990.1825912362665</v>
      </c>
      <c r="V985" s="149">
        <f>U985-T985</f>
        <v>631.42952898093154</v>
      </c>
      <c r="W985" s="149">
        <f>X985+Y985+Z985+AA985+AB985+AD985+AF985+AH985+AJ985+AL985+AN985+AO985</f>
        <v>4990.1825912362665</v>
      </c>
      <c r="X985" s="149">
        <v>0</v>
      </c>
      <c r="Y985" s="368">
        <v>0</v>
      </c>
      <c r="Z985" s="368">
        <v>0</v>
      </c>
      <c r="AA985" s="368">
        <v>0</v>
      </c>
      <c r="AB985" s="368">
        <v>0</v>
      </c>
      <c r="AC985" s="368">
        <v>0</v>
      </c>
      <c r="AD985" s="368">
        <v>0</v>
      </c>
      <c r="AE985" s="368">
        <v>633.4</v>
      </c>
      <c r="AF985" s="396">
        <f>6238.91*AE985/I985</f>
        <v>4990.1825912362665</v>
      </c>
      <c r="AG985" s="368">
        <v>0</v>
      </c>
      <c r="AH985" s="396">
        <v>0</v>
      </c>
      <c r="AI985" s="368">
        <v>0</v>
      </c>
      <c r="AJ985" s="396">
        <v>0</v>
      </c>
      <c r="AK985" s="368">
        <v>0</v>
      </c>
      <c r="AL985" s="368">
        <v>0</v>
      </c>
      <c r="AM985" s="368">
        <v>0</v>
      </c>
      <c r="AN985" s="368"/>
      <c r="AO985" s="368">
        <v>0</v>
      </c>
    </row>
    <row r="986" spans="1:41" s="152" customFormat="1" ht="36" customHeight="1" x14ac:dyDescent="0.9">
      <c r="B986" s="382" t="s">
        <v>768</v>
      </c>
      <c r="C986" s="383"/>
      <c r="D986" s="384" t="s">
        <v>903</v>
      </c>
      <c r="E986" s="163" t="s">
        <v>903</v>
      </c>
      <c r="F986" s="384" t="s">
        <v>903</v>
      </c>
      <c r="G986" s="384" t="s">
        <v>903</v>
      </c>
      <c r="H986" s="163" t="s">
        <v>903</v>
      </c>
      <c r="I986" s="386">
        <f>I987+I1049+I1064+I1091+I1103+I1106+I1115+I1118+I1121+I1124+I1126+I1128+I1131+I1133+I1135+I1143+I1146+I1148+I1150+I1152+I1155+I1158+I1160+I1162+I1164+I1171+I1174+I1178+I1181+I1183+I1187+I1189+I1191+I1193+I1195+I1197+I1199+I1203+I1205+I1207+I1209+I1213+I1215+I1217+I1219+I1222+I1225+I1229+I1233+I1236+I1238+I1240+I1243+I1247+I1249+I1251+I1253+I1257</f>
        <v>513214.16000000003</v>
      </c>
      <c r="J986" s="164">
        <f>J987+J1049+J1064+J1091+J1103+J1106+J1115+J1118+J1121+J1124+J1126+J1128+J1131+J1133+J1135+J1143+J1146+J1148+J1150+J1152+J1155+J1158+J1160+J1162+J1164+J1171+J1174+J1178+J1181+J1183+J1187+J1189+J1191+J1193+J1195+J1197+J1199+J1203+J1205+J1207+J1209+J1213+J1215+J1217+J1219+J1222+J1225+J1229+J1233+J1236+J1238+J1240+J1243+J1247+J1249+J1251+J1253+J1257</f>
        <v>415043.21999999986</v>
      </c>
      <c r="K986" s="164">
        <f>K987+K1049+K1064+K1091+K1103+K1106+K1115+K1118+K1121+K1124+K1126+K1128+K1131+K1133+K1135+K1143+K1146+K1148+K1150+K1152+K1155+K1158+K1160+K1162+K1164+K1171+K1174+K1178+K1181+K1183+K1187+K1189+K1191+K1193+K1195+K1197+K1199+K1203+K1205+K1207+K1209+K1213+K1215+K1217+K1219+K1222+K1225+K1229+K1233+K1236+K1238+K1240+K1243+K1247+K1249+K1251+K1253+K1257</f>
        <v>369761.71999999991</v>
      </c>
      <c r="L986" s="165">
        <f>L987+L1049+L1064+L1091+L1103+L1106+L1115+L1118+L1121+L1124+L1126+L1128+L1131+L1133+L1135+L1143+L1146+L1148+L1150+L1152+L1155+L1158+L1160+L1162+L1164+L1171+L1174+L1178+L1181+L1183+L1187+L1189+L1191+L1193+L1195+L1197+L1199+L1203+L1205+L1207+L1209+L1213+L1215+L1217+L1219+L1222+L1225+L1229+L1233+L1236+L1238+L1240+L1243+L1247+L1249+L1251+L1253+L1257</f>
        <v>19547</v>
      </c>
      <c r="M986" s="163" t="s">
        <v>903</v>
      </c>
      <c r="N986" s="163" t="s">
        <v>903</v>
      </c>
      <c r="O986" s="166" t="s">
        <v>903</v>
      </c>
      <c r="P986" s="386">
        <v>794968208.19000018</v>
      </c>
      <c r="Q986" s="164">
        <f>Q987+Q1049+Q1064+Q1091+Q1103+Q1106+Q1115+Q1118+Q1121+Q1124+Q1126+Q1128+Q1131+Q1133+Q1135+Q1143+Q1146+Q1148+Q1150+Q1152+Q1155+Q1158+Q1160+Q1162+Q1164+Q1171+Q1174+Q1178+Q1181+Q1183+Q1187+Q1189+Q1191+Q1193+Q1195+Q1197+Q1199+Q1203+Q1205+Q1207+Q1209+Q1213+Q1215+Q1217+Q1219+Q1222+Q1225+Q1229+Q1233+Q1236+Q1238+Q1240+Q1243+Q1247+Q1249+Q1251+Q1253+Q1257</f>
        <v>0</v>
      </c>
      <c r="R986" s="164">
        <f>R987+R1049+R1064+R1091+R1103+R1106+R1115+R1118+R1121+R1124+R1126+R1128+R1131+R1133+R1135+R1143+R1146+R1148+R1150+R1152+R1155+R1158+R1160+R1162+R1164+R1171+R1174+R1178+R1181+R1183+R1187+R1189+R1191+R1193+R1195+R1197+R1199+R1203+R1205+R1207+R1209+R1213+R1215+R1217+R1219+R1222+R1225+R1229+R1233+R1236+R1238+R1240+R1243+R1247+R1249+R1251+R1253+R1257</f>
        <v>1851570.68</v>
      </c>
      <c r="S986" s="164">
        <f>S987+S1049+S1064+S1091+S1103+S1106+S1115+S1118+S1121+S1124+S1126+S1128+S1131+S1133+S1135+S1143+S1146+S1148+S1150+S1152+S1155+S1158+S1160+S1162+S1164+S1171+S1174+S1178+S1181+S1183+S1187+S1189+S1191+S1193+S1195+S1197+S1199+S1203+S1205+S1207+S1209+S1213+S1215+S1217+S1219+S1222+S1225+S1229+S1233+S1236+S1238+S1240+S1243+S1247+S1249+S1251+S1253+S1257</f>
        <v>793116637.51000023</v>
      </c>
      <c r="T986" s="387">
        <f t="shared" si="305"/>
        <v>1548.9989757687124</v>
      </c>
      <c r="U986" s="387">
        <f>MAX(U987:U1257)</f>
        <v>18806.533031088082</v>
      </c>
      <c r="V986" s="149">
        <f t="shared" si="313"/>
        <v>17257.534055319371</v>
      </c>
      <c r="W986" s="149"/>
      <c r="X986" s="149"/>
      <c r="Y986" s="368"/>
      <c r="Z986" s="368"/>
      <c r="AA986" s="368"/>
      <c r="AB986" s="368"/>
      <c r="AC986" s="368"/>
      <c r="AD986" s="368"/>
      <c r="AE986" s="368"/>
      <c r="AF986" s="368"/>
      <c r="AG986" s="368"/>
      <c r="AH986" s="368"/>
      <c r="AI986" s="368"/>
      <c r="AJ986" s="368"/>
      <c r="AK986" s="368"/>
      <c r="AL986" s="368"/>
      <c r="AM986" s="368"/>
      <c r="AN986" s="368"/>
      <c r="AO986" s="368"/>
    </row>
    <row r="987" spans="1:41" s="152" customFormat="1" ht="36" customHeight="1" x14ac:dyDescent="0.9">
      <c r="B987" s="382" t="s">
        <v>1105</v>
      </c>
      <c r="C987" s="388"/>
      <c r="D987" s="384" t="s">
        <v>903</v>
      </c>
      <c r="E987" s="163" t="s">
        <v>903</v>
      </c>
      <c r="F987" s="384" t="s">
        <v>903</v>
      </c>
      <c r="G987" s="384" t="s">
        <v>903</v>
      </c>
      <c r="H987" s="163" t="s">
        <v>903</v>
      </c>
      <c r="I987" s="386">
        <f>SUM(I988:I1048)</f>
        <v>211302.88999999998</v>
      </c>
      <c r="J987" s="164">
        <f>SUM(J988:J1048)</f>
        <v>176852.23</v>
      </c>
      <c r="K987" s="164">
        <f>SUM(K988:K1048)</f>
        <v>153518.29999999993</v>
      </c>
      <c r="L987" s="165">
        <f>SUM(L988:L1048)</f>
        <v>8426</v>
      </c>
      <c r="M987" s="163" t="s">
        <v>903</v>
      </c>
      <c r="N987" s="163" t="s">
        <v>903</v>
      </c>
      <c r="O987" s="166" t="s">
        <v>903</v>
      </c>
      <c r="P987" s="386">
        <v>231389035.93000004</v>
      </c>
      <c r="Q987" s="164">
        <f>SUM(Q988:Q1048)</f>
        <v>0</v>
      </c>
      <c r="R987" s="164">
        <f>SUM(R988:R1048)</f>
        <v>0</v>
      </c>
      <c r="S987" s="164">
        <f>SUM(S988:S1048)</f>
        <v>231389035.93000004</v>
      </c>
      <c r="T987" s="387">
        <f t="shared" si="305"/>
        <v>1095.0585480870614</v>
      </c>
      <c r="U987" s="387">
        <f>MAX(U988:U1048)</f>
        <v>7736.879123841617</v>
      </c>
      <c r="V987" s="149">
        <f t="shared" si="313"/>
        <v>6641.8205757545556</v>
      </c>
      <c r="W987" s="149"/>
      <c r="X987" s="149"/>
      <c r="Y987" s="368"/>
      <c r="Z987" s="368"/>
      <c r="AA987" s="368"/>
      <c r="AB987" s="368"/>
      <c r="AC987" s="368"/>
      <c r="AD987" s="368"/>
      <c r="AE987" s="368"/>
      <c r="AF987" s="368"/>
      <c r="AG987" s="368"/>
      <c r="AH987" s="368"/>
      <c r="AI987" s="368"/>
      <c r="AJ987" s="368"/>
      <c r="AK987" s="368"/>
      <c r="AL987" s="368"/>
      <c r="AM987" s="368"/>
      <c r="AN987" s="368"/>
      <c r="AO987" s="368"/>
    </row>
    <row r="988" spans="1:41" s="152" customFormat="1" ht="36" customHeight="1" x14ac:dyDescent="0.9">
      <c r="A988" s="152">
        <v>1</v>
      </c>
      <c r="B988" s="90">
        <f>SUBTOTAL(103,$A988:A$988)</f>
        <v>1</v>
      </c>
      <c r="C988" s="89" t="s">
        <v>575</v>
      </c>
      <c r="D988" s="163">
        <v>1958</v>
      </c>
      <c r="E988" s="163"/>
      <c r="F988" s="168" t="s">
        <v>270</v>
      </c>
      <c r="G988" s="163">
        <v>2</v>
      </c>
      <c r="H988" s="163">
        <v>2</v>
      </c>
      <c r="I988" s="164">
        <v>593.5</v>
      </c>
      <c r="J988" s="164">
        <v>548.79999999999995</v>
      </c>
      <c r="K988" s="164">
        <v>511.1</v>
      </c>
      <c r="L988" s="165">
        <v>26</v>
      </c>
      <c r="M988" s="163" t="s">
        <v>268</v>
      </c>
      <c r="N988" s="163" t="s">
        <v>272</v>
      </c>
      <c r="O988" s="166" t="s">
        <v>1398</v>
      </c>
      <c r="P988" s="167">
        <v>3147713.25</v>
      </c>
      <c r="Q988" s="167">
        <v>0</v>
      </c>
      <c r="R988" s="167">
        <v>0</v>
      </c>
      <c r="S988" s="167">
        <f t="shared" ref="S988:S1048" si="314">P988-Q988-R988</f>
        <v>3147713.25</v>
      </c>
      <c r="T988" s="167">
        <f t="shared" si="305"/>
        <v>5303.6449031171023</v>
      </c>
      <c r="U988" s="167">
        <v>7736.879123841617</v>
      </c>
      <c r="V988" s="149">
        <f t="shared" si="313"/>
        <v>2433.2342207245147</v>
      </c>
      <c r="W988" s="149">
        <f t="shared" ref="W988:W1048" si="315">X988+Y988+Z988+AA988+AB988+AD988+AF988+AH988+AJ988+AL988+AN988+AO988</f>
        <v>7736.879123841617</v>
      </c>
      <c r="X988" s="149">
        <v>0</v>
      </c>
      <c r="Y988" s="368">
        <v>0</v>
      </c>
      <c r="Z988" s="368">
        <v>0</v>
      </c>
      <c r="AA988" s="368">
        <v>0</v>
      </c>
      <c r="AB988" s="368">
        <v>0</v>
      </c>
      <c r="AC988" s="368">
        <v>0</v>
      </c>
      <c r="AD988" s="368">
        <v>0</v>
      </c>
      <c r="AE988" s="368">
        <v>736</v>
      </c>
      <c r="AF988" s="396">
        <f t="shared" ref="AF988:AF1010" si="316">6238.91*AE988/I988</f>
        <v>7736.879123841617</v>
      </c>
      <c r="AG988" s="368">
        <v>0</v>
      </c>
      <c r="AH988" s="396">
        <v>0</v>
      </c>
      <c r="AI988" s="368">
        <v>0</v>
      </c>
      <c r="AJ988" s="396">
        <v>0</v>
      </c>
      <c r="AK988" s="368">
        <v>0</v>
      </c>
      <c r="AL988" s="368">
        <v>0</v>
      </c>
      <c r="AM988" s="368">
        <v>0</v>
      </c>
      <c r="AN988" s="368"/>
      <c r="AO988" s="368">
        <v>0</v>
      </c>
    </row>
    <row r="989" spans="1:41" s="152" customFormat="1" ht="36" customHeight="1" x14ac:dyDescent="0.9">
      <c r="A989" s="152">
        <v>1</v>
      </c>
      <c r="B989" s="90">
        <f>SUBTOTAL(103,$A$988:A989)</f>
        <v>2</v>
      </c>
      <c r="C989" s="89" t="s">
        <v>576</v>
      </c>
      <c r="D989" s="163" t="s">
        <v>313</v>
      </c>
      <c r="E989" s="163"/>
      <c r="F989" s="168" t="s">
        <v>270</v>
      </c>
      <c r="G989" s="163" t="s">
        <v>356</v>
      </c>
      <c r="H989" s="163">
        <v>1</v>
      </c>
      <c r="I989" s="164">
        <v>835.6</v>
      </c>
      <c r="J989" s="164">
        <v>606.6</v>
      </c>
      <c r="K989" s="164">
        <v>287.10000000000002</v>
      </c>
      <c r="L989" s="165">
        <v>17</v>
      </c>
      <c r="M989" s="163" t="s">
        <v>268</v>
      </c>
      <c r="N989" s="163" t="s">
        <v>272</v>
      </c>
      <c r="O989" s="166" t="s">
        <v>1672</v>
      </c>
      <c r="P989" s="167">
        <v>1023224.5700000001</v>
      </c>
      <c r="Q989" s="167">
        <v>0</v>
      </c>
      <c r="R989" s="167">
        <v>0</v>
      </c>
      <c r="S989" s="167">
        <f t="shared" si="314"/>
        <v>1023224.5700000001</v>
      </c>
      <c r="T989" s="167">
        <f t="shared" si="305"/>
        <v>1224.5387386309239</v>
      </c>
      <c r="U989" s="167">
        <v>1717.2681905217808</v>
      </c>
      <c r="V989" s="149">
        <f t="shared" si="313"/>
        <v>492.72945189085681</v>
      </c>
      <c r="W989" s="149">
        <f t="shared" si="315"/>
        <v>1717.2681905217808</v>
      </c>
      <c r="X989" s="149">
        <v>0</v>
      </c>
      <c r="Y989" s="368">
        <v>0</v>
      </c>
      <c r="Z989" s="368">
        <v>0</v>
      </c>
      <c r="AA989" s="368">
        <v>0</v>
      </c>
      <c r="AB989" s="368">
        <v>0</v>
      </c>
      <c r="AC989" s="368">
        <v>0</v>
      </c>
      <c r="AD989" s="368">
        <v>0</v>
      </c>
      <c r="AE989" s="368">
        <v>230</v>
      </c>
      <c r="AF989" s="396">
        <f t="shared" si="316"/>
        <v>1717.2681905217808</v>
      </c>
      <c r="AG989" s="368">
        <v>0</v>
      </c>
      <c r="AH989" s="396">
        <v>0</v>
      </c>
      <c r="AI989" s="368">
        <v>0</v>
      </c>
      <c r="AJ989" s="396">
        <v>0</v>
      </c>
      <c r="AK989" s="368">
        <v>0</v>
      </c>
      <c r="AL989" s="368">
        <v>0</v>
      </c>
      <c r="AM989" s="368">
        <v>0</v>
      </c>
      <c r="AN989" s="368"/>
      <c r="AO989" s="368">
        <v>0</v>
      </c>
    </row>
    <row r="990" spans="1:41" s="152" customFormat="1" ht="36" customHeight="1" x14ac:dyDescent="0.9">
      <c r="A990" s="152">
        <v>1</v>
      </c>
      <c r="B990" s="90">
        <f>SUBTOTAL(103,$A$988:A990)</f>
        <v>3</v>
      </c>
      <c r="C990" s="89" t="s">
        <v>1082</v>
      </c>
      <c r="D990" s="163">
        <v>1962</v>
      </c>
      <c r="E990" s="163"/>
      <c r="F990" s="168" t="s">
        <v>270</v>
      </c>
      <c r="G990" s="163">
        <v>3</v>
      </c>
      <c r="H990" s="163">
        <v>2</v>
      </c>
      <c r="I990" s="164">
        <v>970.2</v>
      </c>
      <c r="J990" s="164">
        <v>615</v>
      </c>
      <c r="K990" s="164">
        <v>615</v>
      </c>
      <c r="L990" s="165">
        <v>60</v>
      </c>
      <c r="M990" s="163" t="s">
        <v>268</v>
      </c>
      <c r="N990" s="163" t="s">
        <v>272</v>
      </c>
      <c r="O990" s="166" t="s">
        <v>1670</v>
      </c>
      <c r="P990" s="167">
        <v>2100000</v>
      </c>
      <c r="Q990" s="167">
        <v>0</v>
      </c>
      <c r="R990" s="167">
        <v>0</v>
      </c>
      <c r="S990" s="167">
        <f t="shared" si="314"/>
        <v>2100000</v>
      </c>
      <c r="T990" s="167">
        <f t="shared" si="305"/>
        <v>2164.5021645021643</v>
      </c>
      <c r="U990" s="167">
        <v>2649.3825190682333</v>
      </c>
      <c r="V990" s="149">
        <f t="shared" si="313"/>
        <v>484.88035456606895</v>
      </c>
      <c r="W990" s="149">
        <f t="shared" si="315"/>
        <v>2649.3825190682333</v>
      </c>
      <c r="X990" s="149">
        <v>0</v>
      </c>
      <c r="Y990" s="368">
        <v>0</v>
      </c>
      <c r="Z990" s="368">
        <v>0</v>
      </c>
      <c r="AA990" s="368">
        <v>0</v>
      </c>
      <c r="AB990" s="368">
        <v>0</v>
      </c>
      <c r="AC990" s="368">
        <v>0</v>
      </c>
      <c r="AD990" s="368">
        <v>0</v>
      </c>
      <c r="AE990" s="368">
        <v>412</v>
      </c>
      <c r="AF990" s="396">
        <f t="shared" si="316"/>
        <v>2649.3825190682333</v>
      </c>
      <c r="AG990" s="368">
        <v>0</v>
      </c>
      <c r="AH990" s="396">
        <v>0</v>
      </c>
      <c r="AI990" s="368">
        <v>0</v>
      </c>
      <c r="AJ990" s="396">
        <v>0</v>
      </c>
      <c r="AK990" s="368">
        <v>0</v>
      </c>
      <c r="AL990" s="368">
        <v>0</v>
      </c>
      <c r="AM990" s="368">
        <v>0</v>
      </c>
      <c r="AN990" s="368"/>
      <c r="AO990" s="368">
        <v>0</v>
      </c>
    </row>
    <row r="991" spans="1:41" s="152" customFormat="1" ht="36" customHeight="1" x14ac:dyDescent="0.9">
      <c r="A991" s="152">
        <v>1</v>
      </c>
      <c r="B991" s="90">
        <f>SUBTOTAL(103,$A$988:A991)</f>
        <v>4</v>
      </c>
      <c r="C991" s="89" t="s">
        <v>577</v>
      </c>
      <c r="D991" s="163" t="s">
        <v>318</v>
      </c>
      <c r="E991" s="163"/>
      <c r="F991" s="168" t="s">
        <v>315</v>
      </c>
      <c r="G991" s="163" t="s">
        <v>356</v>
      </c>
      <c r="H991" s="163">
        <v>3</v>
      </c>
      <c r="I991" s="164">
        <v>2819.1</v>
      </c>
      <c r="J991" s="164">
        <v>2571.8000000000002</v>
      </c>
      <c r="K991" s="164">
        <v>1698</v>
      </c>
      <c r="L991" s="165">
        <v>109</v>
      </c>
      <c r="M991" s="163" t="s">
        <v>268</v>
      </c>
      <c r="N991" s="163" t="s">
        <v>272</v>
      </c>
      <c r="O991" s="166" t="s">
        <v>1088</v>
      </c>
      <c r="P991" s="167">
        <v>3183875.94</v>
      </c>
      <c r="Q991" s="167">
        <v>0</v>
      </c>
      <c r="R991" s="167">
        <v>0</v>
      </c>
      <c r="S991" s="167">
        <f t="shared" si="314"/>
        <v>3183875.94</v>
      </c>
      <c r="T991" s="167">
        <f t="shared" si="305"/>
        <v>1129.394466319038</v>
      </c>
      <c r="U991" s="167">
        <v>1597.8479018126352</v>
      </c>
      <c r="V991" s="149">
        <f t="shared" si="313"/>
        <v>468.45343549359723</v>
      </c>
      <c r="W991" s="149">
        <f t="shared" si="315"/>
        <v>1597.8479018126352</v>
      </c>
      <c r="X991" s="149">
        <v>0</v>
      </c>
      <c r="Y991" s="368">
        <v>0</v>
      </c>
      <c r="Z991" s="368">
        <v>0</v>
      </c>
      <c r="AA991" s="368">
        <v>0</v>
      </c>
      <c r="AB991" s="368">
        <v>0</v>
      </c>
      <c r="AC991" s="368">
        <v>0</v>
      </c>
      <c r="AD991" s="368">
        <v>0</v>
      </c>
      <c r="AE991" s="368">
        <v>722</v>
      </c>
      <c r="AF991" s="396">
        <f t="shared" si="316"/>
        <v>1597.8479018126352</v>
      </c>
      <c r="AG991" s="368">
        <v>0</v>
      </c>
      <c r="AH991" s="396">
        <v>0</v>
      </c>
      <c r="AI991" s="368">
        <v>0</v>
      </c>
      <c r="AJ991" s="396">
        <v>0</v>
      </c>
      <c r="AK991" s="368">
        <v>0</v>
      </c>
      <c r="AL991" s="368">
        <v>0</v>
      </c>
      <c r="AM991" s="368">
        <v>0</v>
      </c>
      <c r="AN991" s="368"/>
      <c r="AO991" s="368">
        <v>0</v>
      </c>
    </row>
    <row r="992" spans="1:41" s="152" customFormat="1" ht="36" customHeight="1" x14ac:dyDescent="0.9">
      <c r="A992" s="152">
        <v>1</v>
      </c>
      <c r="B992" s="90">
        <f>SUBTOTAL(103,$A$988:A992)</f>
        <v>5</v>
      </c>
      <c r="C992" s="89" t="s">
        <v>578</v>
      </c>
      <c r="D992" s="163" t="s">
        <v>318</v>
      </c>
      <c r="E992" s="163"/>
      <c r="F992" s="168" t="s">
        <v>315</v>
      </c>
      <c r="G992" s="163" t="s">
        <v>356</v>
      </c>
      <c r="H992" s="163">
        <v>5</v>
      </c>
      <c r="I992" s="164">
        <v>5771.6</v>
      </c>
      <c r="J992" s="164">
        <v>4780.3999999999996</v>
      </c>
      <c r="K992" s="164">
        <v>4455.8999999999996</v>
      </c>
      <c r="L992" s="165">
        <v>241</v>
      </c>
      <c r="M992" s="163" t="s">
        <v>268</v>
      </c>
      <c r="N992" s="163" t="s">
        <v>272</v>
      </c>
      <c r="O992" s="166" t="s">
        <v>1088</v>
      </c>
      <c r="P992" s="167">
        <v>5391207.6599999992</v>
      </c>
      <c r="Q992" s="167">
        <v>0</v>
      </c>
      <c r="R992" s="167">
        <v>0</v>
      </c>
      <c r="S992" s="167">
        <f t="shared" si="314"/>
        <v>5391207.6599999992</v>
      </c>
      <c r="T992" s="167">
        <f t="shared" si="305"/>
        <v>934.09239379028327</v>
      </c>
      <c r="U992" s="167">
        <v>1297.1605793887309</v>
      </c>
      <c r="V992" s="149">
        <f t="shared" si="313"/>
        <v>363.0681855984476</v>
      </c>
      <c r="W992" s="149">
        <f t="shared" si="315"/>
        <v>1297.1605793887309</v>
      </c>
      <c r="X992" s="149">
        <v>0</v>
      </c>
      <c r="Y992" s="368">
        <v>0</v>
      </c>
      <c r="Z992" s="368">
        <v>0</v>
      </c>
      <c r="AA992" s="368">
        <v>0</v>
      </c>
      <c r="AB992" s="368">
        <v>0</v>
      </c>
      <c r="AC992" s="368">
        <v>0</v>
      </c>
      <c r="AD992" s="368">
        <v>0</v>
      </c>
      <c r="AE992" s="368">
        <v>1200</v>
      </c>
      <c r="AF992" s="396">
        <f t="shared" si="316"/>
        <v>1297.1605793887309</v>
      </c>
      <c r="AG992" s="368">
        <v>0</v>
      </c>
      <c r="AH992" s="396">
        <v>0</v>
      </c>
      <c r="AI992" s="368">
        <v>0</v>
      </c>
      <c r="AJ992" s="396">
        <v>0</v>
      </c>
      <c r="AK992" s="368">
        <v>0</v>
      </c>
      <c r="AL992" s="368">
        <v>0</v>
      </c>
      <c r="AM992" s="368">
        <v>0</v>
      </c>
      <c r="AN992" s="368"/>
      <c r="AO992" s="368">
        <v>0</v>
      </c>
    </row>
    <row r="993" spans="1:41" s="152" customFormat="1" ht="36" customHeight="1" x14ac:dyDescent="0.9">
      <c r="A993" s="152">
        <v>1</v>
      </c>
      <c r="B993" s="90">
        <f>SUBTOTAL(103,$A$988:A993)</f>
        <v>6</v>
      </c>
      <c r="C993" s="89" t="s">
        <v>579</v>
      </c>
      <c r="D993" s="163" t="s">
        <v>357</v>
      </c>
      <c r="E993" s="163"/>
      <c r="F993" s="168" t="s">
        <v>270</v>
      </c>
      <c r="G993" s="163" t="s">
        <v>362</v>
      </c>
      <c r="H993" s="163">
        <v>1</v>
      </c>
      <c r="I993" s="164">
        <v>2826.2</v>
      </c>
      <c r="J993" s="164">
        <v>2772.3</v>
      </c>
      <c r="K993" s="164">
        <v>1324.2</v>
      </c>
      <c r="L993" s="165">
        <v>97</v>
      </c>
      <c r="M993" s="163" t="s">
        <v>268</v>
      </c>
      <c r="N993" s="163" t="s">
        <v>272</v>
      </c>
      <c r="O993" s="166" t="s">
        <v>1088</v>
      </c>
      <c r="P993" s="167">
        <v>1896320.0799999998</v>
      </c>
      <c r="Q993" s="167">
        <v>0</v>
      </c>
      <c r="R993" s="167">
        <v>0</v>
      </c>
      <c r="S993" s="167">
        <f t="shared" si="314"/>
        <v>1896320.0799999998</v>
      </c>
      <c r="T993" s="167">
        <f t="shared" si="305"/>
        <v>670.97872762012594</v>
      </c>
      <c r="U993" s="167">
        <v>927.16092279385748</v>
      </c>
      <c r="V993" s="149">
        <f t="shared" si="313"/>
        <v>256.18219517373154</v>
      </c>
      <c r="W993" s="149">
        <f t="shared" si="315"/>
        <v>927.16092279385748</v>
      </c>
      <c r="X993" s="149">
        <v>0</v>
      </c>
      <c r="Y993" s="368">
        <v>0</v>
      </c>
      <c r="Z993" s="368">
        <v>0</v>
      </c>
      <c r="AA993" s="368">
        <v>0</v>
      </c>
      <c r="AB993" s="368">
        <v>0</v>
      </c>
      <c r="AC993" s="368">
        <v>0</v>
      </c>
      <c r="AD993" s="368">
        <v>0</v>
      </c>
      <c r="AE993" s="368">
        <v>420</v>
      </c>
      <c r="AF993" s="396">
        <f t="shared" si="316"/>
        <v>927.16092279385748</v>
      </c>
      <c r="AG993" s="368">
        <v>0</v>
      </c>
      <c r="AH993" s="396">
        <v>0</v>
      </c>
      <c r="AI993" s="368">
        <v>0</v>
      </c>
      <c r="AJ993" s="396">
        <v>0</v>
      </c>
      <c r="AK993" s="368">
        <v>0</v>
      </c>
      <c r="AL993" s="368">
        <v>0</v>
      </c>
      <c r="AM993" s="368">
        <v>0</v>
      </c>
      <c r="AN993" s="368"/>
      <c r="AO993" s="368">
        <v>0</v>
      </c>
    </row>
    <row r="994" spans="1:41" s="152" customFormat="1" ht="36" customHeight="1" x14ac:dyDescent="0.9">
      <c r="A994" s="152">
        <v>1</v>
      </c>
      <c r="B994" s="90">
        <f>SUBTOTAL(103,$A$988:A994)</f>
        <v>7</v>
      </c>
      <c r="C994" s="89" t="s">
        <v>580</v>
      </c>
      <c r="D994" s="163" t="s">
        <v>321</v>
      </c>
      <c r="E994" s="163"/>
      <c r="F994" s="168" t="s">
        <v>315</v>
      </c>
      <c r="G994" s="163" t="s">
        <v>356</v>
      </c>
      <c r="H994" s="163">
        <v>3</v>
      </c>
      <c r="I994" s="164">
        <v>2495.6</v>
      </c>
      <c r="J994" s="164">
        <v>2297</v>
      </c>
      <c r="K994" s="164">
        <v>2070.8000000000002</v>
      </c>
      <c r="L994" s="165">
        <v>94</v>
      </c>
      <c r="M994" s="163" t="s">
        <v>268</v>
      </c>
      <c r="N994" s="163" t="s">
        <v>272</v>
      </c>
      <c r="O994" s="166" t="s">
        <v>1673</v>
      </c>
      <c r="P994" s="167">
        <v>2718609.5</v>
      </c>
      <c r="Q994" s="167">
        <v>0</v>
      </c>
      <c r="R994" s="167">
        <v>0</v>
      </c>
      <c r="S994" s="167">
        <f t="shared" si="314"/>
        <v>2718609.5</v>
      </c>
      <c r="T994" s="167">
        <f t="shared" si="305"/>
        <v>1089.3610754928675</v>
      </c>
      <c r="U994" s="167">
        <v>1482.478614361276</v>
      </c>
      <c r="V994" s="149">
        <f t="shared" si="313"/>
        <v>393.11753886840847</v>
      </c>
      <c r="W994" s="149">
        <f t="shared" si="315"/>
        <v>1482.478614361276</v>
      </c>
      <c r="X994" s="149">
        <v>0</v>
      </c>
      <c r="Y994" s="368">
        <v>0</v>
      </c>
      <c r="Z994" s="368">
        <v>0</v>
      </c>
      <c r="AA994" s="368">
        <v>0</v>
      </c>
      <c r="AB994" s="368">
        <v>0</v>
      </c>
      <c r="AC994" s="368">
        <v>0</v>
      </c>
      <c r="AD994" s="368">
        <v>0</v>
      </c>
      <c r="AE994" s="368">
        <v>593</v>
      </c>
      <c r="AF994" s="396">
        <f t="shared" si="316"/>
        <v>1482.478614361276</v>
      </c>
      <c r="AG994" s="368">
        <v>0</v>
      </c>
      <c r="AH994" s="396">
        <v>0</v>
      </c>
      <c r="AI994" s="368">
        <v>0</v>
      </c>
      <c r="AJ994" s="396">
        <v>0</v>
      </c>
      <c r="AK994" s="368">
        <v>0</v>
      </c>
      <c r="AL994" s="368">
        <v>0</v>
      </c>
      <c r="AM994" s="368">
        <v>0</v>
      </c>
      <c r="AN994" s="368"/>
      <c r="AO994" s="368">
        <v>0</v>
      </c>
    </row>
    <row r="995" spans="1:41" s="152" customFormat="1" ht="36" customHeight="1" x14ac:dyDescent="0.9">
      <c r="A995" s="152">
        <v>1</v>
      </c>
      <c r="B995" s="90">
        <f>SUBTOTAL(103,$A$988:A995)</f>
        <v>8</v>
      </c>
      <c r="C995" s="89" t="s">
        <v>1652</v>
      </c>
      <c r="D995" s="163">
        <v>1986</v>
      </c>
      <c r="E995" s="163"/>
      <c r="F995" s="168" t="s">
        <v>315</v>
      </c>
      <c r="G995" s="163">
        <v>9</v>
      </c>
      <c r="H995" s="163">
        <v>2</v>
      </c>
      <c r="I995" s="164">
        <v>4291.79</v>
      </c>
      <c r="J995" s="164">
        <v>3870.3</v>
      </c>
      <c r="K995" s="164">
        <v>3608.2</v>
      </c>
      <c r="L995" s="165">
        <v>180</v>
      </c>
      <c r="M995" s="163" t="s">
        <v>268</v>
      </c>
      <c r="N995" s="163" t="s">
        <v>272</v>
      </c>
      <c r="O995" s="166" t="s">
        <v>1399</v>
      </c>
      <c r="P995" s="167">
        <v>2863861.07</v>
      </c>
      <c r="Q995" s="167">
        <v>0</v>
      </c>
      <c r="R995" s="167">
        <v>0</v>
      </c>
      <c r="S995" s="167">
        <f t="shared" si="314"/>
        <v>2863861.07</v>
      </c>
      <c r="T995" s="167">
        <f t="shared" si="305"/>
        <v>667.28825734716747</v>
      </c>
      <c r="U995" s="167">
        <v>812.60981781494434</v>
      </c>
      <c r="V995" s="149">
        <f t="shared" si="313"/>
        <v>145.32156046777686</v>
      </c>
      <c r="W995" s="149">
        <f t="shared" si="315"/>
        <v>812.60981781494434</v>
      </c>
      <c r="X995" s="149">
        <v>0</v>
      </c>
      <c r="Y995" s="368">
        <v>0</v>
      </c>
      <c r="Z995" s="368">
        <v>0</v>
      </c>
      <c r="AA995" s="368">
        <v>0</v>
      </c>
      <c r="AB995" s="368">
        <v>0</v>
      </c>
      <c r="AC995" s="368">
        <v>0</v>
      </c>
      <c r="AD995" s="368">
        <v>0</v>
      </c>
      <c r="AE995" s="368">
        <v>559</v>
      </c>
      <c r="AF995" s="396">
        <f t="shared" si="316"/>
        <v>812.60981781494434</v>
      </c>
      <c r="AG995" s="368">
        <v>0</v>
      </c>
      <c r="AH995" s="396">
        <v>0</v>
      </c>
      <c r="AI995" s="368">
        <v>0</v>
      </c>
      <c r="AJ995" s="396">
        <v>0</v>
      </c>
      <c r="AK995" s="368">
        <v>0</v>
      </c>
      <c r="AL995" s="368">
        <v>0</v>
      </c>
      <c r="AM995" s="368">
        <v>0</v>
      </c>
      <c r="AN995" s="368"/>
      <c r="AO995" s="368">
        <v>0</v>
      </c>
    </row>
    <row r="996" spans="1:41" s="152" customFormat="1" ht="36" customHeight="1" x14ac:dyDescent="0.9">
      <c r="A996" s="152">
        <v>1</v>
      </c>
      <c r="B996" s="90">
        <f>SUBTOTAL(103,$A$988:A996)</f>
        <v>9</v>
      </c>
      <c r="C996" s="89" t="s">
        <v>581</v>
      </c>
      <c r="D996" s="163" t="s">
        <v>374</v>
      </c>
      <c r="E996" s="163"/>
      <c r="F996" s="168" t="s">
        <v>270</v>
      </c>
      <c r="G996" s="163" t="s">
        <v>362</v>
      </c>
      <c r="H996" s="163">
        <v>1</v>
      </c>
      <c r="I996" s="164">
        <v>6352.8</v>
      </c>
      <c r="J996" s="164">
        <v>4687.3999999999996</v>
      </c>
      <c r="K996" s="164">
        <v>2543.4</v>
      </c>
      <c r="L996" s="165">
        <v>211</v>
      </c>
      <c r="M996" s="163" t="s">
        <v>268</v>
      </c>
      <c r="N996" s="163" t="s">
        <v>272</v>
      </c>
      <c r="O996" s="166" t="s">
        <v>1104</v>
      </c>
      <c r="P996" s="167">
        <v>3653990.26</v>
      </c>
      <c r="Q996" s="167">
        <v>0</v>
      </c>
      <c r="R996" s="167">
        <v>0</v>
      </c>
      <c r="S996" s="167">
        <f t="shared" si="314"/>
        <v>3653990.26</v>
      </c>
      <c r="T996" s="167">
        <f t="shared" si="305"/>
        <v>575.17791524996846</v>
      </c>
      <c r="U996" s="167">
        <v>779.76554275280193</v>
      </c>
      <c r="V996" s="149">
        <f t="shared" si="313"/>
        <v>204.58762750283347</v>
      </c>
      <c r="W996" s="149">
        <f t="shared" si="315"/>
        <v>779.76554275280193</v>
      </c>
      <c r="X996" s="149">
        <v>0</v>
      </c>
      <c r="Y996" s="368">
        <v>0</v>
      </c>
      <c r="Z996" s="368">
        <v>0</v>
      </c>
      <c r="AA996" s="368">
        <v>0</v>
      </c>
      <c r="AB996" s="368">
        <v>0</v>
      </c>
      <c r="AC996" s="368">
        <v>0</v>
      </c>
      <c r="AD996" s="368">
        <v>0</v>
      </c>
      <c r="AE996" s="368">
        <v>794</v>
      </c>
      <c r="AF996" s="396">
        <f t="shared" si="316"/>
        <v>779.76554275280193</v>
      </c>
      <c r="AG996" s="368">
        <v>0</v>
      </c>
      <c r="AH996" s="396">
        <v>0</v>
      </c>
      <c r="AI996" s="368">
        <v>0</v>
      </c>
      <c r="AJ996" s="396">
        <v>0</v>
      </c>
      <c r="AK996" s="368">
        <v>0</v>
      </c>
      <c r="AL996" s="368">
        <v>0</v>
      </c>
      <c r="AM996" s="368">
        <v>0</v>
      </c>
      <c r="AN996" s="368"/>
      <c r="AO996" s="368">
        <v>0</v>
      </c>
    </row>
    <row r="997" spans="1:41" s="152" customFormat="1" ht="36" customHeight="1" x14ac:dyDescent="0.9">
      <c r="A997" s="152">
        <v>1</v>
      </c>
      <c r="B997" s="90">
        <f>SUBTOTAL(103,$A$988:A997)</f>
        <v>10</v>
      </c>
      <c r="C997" s="89" t="s">
        <v>1653</v>
      </c>
      <c r="D997" s="163">
        <v>1986</v>
      </c>
      <c r="E997" s="163"/>
      <c r="F997" s="168" t="s">
        <v>270</v>
      </c>
      <c r="G997" s="163">
        <v>5</v>
      </c>
      <c r="H997" s="163">
        <v>6</v>
      </c>
      <c r="I997" s="164">
        <v>4921.8</v>
      </c>
      <c r="J997" s="164">
        <v>3740</v>
      </c>
      <c r="K997" s="164">
        <v>3478.1</v>
      </c>
      <c r="L997" s="165">
        <v>200</v>
      </c>
      <c r="M997" s="163" t="s">
        <v>268</v>
      </c>
      <c r="N997" s="163" t="s">
        <v>272</v>
      </c>
      <c r="O997" s="166" t="s">
        <v>1104</v>
      </c>
      <c r="P997" s="167">
        <v>5582500</v>
      </c>
      <c r="Q997" s="167">
        <v>0</v>
      </c>
      <c r="R997" s="167">
        <v>0</v>
      </c>
      <c r="S997" s="167">
        <f t="shared" si="314"/>
        <v>5582500</v>
      </c>
      <c r="T997" s="167">
        <f t="shared" si="305"/>
        <v>1134.2395058718355</v>
      </c>
      <c r="U997" s="167">
        <v>1696.0586736559794</v>
      </c>
      <c r="V997" s="149">
        <f t="shared" si="313"/>
        <v>561.81916778414393</v>
      </c>
      <c r="W997" s="149">
        <f t="shared" si="315"/>
        <v>1696.0586736559794</v>
      </c>
      <c r="X997" s="149">
        <v>0</v>
      </c>
      <c r="Y997" s="368">
        <v>0</v>
      </c>
      <c r="Z997" s="368">
        <v>0</v>
      </c>
      <c r="AA997" s="368">
        <v>0</v>
      </c>
      <c r="AB997" s="368">
        <v>0</v>
      </c>
      <c r="AC997" s="368">
        <v>0</v>
      </c>
      <c r="AD997" s="368">
        <v>0</v>
      </c>
      <c r="AE997" s="368">
        <v>1338</v>
      </c>
      <c r="AF997" s="396">
        <f t="shared" si="316"/>
        <v>1696.0586736559794</v>
      </c>
      <c r="AG997" s="368">
        <v>0</v>
      </c>
      <c r="AH997" s="396">
        <v>0</v>
      </c>
      <c r="AI997" s="368">
        <v>0</v>
      </c>
      <c r="AJ997" s="396">
        <v>0</v>
      </c>
      <c r="AK997" s="368">
        <v>0</v>
      </c>
      <c r="AL997" s="368">
        <v>0</v>
      </c>
      <c r="AM997" s="368">
        <v>0</v>
      </c>
      <c r="AN997" s="368"/>
      <c r="AO997" s="368">
        <v>0</v>
      </c>
    </row>
    <row r="998" spans="1:41" s="152" customFormat="1" ht="36" customHeight="1" x14ac:dyDescent="0.9">
      <c r="A998" s="152">
        <v>1</v>
      </c>
      <c r="B998" s="90">
        <f>SUBTOTAL(103,$A$988:A998)</f>
        <v>11</v>
      </c>
      <c r="C998" s="89" t="s">
        <v>582</v>
      </c>
      <c r="D998" s="163" t="s">
        <v>375</v>
      </c>
      <c r="E998" s="163"/>
      <c r="F998" s="168" t="s">
        <v>315</v>
      </c>
      <c r="G998" s="163" t="s">
        <v>356</v>
      </c>
      <c r="H998" s="163">
        <v>4</v>
      </c>
      <c r="I998" s="164">
        <v>4042.4</v>
      </c>
      <c r="J998" s="164">
        <v>3045.4</v>
      </c>
      <c r="K998" s="164">
        <v>2978.7</v>
      </c>
      <c r="L998" s="165">
        <v>118</v>
      </c>
      <c r="M998" s="163" t="s">
        <v>268</v>
      </c>
      <c r="N998" s="163" t="s">
        <v>272</v>
      </c>
      <c r="O998" s="166" t="s">
        <v>1337</v>
      </c>
      <c r="P998" s="167">
        <v>3493332.35</v>
      </c>
      <c r="Q998" s="167">
        <v>0</v>
      </c>
      <c r="R998" s="167">
        <v>0</v>
      </c>
      <c r="S998" s="167">
        <f t="shared" si="314"/>
        <v>3493332.35</v>
      </c>
      <c r="T998" s="167">
        <f t="shared" si="305"/>
        <v>864.17285523451415</v>
      </c>
      <c r="U998" s="167">
        <v>1173.2682025529389</v>
      </c>
      <c r="V998" s="149">
        <f t="shared" si="313"/>
        <v>309.09534731842473</v>
      </c>
      <c r="W998" s="149">
        <f t="shared" si="315"/>
        <v>1173.2682025529389</v>
      </c>
      <c r="X998" s="149">
        <v>0</v>
      </c>
      <c r="Y998" s="368">
        <v>0</v>
      </c>
      <c r="Z998" s="368">
        <v>0</v>
      </c>
      <c r="AA998" s="368">
        <v>0</v>
      </c>
      <c r="AB998" s="368">
        <v>0</v>
      </c>
      <c r="AC998" s="368">
        <v>0</v>
      </c>
      <c r="AD998" s="368">
        <v>0</v>
      </c>
      <c r="AE998" s="368">
        <v>760.2</v>
      </c>
      <c r="AF998" s="396">
        <f t="shared" si="316"/>
        <v>1173.2682025529389</v>
      </c>
      <c r="AG998" s="368">
        <v>0</v>
      </c>
      <c r="AH998" s="396">
        <v>0</v>
      </c>
      <c r="AI998" s="368">
        <v>0</v>
      </c>
      <c r="AJ998" s="396">
        <v>0</v>
      </c>
      <c r="AK998" s="368">
        <v>0</v>
      </c>
      <c r="AL998" s="368">
        <v>0</v>
      </c>
      <c r="AM998" s="368">
        <v>0</v>
      </c>
      <c r="AN998" s="368"/>
      <c r="AO998" s="368">
        <v>0</v>
      </c>
    </row>
    <row r="999" spans="1:41" s="152" customFormat="1" ht="36" customHeight="1" x14ac:dyDescent="0.9">
      <c r="A999" s="152">
        <v>1</v>
      </c>
      <c r="B999" s="90">
        <f>SUBTOTAL(103,$A$988:A999)</f>
        <v>12</v>
      </c>
      <c r="C999" s="89" t="s">
        <v>583</v>
      </c>
      <c r="D999" s="163">
        <v>1971</v>
      </c>
      <c r="E999" s="163"/>
      <c r="F999" s="168" t="s">
        <v>270</v>
      </c>
      <c r="G999" s="163">
        <v>5</v>
      </c>
      <c r="H999" s="163">
        <v>5</v>
      </c>
      <c r="I999" s="164">
        <v>4541.8</v>
      </c>
      <c r="J999" s="164">
        <v>4541.8</v>
      </c>
      <c r="K999" s="164">
        <v>4403.2</v>
      </c>
      <c r="L999" s="165">
        <v>250</v>
      </c>
      <c r="M999" s="163" t="s">
        <v>268</v>
      </c>
      <c r="N999" s="163" t="s">
        <v>272</v>
      </c>
      <c r="O999" s="166" t="s">
        <v>1400</v>
      </c>
      <c r="P999" s="167">
        <v>5751539.1200000001</v>
      </c>
      <c r="Q999" s="167">
        <v>0</v>
      </c>
      <c r="R999" s="167">
        <v>0</v>
      </c>
      <c r="S999" s="167">
        <f t="shared" si="314"/>
        <v>5751539.1200000001</v>
      </c>
      <c r="T999" s="167">
        <f t="shared" si="305"/>
        <v>1266.3567572328152</v>
      </c>
      <c r="U999" s="167">
        <v>1731.3668950636313</v>
      </c>
      <c r="V999" s="149">
        <f t="shared" si="313"/>
        <v>465.01013783081612</v>
      </c>
      <c r="W999" s="149">
        <f t="shared" si="315"/>
        <v>1731.3668950636313</v>
      </c>
      <c r="X999" s="149">
        <v>0</v>
      </c>
      <c r="Y999" s="368">
        <v>0</v>
      </c>
      <c r="Z999" s="368">
        <v>0</v>
      </c>
      <c r="AA999" s="368">
        <v>0</v>
      </c>
      <c r="AB999" s="368">
        <v>0</v>
      </c>
      <c r="AC999" s="368">
        <v>0</v>
      </c>
      <c r="AD999" s="368">
        <v>0</v>
      </c>
      <c r="AE999" s="368">
        <v>1260.4000000000001</v>
      </c>
      <c r="AF999" s="396">
        <f t="shared" si="316"/>
        <v>1731.3668950636313</v>
      </c>
      <c r="AG999" s="368">
        <v>0</v>
      </c>
      <c r="AH999" s="396">
        <v>0</v>
      </c>
      <c r="AI999" s="368">
        <v>0</v>
      </c>
      <c r="AJ999" s="396">
        <v>0</v>
      </c>
      <c r="AK999" s="368">
        <v>0</v>
      </c>
      <c r="AL999" s="368">
        <v>0</v>
      </c>
      <c r="AM999" s="368">
        <v>0</v>
      </c>
      <c r="AN999" s="368"/>
      <c r="AO999" s="368">
        <v>0</v>
      </c>
    </row>
    <row r="1000" spans="1:41" s="152" customFormat="1" ht="36" customHeight="1" x14ac:dyDescent="0.9">
      <c r="A1000" s="152">
        <v>1</v>
      </c>
      <c r="B1000" s="90">
        <f>SUBTOTAL(103,$A$988:A1000)</f>
        <v>13</v>
      </c>
      <c r="C1000" s="89" t="s">
        <v>584</v>
      </c>
      <c r="D1000" s="163" t="s">
        <v>313</v>
      </c>
      <c r="E1000" s="163"/>
      <c r="F1000" s="168" t="s">
        <v>315</v>
      </c>
      <c r="G1000" s="163" t="s">
        <v>356</v>
      </c>
      <c r="H1000" s="163">
        <v>6</v>
      </c>
      <c r="I1000" s="164">
        <v>6071.1</v>
      </c>
      <c r="J1000" s="164">
        <v>4547.3999999999996</v>
      </c>
      <c r="K1000" s="164">
        <v>4155.2</v>
      </c>
      <c r="L1000" s="165">
        <v>204</v>
      </c>
      <c r="M1000" s="163" t="s">
        <v>268</v>
      </c>
      <c r="N1000" s="163" t="s">
        <v>272</v>
      </c>
      <c r="O1000" s="166" t="s">
        <v>1337</v>
      </c>
      <c r="P1000" s="167">
        <v>5350859.32</v>
      </c>
      <c r="Q1000" s="167">
        <v>0</v>
      </c>
      <c r="R1000" s="167">
        <v>0</v>
      </c>
      <c r="S1000" s="167">
        <f t="shared" si="314"/>
        <v>5350859.32</v>
      </c>
      <c r="T1000" s="167">
        <f t="shared" si="305"/>
        <v>881.36570308510818</v>
      </c>
      <c r="U1000" s="167">
        <v>1182.8145492579597</v>
      </c>
      <c r="V1000" s="149">
        <f t="shared" si="313"/>
        <v>301.44884617285152</v>
      </c>
      <c r="W1000" s="149">
        <f t="shared" si="315"/>
        <v>1182.8145492579597</v>
      </c>
      <c r="X1000" s="149">
        <v>0</v>
      </c>
      <c r="Y1000" s="368">
        <v>0</v>
      </c>
      <c r="Z1000" s="368">
        <v>0</v>
      </c>
      <c r="AA1000" s="368">
        <v>0</v>
      </c>
      <c r="AB1000" s="368">
        <v>0</v>
      </c>
      <c r="AC1000" s="368">
        <v>0</v>
      </c>
      <c r="AD1000" s="368">
        <v>0</v>
      </c>
      <c r="AE1000" s="368">
        <v>1151</v>
      </c>
      <c r="AF1000" s="396">
        <f t="shared" si="316"/>
        <v>1182.8145492579597</v>
      </c>
      <c r="AG1000" s="368">
        <v>0</v>
      </c>
      <c r="AH1000" s="396">
        <v>0</v>
      </c>
      <c r="AI1000" s="368">
        <v>0</v>
      </c>
      <c r="AJ1000" s="396">
        <v>0</v>
      </c>
      <c r="AK1000" s="368">
        <v>0</v>
      </c>
      <c r="AL1000" s="368">
        <v>0</v>
      </c>
      <c r="AM1000" s="368">
        <v>0</v>
      </c>
      <c r="AN1000" s="368"/>
      <c r="AO1000" s="368">
        <v>0</v>
      </c>
    </row>
    <row r="1001" spans="1:41" s="152" customFormat="1" ht="36" customHeight="1" x14ac:dyDescent="0.9">
      <c r="A1001" s="152">
        <v>1</v>
      </c>
      <c r="B1001" s="90">
        <f>SUBTOTAL(103,$A$988:A1001)</f>
        <v>14</v>
      </c>
      <c r="C1001" s="89" t="s">
        <v>585</v>
      </c>
      <c r="D1001" s="163" t="s">
        <v>373</v>
      </c>
      <c r="E1001" s="163"/>
      <c r="F1001" s="168" t="s">
        <v>315</v>
      </c>
      <c r="G1001" s="163" t="s">
        <v>376</v>
      </c>
      <c r="H1001" s="163">
        <v>2</v>
      </c>
      <c r="I1001" s="164">
        <v>2963</v>
      </c>
      <c r="J1001" s="164">
        <v>2175.9</v>
      </c>
      <c r="K1001" s="164">
        <v>2084.1</v>
      </c>
      <c r="L1001" s="165">
        <v>123</v>
      </c>
      <c r="M1001" s="163" t="s">
        <v>268</v>
      </c>
      <c r="N1001" s="163" t="s">
        <v>272</v>
      </c>
      <c r="O1001" s="166" t="s">
        <v>1337</v>
      </c>
      <c r="P1001" s="167">
        <v>2108786.08</v>
      </c>
      <c r="Q1001" s="167">
        <v>0</v>
      </c>
      <c r="R1001" s="167">
        <v>0</v>
      </c>
      <c r="S1001" s="167">
        <f t="shared" si="314"/>
        <v>2108786.08</v>
      </c>
      <c r="T1001" s="167">
        <f t="shared" si="305"/>
        <v>711.70640566992915</v>
      </c>
      <c r="U1001" s="167">
        <v>978.47501754978066</v>
      </c>
      <c r="V1001" s="149">
        <f t="shared" si="313"/>
        <v>266.76861187985151</v>
      </c>
      <c r="W1001" s="149">
        <f t="shared" si="315"/>
        <v>978.47501754978066</v>
      </c>
      <c r="X1001" s="149">
        <v>0</v>
      </c>
      <c r="Y1001" s="368">
        <v>0</v>
      </c>
      <c r="Z1001" s="368">
        <v>0</v>
      </c>
      <c r="AA1001" s="368">
        <v>0</v>
      </c>
      <c r="AB1001" s="368">
        <v>0</v>
      </c>
      <c r="AC1001" s="368">
        <v>0</v>
      </c>
      <c r="AD1001" s="368">
        <v>0</v>
      </c>
      <c r="AE1001" s="368">
        <v>464.7</v>
      </c>
      <c r="AF1001" s="396">
        <f t="shared" si="316"/>
        <v>978.47501754978066</v>
      </c>
      <c r="AG1001" s="368">
        <v>0</v>
      </c>
      <c r="AH1001" s="396">
        <v>0</v>
      </c>
      <c r="AI1001" s="368">
        <v>0</v>
      </c>
      <c r="AJ1001" s="396">
        <v>0</v>
      </c>
      <c r="AK1001" s="368">
        <v>0</v>
      </c>
      <c r="AL1001" s="368">
        <v>0</v>
      </c>
      <c r="AM1001" s="368">
        <v>0</v>
      </c>
      <c r="AN1001" s="368"/>
      <c r="AO1001" s="368">
        <v>0</v>
      </c>
    </row>
    <row r="1002" spans="1:41" s="152" customFormat="1" ht="36" customHeight="1" x14ac:dyDescent="0.9">
      <c r="A1002" s="152">
        <v>1</v>
      </c>
      <c r="B1002" s="90">
        <f>SUBTOTAL(103,$A$988:A1002)</f>
        <v>15</v>
      </c>
      <c r="C1002" s="89" t="s">
        <v>586</v>
      </c>
      <c r="D1002" s="163" t="s">
        <v>317</v>
      </c>
      <c r="E1002" s="163"/>
      <c r="F1002" s="168" t="s">
        <v>315</v>
      </c>
      <c r="G1002" s="163" t="s">
        <v>376</v>
      </c>
      <c r="H1002" s="163">
        <v>2</v>
      </c>
      <c r="I1002" s="164">
        <v>2482.1</v>
      </c>
      <c r="J1002" s="164">
        <v>2181.5500000000002</v>
      </c>
      <c r="K1002" s="164">
        <v>1858.6</v>
      </c>
      <c r="L1002" s="165">
        <v>96</v>
      </c>
      <c r="M1002" s="163" t="s">
        <v>268</v>
      </c>
      <c r="N1002" s="163" t="s">
        <v>272</v>
      </c>
      <c r="O1002" s="166" t="s">
        <v>1398</v>
      </c>
      <c r="P1002" s="167">
        <v>2108788.0499999998</v>
      </c>
      <c r="Q1002" s="167">
        <v>0</v>
      </c>
      <c r="R1002" s="167">
        <v>0</v>
      </c>
      <c r="S1002" s="167">
        <f t="shared" si="314"/>
        <v>2108788.0499999998</v>
      </c>
      <c r="T1002" s="167">
        <f t="shared" si="305"/>
        <v>849.59834414407146</v>
      </c>
      <c r="U1002" s="167">
        <v>1168.0015707666896</v>
      </c>
      <c r="V1002" s="149">
        <f t="shared" si="313"/>
        <v>318.40322662261815</v>
      </c>
      <c r="W1002" s="149">
        <f t="shared" si="315"/>
        <v>1168.0015707666896</v>
      </c>
      <c r="X1002" s="149">
        <v>0</v>
      </c>
      <c r="Y1002" s="368">
        <v>0</v>
      </c>
      <c r="Z1002" s="368">
        <v>0</v>
      </c>
      <c r="AA1002" s="368">
        <v>0</v>
      </c>
      <c r="AB1002" s="368">
        <v>0</v>
      </c>
      <c r="AC1002" s="368">
        <v>0</v>
      </c>
      <c r="AD1002" s="368">
        <v>0</v>
      </c>
      <c r="AE1002" s="368">
        <v>464.68</v>
      </c>
      <c r="AF1002" s="396">
        <f t="shared" si="316"/>
        <v>1168.0015707666896</v>
      </c>
      <c r="AG1002" s="368">
        <v>0</v>
      </c>
      <c r="AH1002" s="396">
        <v>0</v>
      </c>
      <c r="AI1002" s="368">
        <v>0</v>
      </c>
      <c r="AJ1002" s="396">
        <v>0</v>
      </c>
      <c r="AK1002" s="368">
        <v>0</v>
      </c>
      <c r="AL1002" s="368">
        <v>0</v>
      </c>
      <c r="AM1002" s="368">
        <v>0</v>
      </c>
      <c r="AN1002" s="368"/>
      <c r="AO1002" s="368">
        <v>0</v>
      </c>
    </row>
    <row r="1003" spans="1:41" s="152" customFormat="1" ht="36" customHeight="1" x14ac:dyDescent="0.9">
      <c r="A1003" s="152">
        <v>1</v>
      </c>
      <c r="B1003" s="90">
        <f>SUBTOTAL(103,$A$988:A1003)</f>
        <v>16</v>
      </c>
      <c r="C1003" s="89" t="s">
        <v>1654</v>
      </c>
      <c r="D1003" s="163">
        <v>1962</v>
      </c>
      <c r="E1003" s="163"/>
      <c r="F1003" s="168" t="s">
        <v>270</v>
      </c>
      <c r="G1003" s="163">
        <v>4</v>
      </c>
      <c r="H1003" s="163">
        <v>3</v>
      </c>
      <c r="I1003" s="164">
        <v>2169.3000000000002</v>
      </c>
      <c r="J1003" s="164">
        <v>1836.7</v>
      </c>
      <c r="K1003" s="164">
        <v>1836.7</v>
      </c>
      <c r="L1003" s="165">
        <v>110</v>
      </c>
      <c r="M1003" s="163" t="s">
        <v>268</v>
      </c>
      <c r="N1003" s="163" t="s">
        <v>272</v>
      </c>
      <c r="O1003" s="166" t="s">
        <v>1104</v>
      </c>
      <c r="P1003" s="167">
        <v>4161500</v>
      </c>
      <c r="Q1003" s="167">
        <v>0</v>
      </c>
      <c r="R1003" s="167">
        <v>0</v>
      </c>
      <c r="S1003" s="167">
        <f t="shared" si="314"/>
        <v>4161500</v>
      </c>
      <c r="T1003" s="167">
        <f t="shared" si="305"/>
        <v>1918.3607615359792</v>
      </c>
      <c r="U1003" s="167">
        <v>2381.3292214078269</v>
      </c>
      <c r="V1003" s="149">
        <f t="shared" si="313"/>
        <v>462.9684598718477</v>
      </c>
      <c r="W1003" s="149">
        <f t="shared" si="315"/>
        <v>2381.3292214078269</v>
      </c>
      <c r="X1003" s="149">
        <v>0</v>
      </c>
      <c r="Y1003" s="368">
        <v>0</v>
      </c>
      <c r="Z1003" s="368">
        <v>0</v>
      </c>
      <c r="AA1003" s="368">
        <v>0</v>
      </c>
      <c r="AB1003" s="368">
        <v>0</v>
      </c>
      <c r="AC1003" s="368">
        <v>0</v>
      </c>
      <c r="AD1003" s="368">
        <v>0</v>
      </c>
      <c r="AE1003" s="368">
        <v>828</v>
      </c>
      <c r="AF1003" s="396">
        <f t="shared" si="316"/>
        <v>2381.3292214078269</v>
      </c>
      <c r="AG1003" s="368">
        <v>0</v>
      </c>
      <c r="AH1003" s="396">
        <v>0</v>
      </c>
      <c r="AI1003" s="368">
        <v>0</v>
      </c>
      <c r="AJ1003" s="396">
        <v>0</v>
      </c>
      <c r="AK1003" s="368">
        <v>0</v>
      </c>
      <c r="AL1003" s="368">
        <v>0</v>
      </c>
      <c r="AM1003" s="368">
        <v>0</v>
      </c>
      <c r="AN1003" s="368"/>
      <c r="AO1003" s="368">
        <v>0</v>
      </c>
    </row>
    <row r="1004" spans="1:41" s="152" customFormat="1" ht="36" customHeight="1" x14ac:dyDescent="0.9">
      <c r="A1004" s="152">
        <v>1</v>
      </c>
      <c r="B1004" s="90">
        <f>SUBTOTAL(103,$A$988:A1004)</f>
        <v>17</v>
      </c>
      <c r="C1004" s="89" t="s">
        <v>588</v>
      </c>
      <c r="D1004" s="163" t="s">
        <v>378</v>
      </c>
      <c r="E1004" s="163"/>
      <c r="F1004" s="168" t="s">
        <v>270</v>
      </c>
      <c r="G1004" s="163" t="s">
        <v>316</v>
      </c>
      <c r="H1004" s="163">
        <v>1</v>
      </c>
      <c r="I1004" s="164">
        <v>1637</v>
      </c>
      <c r="J1004" s="164">
        <v>983.6</v>
      </c>
      <c r="K1004" s="164">
        <v>768.5</v>
      </c>
      <c r="L1004" s="165">
        <v>71</v>
      </c>
      <c r="M1004" s="163" t="s">
        <v>268</v>
      </c>
      <c r="N1004" s="163" t="s">
        <v>272</v>
      </c>
      <c r="O1004" s="166" t="s">
        <v>1398</v>
      </c>
      <c r="P1004" s="167">
        <v>3514995.2</v>
      </c>
      <c r="Q1004" s="167">
        <v>0</v>
      </c>
      <c r="R1004" s="167">
        <v>0</v>
      </c>
      <c r="S1004" s="167">
        <f t="shared" si="314"/>
        <v>3514995.2</v>
      </c>
      <c r="T1004" s="167">
        <f t="shared" si="305"/>
        <v>2147.2175931582165</v>
      </c>
      <c r="U1004" s="167">
        <v>2953.668448381185</v>
      </c>
      <c r="V1004" s="149">
        <f t="shared" si="313"/>
        <v>806.45085522296858</v>
      </c>
      <c r="W1004" s="149">
        <f t="shared" si="315"/>
        <v>2953.668448381185</v>
      </c>
      <c r="X1004" s="149">
        <v>0</v>
      </c>
      <c r="Y1004" s="368">
        <v>0</v>
      </c>
      <c r="Z1004" s="368">
        <v>0</v>
      </c>
      <c r="AA1004" s="368">
        <v>0</v>
      </c>
      <c r="AB1004" s="368">
        <v>0</v>
      </c>
      <c r="AC1004" s="368">
        <v>0</v>
      </c>
      <c r="AD1004" s="368">
        <v>0</v>
      </c>
      <c r="AE1004" s="368">
        <v>775</v>
      </c>
      <c r="AF1004" s="396">
        <f t="shared" si="316"/>
        <v>2953.668448381185</v>
      </c>
      <c r="AG1004" s="368">
        <v>0</v>
      </c>
      <c r="AH1004" s="396">
        <v>0</v>
      </c>
      <c r="AI1004" s="368">
        <v>0</v>
      </c>
      <c r="AJ1004" s="396">
        <v>0</v>
      </c>
      <c r="AK1004" s="368">
        <v>0</v>
      </c>
      <c r="AL1004" s="368">
        <v>0</v>
      </c>
      <c r="AM1004" s="368">
        <v>0</v>
      </c>
      <c r="AN1004" s="368"/>
      <c r="AO1004" s="368">
        <v>0</v>
      </c>
    </row>
    <row r="1005" spans="1:41" s="152" customFormat="1" ht="36" customHeight="1" x14ac:dyDescent="0.9">
      <c r="A1005" s="152">
        <v>1</v>
      </c>
      <c r="B1005" s="90">
        <f>SUBTOTAL(103,$A$988:A1005)</f>
        <v>18</v>
      </c>
      <c r="C1005" s="89" t="s">
        <v>589</v>
      </c>
      <c r="D1005" s="169" t="s">
        <v>314</v>
      </c>
      <c r="E1005" s="163"/>
      <c r="F1005" s="168" t="s">
        <v>315</v>
      </c>
      <c r="G1005" s="163" t="s">
        <v>356</v>
      </c>
      <c r="H1005" s="163">
        <v>3</v>
      </c>
      <c r="I1005" s="164">
        <v>2249.1</v>
      </c>
      <c r="J1005" s="164">
        <v>2046.7</v>
      </c>
      <c r="K1005" s="164">
        <v>2046.7</v>
      </c>
      <c r="L1005" s="165">
        <v>97</v>
      </c>
      <c r="M1005" s="163" t="s">
        <v>268</v>
      </c>
      <c r="N1005" s="163" t="s">
        <v>272</v>
      </c>
      <c r="O1005" s="166" t="s">
        <v>1399</v>
      </c>
      <c r="P1005" s="167">
        <v>2547497.35</v>
      </c>
      <c r="Q1005" s="167">
        <v>0</v>
      </c>
      <c r="R1005" s="167">
        <v>0</v>
      </c>
      <c r="S1005" s="167">
        <f t="shared" si="314"/>
        <v>2547497.35</v>
      </c>
      <c r="T1005" s="167">
        <f t="shared" si="305"/>
        <v>1132.6741140900806</v>
      </c>
      <c r="U1005" s="167">
        <v>1545.0948690587347</v>
      </c>
      <c r="V1005" s="149">
        <f t="shared" si="313"/>
        <v>412.42075496865414</v>
      </c>
      <c r="W1005" s="149">
        <f t="shared" si="315"/>
        <v>1545.0948690587347</v>
      </c>
      <c r="X1005" s="149">
        <v>0</v>
      </c>
      <c r="Y1005" s="368">
        <v>0</v>
      </c>
      <c r="Z1005" s="368">
        <v>0</v>
      </c>
      <c r="AA1005" s="368">
        <v>0</v>
      </c>
      <c r="AB1005" s="368">
        <v>0</v>
      </c>
      <c r="AC1005" s="368">
        <v>0</v>
      </c>
      <c r="AD1005" s="368">
        <v>0</v>
      </c>
      <c r="AE1005" s="368">
        <v>557</v>
      </c>
      <c r="AF1005" s="396">
        <f t="shared" si="316"/>
        <v>1545.0948690587347</v>
      </c>
      <c r="AG1005" s="368">
        <v>0</v>
      </c>
      <c r="AH1005" s="396">
        <v>0</v>
      </c>
      <c r="AI1005" s="368">
        <v>0</v>
      </c>
      <c r="AJ1005" s="396">
        <v>0</v>
      </c>
      <c r="AK1005" s="368">
        <v>0</v>
      </c>
      <c r="AL1005" s="368">
        <v>0</v>
      </c>
      <c r="AM1005" s="368">
        <v>0</v>
      </c>
      <c r="AN1005" s="368"/>
      <c r="AO1005" s="368">
        <v>0</v>
      </c>
    </row>
    <row r="1006" spans="1:41" s="152" customFormat="1" ht="36" customHeight="1" x14ac:dyDescent="0.9">
      <c r="A1006" s="152">
        <v>1</v>
      </c>
      <c r="B1006" s="90">
        <f>SUBTOTAL(103,$A$988:A1006)</f>
        <v>19</v>
      </c>
      <c r="C1006" s="89" t="s">
        <v>590</v>
      </c>
      <c r="D1006" s="169" t="s">
        <v>314</v>
      </c>
      <c r="E1006" s="163"/>
      <c r="F1006" s="168" t="s">
        <v>270</v>
      </c>
      <c r="G1006" s="163" t="s">
        <v>356</v>
      </c>
      <c r="H1006" s="163">
        <v>1</v>
      </c>
      <c r="I1006" s="164">
        <v>867.9</v>
      </c>
      <c r="J1006" s="164">
        <v>809.2</v>
      </c>
      <c r="K1006" s="164">
        <v>766.2</v>
      </c>
      <c r="L1006" s="165">
        <v>36</v>
      </c>
      <c r="M1006" s="163" t="s">
        <v>268</v>
      </c>
      <c r="N1006" s="163" t="s">
        <v>272</v>
      </c>
      <c r="O1006" s="166" t="s">
        <v>1412</v>
      </c>
      <c r="P1006" s="167">
        <v>974208.66</v>
      </c>
      <c r="Q1006" s="167">
        <v>0</v>
      </c>
      <c r="R1006" s="167">
        <v>0</v>
      </c>
      <c r="S1006" s="167">
        <f t="shared" si="314"/>
        <v>974208.66</v>
      </c>
      <c r="T1006" s="167">
        <f t="shared" si="305"/>
        <v>1122.4895264431386</v>
      </c>
      <c r="U1006" s="167">
        <v>1624.6038253254983</v>
      </c>
      <c r="V1006" s="149">
        <f t="shared" si="313"/>
        <v>502.11429888235966</v>
      </c>
      <c r="W1006" s="149">
        <f t="shared" si="315"/>
        <v>1624.6038253254983</v>
      </c>
      <c r="X1006" s="149">
        <v>0</v>
      </c>
      <c r="Y1006" s="368">
        <v>0</v>
      </c>
      <c r="Z1006" s="368">
        <v>0</v>
      </c>
      <c r="AA1006" s="368">
        <v>0</v>
      </c>
      <c r="AB1006" s="368">
        <v>0</v>
      </c>
      <c r="AC1006" s="368">
        <v>0</v>
      </c>
      <c r="AD1006" s="368">
        <v>0</v>
      </c>
      <c r="AE1006" s="368">
        <v>226</v>
      </c>
      <c r="AF1006" s="396">
        <f t="shared" si="316"/>
        <v>1624.6038253254983</v>
      </c>
      <c r="AG1006" s="368">
        <v>0</v>
      </c>
      <c r="AH1006" s="396">
        <v>0</v>
      </c>
      <c r="AI1006" s="368">
        <v>0</v>
      </c>
      <c r="AJ1006" s="396">
        <v>0</v>
      </c>
      <c r="AK1006" s="368">
        <v>0</v>
      </c>
      <c r="AL1006" s="368">
        <v>0</v>
      </c>
      <c r="AM1006" s="368">
        <v>0</v>
      </c>
      <c r="AN1006" s="368"/>
      <c r="AO1006" s="368">
        <v>0</v>
      </c>
    </row>
    <row r="1007" spans="1:41" s="152" customFormat="1" ht="36" customHeight="1" x14ac:dyDescent="0.9">
      <c r="A1007" s="152">
        <v>1</v>
      </c>
      <c r="B1007" s="90">
        <f>SUBTOTAL(103,$A$988:A1007)</f>
        <v>20</v>
      </c>
      <c r="C1007" s="89" t="s">
        <v>591</v>
      </c>
      <c r="D1007" s="163" t="s">
        <v>379</v>
      </c>
      <c r="E1007" s="163"/>
      <c r="F1007" s="168" t="s">
        <v>315</v>
      </c>
      <c r="G1007" s="163" t="s">
        <v>356</v>
      </c>
      <c r="H1007" s="163">
        <v>3</v>
      </c>
      <c r="I1007" s="164">
        <v>2653.8</v>
      </c>
      <c r="J1007" s="164">
        <v>2443.1</v>
      </c>
      <c r="K1007" s="164">
        <v>2354.1</v>
      </c>
      <c r="L1007" s="165">
        <v>102</v>
      </c>
      <c r="M1007" s="163" t="s">
        <v>268</v>
      </c>
      <c r="N1007" s="163" t="s">
        <v>272</v>
      </c>
      <c r="O1007" s="166" t="s">
        <v>1088</v>
      </c>
      <c r="P1007" s="167">
        <v>2883983.08</v>
      </c>
      <c r="Q1007" s="167">
        <v>0</v>
      </c>
      <c r="R1007" s="167">
        <v>0</v>
      </c>
      <c r="S1007" s="167">
        <f t="shared" si="314"/>
        <v>2883983.08</v>
      </c>
      <c r="T1007" s="167">
        <f t="shared" si="305"/>
        <v>1086.7371618057125</v>
      </c>
      <c r="U1007" s="167">
        <v>1485.7906096917627</v>
      </c>
      <c r="V1007" s="149">
        <f t="shared" si="313"/>
        <v>399.05344788605021</v>
      </c>
      <c r="W1007" s="149">
        <f t="shared" si="315"/>
        <v>1485.7906096917627</v>
      </c>
      <c r="X1007" s="149">
        <v>0</v>
      </c>
      <c r="Y1007" s="368">
        <v>0</v>
      </c>
      <c r="Z1007" s="368">
        <v>0</v>
      </c>
      <c r="AA1007" s="368">
        <v>0</v>
      </c>
      <c r="AB1007" s="368">
        <v>0</v>
      </c>
      <c r="AC1007" s="368">
        <v>0</v>
      </c>
      <c r="AD1007" s="368">
        <v>0</v>
      </c>
      <c r="AE1007" s="368">
        <v>632</v>
      </c>
      <c r="AF1007" s="396">
        <f t="shared" si="316"/>
        <v>1485.7906096917627</v>
      </c>
      <c r="AG1007" s="368">
        <v>0</v>
      </c>
      <c r="AH1007" s="396">
        <v>0</v>
      </c>
      <c r="AI1007" s="368">
        <v>0</v>
      </c>
      <c r="AJ1007" s="396">
        <v>0</v>
      </c>
      <c r="AK1007" s="368">
        <v>0</v>
      </c>
      <c r="AL1007" s="368">
        <v>0</v>
      </c>
      <c r="AM1007" s="368">
        <v>0</v>
      </c>
      <c r="AN1007" s="368"/>
      <c r="AO1007" s="368">
        <v>0</v>
      </c>
    </row>
    <row r="1008" spans="1:41" s="152" customFormat="1" ht="36" customHeight="1" x14ac:dyDescent="0.9">
      <c r="A1008" s="152">
        <v>1</v>
      </c>
      <c r="B1008" s="90">
        <f>SUBTOTAL(103,$A$988:A1008)</f>
        <v>21</v>
      </c>
      <c r="C1008" s="89" t="s">
        <v>592</v>
      </c>
      <c r="D1008" s="163" t="s">
        <v>379</v>
      </c>
      <c r="E1008" s="163"/>
      <c r="F1008" s="168" t="s">
        <v>315</v>
      </c>
      <c r="G1008" s="163" t="s">
        <v>356</v>
      </c>
      <c r="H1008" s="163">
        <v>3</v>
      </c>
      <c r="I1008" s="164">
        <v>2632.8</v>
      </c>
      <c r="J1008" s="164">
        <v>2351.9</v>
      </c>
      <c r="K1008" s="164">
        <v>2335.8000000000002</v>
      </c>
      <c r="L1008" s="165">
        <v>107</v>
      </c>
      <c r="M1008" s="163" t="s">
        <v>268</v>
      </c>
      <c r="N1008" s="163" t="s">
        <v>272</v>
      </c>
      <c r="O1008" s="166" t="s">
        <v>1088</v>
      </c>
      <c r="P1008" s="167">
        <v>2883983.08</v>
      </c>
      <c r="Q1008" s="167">
        <v>0</v>
      </c>
      <c r="R1008" s="167">
        <v>0</v>
      </c>
      <c r="S1008" s="167">
        <f t="shared" si="314"/>
        <v>2883983.08</v>
      </c>
      <c r="T1008" s="167">
        <f t="shared" si="305"/>
        <v>1095.4053023397144</v>
      </c>
      <c r="U1008" s="167">
        <v>1497.6417198419933</v>
      </c>
      <c r="V1008" s="149">
        <f t="shared" si="313"/>
        <v>402.23641750227898</v>
      </c>
      <c r="W1008" s="149">
        <f t="shared" si="315"/>
        <v>1497.6417198419933</v>
      </c>
      <c r="X1008" s="149">
        <v>0</v>
      </c>
      <c r="Y1008" s="368">
        <v>0</v>
      </c>
      <c r="Z1008" s="368">
        <v>0</v>
      </c>
      <c r="AA1008" s="368">
        <v>0</v>
      </c>
      <c r="AB1008" s="368">
        <v>0</v>
      </c>
      <c r="AC1008" s="368">
        <v>0</v>
      </c>
      <c r="AD1008" s="368">
        <v>0</v>
      </c>
      <c r="AE1008" s="368">
        <v>632</v>
      </c>
      <c r="AF1008" s="396">
        <f t="shared" si="316"/>
        <v>1497.6417198419933</v>
      </c>
      <c r="AG1008" s="368">
        <v>0</v>
      </c>
      <c r="AH1008" s="396">
        <v>0</v>
      </c>
      <c r="AI1008" s="368">
        <v>0</v>
      </c>
      <c r="AJ1008" s="396">
        <v>0</v>
      </c>
      <c r="AK1008" s="368">
        <v>0</v>
      </c>
      <c r="AL1008" s="368">
        <v>0</v>
      </c>
      <c r="AM1008" s="368">
        <v>0</v>
      </c>
      <c r="AN1008" s="368"/>
      <c r="AO1008" s="368">
        <v>0</v>
      </c>
    </row>
    <row r="1009" spans="1:41" s="152" customFormat="1" ht="36" customHeight="1" x14ac:dyDescent="0.9">
      <c r="A1009" s="152">
        <v>1</v>
      </c>
      <c r="B1009" s="90">
        <f>SUBTOTAL(103,$A$988:A1009)</f>
        <v>22</v>
      </c>
      <c r="C1009" s="89" t="s">
        <v>593</v>
      </c>
      <c r="D1009" s="163" t="s">
        <v>314</v>
      </c>
      <c r="E1009" s="163"/>
      <c r="F1009" s="168" t="s">
        <v>270</v>
      </c>
      <c r="G1009" s="163" t="s">
        <v>362</v>
      </c>
      <c r="H1009" s="163">
        <v>1</v>
      </c>
      <c r="I1009" s="164">
        <v>3626.2</v>
      </c>
      <c r="J1009" s="164">
        <v>3322.8</v>
      </c>
      <c r="K1009" s="164">
        <v>3152.1</v>
      </c>
      <c r="L1009" s="165">
        <v>152</v>
      </c>
      <c r="M1009" s="163" t="s">
        <v>268</v>
      </c>
      <c r="N1009" s="163" t="s">
        <v>272</v>
      </c>
      <c r="O1009" s="166" t="s">
        <v>1088</v>
      </c>
      <c r="P1009" s="167">
        <v>3302263</v>
      </c>
      <c r="Q1009" s="167">
        <v>0</v>
      </c>
      <c r="R1009" s="167">
        <v>0</v>
      </c>
      <c r="S1009" s="167">
        <f t="shared" si="314"/>
        <v>3302263</v>
      </c>
      <c r="T1009" s="167">
        <f t="shared" si="305"/>
        <v>910.66764105675372</v>
      </c>
      <c r="U1009" s="167">
        <v>1238.7665324582208</v>
      </c>
      <c r="V1009" s="149">
        <f t="shared" si="313"/>
        <v>328.09889140146709</v>
      </c>
      <c r="W1009" s="149">
        <f t="shared" si="315"/>
        <v>1238.7665324582208</v>
      </c>
      <c r="X1009" s="149">
        <v>0</v>
      </c>
      <c r="Y1009" s="368">
        <v>0</v>
      </c>
      <c r="Z1009" s="368">
        <v>0</v>
      </c>
      <c r="AA1009" s="368">
        <v>0</v>
      </c>
      <c r="AB1009" s="368">
        <v>0</v>
      </c>
      <c r="AC1009" s="368">
        <v>0</v>
      </c>
      <c r="AD1009" s="368">
        <v>0</v>
      </c>
      <c r="AE1009" s="368">
        <v>720</v>
      </c>
      <c r="AF1009" s="396">
        <f t="shared" si="316"/>
        <v>1238.7665324582208</v>
      </c>
      <c r="AG1009" s="368">
        <v>0</v>
      </c>
      <c r="AH1009" s="396">
        <v>0</v>
      </c>
      <c r="AI1009" s="368">
        <v>0</v>
      </c>
      <c r="AJ1009" s="396">
        <v>0</v>
      </c>
      <c r="AK1009" s="368">
        <v>0</v>
      </c>
      <c r="AL1009" s="368">
        <v>0</v>
      </c>
      <c r="AM1009" s="368">
        <v>0</v>
      </c>
      <c r="AN1009" s="368"/>
      <c r="AO1009" s="368">
        <v>0</v>
      </c>
    </row>
    <row r="1010" spans="1:41" s="152" customFormat="1" ht="36" customHeight="1" x14ac:dyDescent="0.9">
      <c r="A1010" s="152">
        <v>1</v>
      </c>
      <c r="B1010" s="90">
        <f>SUBTOTAL(103,$A$988:A1010)</f>
        <v>23</v>
      </c>
      <c r="C1010" s="89" t="s">
        <v>594</v>
      </c>
      <c r="D1010" s="163" t="s">
        <v>380</v>
      </c>
      <c r="E1010" s="163"/>
      <c r="F1010" s="168" t="s">
        <v>315</v>
      </c>
      <c r="G1010" s="163" t="s">
        <v>356</v>
      </c>
      <c r="H1010" s="163">
        <v>4</v>
      </c>
      <c r="I1010" s="164">
        <v>3861</v>
      </c>
      <c r="J1010" s="164">
        <v>3604.2</v>
      </c>
      <c r="K1010" s="164">
        <v>3552.1</v>
      </c>
      <c r="L1010" s="165">
        <v>165</v>
      </c>
      <c r="M1010" s="163" t="s">
        <v>268</v>
      </c>
      <c r="N1010" s="163" t="s">
        <v>272</v>
      </c>
      <c r="O1010" s="166" t="s">
        <v>1088</v>
      </c>
      <c r="P1010" s="167">
        <v>4323303.57</v>
      </c>
      <c r="Q1010" s="167">
        <v>0</v>
      </c>
      <c r="R1010" s="167">
        <v>0</v>
      </c>
      <c r="S1010" s="167">
        <f t="shared" si="314"/>
        <v>4323303.57</v>
      </c>
      <c r="T1010" s="167">
        <f t="shared" si="305"/>
        <v>1119.7367443667445</v>
      </c>
      <c r="U1010" s="167">
        <v>1569.0188060088058</v>
      </c>
      <c r="V1010" s="149">
        <f t="shared" si="313"/>
        <v>449.28206164206131</v>
      </c>
      <c r="W1010" s="149">
        <f t="shared" si="315"/>
        <v>1569.0188060088058</v>
      </c>
      <c r="X1010" s="149">
        <v>0</v>
      </c>
      <c r="Y1010" s="368">
        <v>0</v>
      </c>
      <c r="Z1010" s="368">
        <v>0</v>
      </c>
      <c r="AA1010" s="368">
        <v>0</v>
      </c>
      <c r="AB1010" s="368">
        <v>0</v>
      </c>
      <c r="AC1010" s="368">
        <v>0</v>
      </c>
      <c r="AD1010" s="368">
        <v>0</v>
      </c>
      <c r="AE1010" s="368">
        <v>971</v>
      </c>
      <c r="AF1010" s="396">
        <f t="shared" si="316"/>
        <v>1569.0188060088058</v>
      </c>
      <c r="AG1010" s="368">
        <v>0</v>
      </c>
      <c r="AH1010" s="396">
        <v>0</v>
      </c>
      <c r="AI1010" s="368">
        <v>0</v>
      </c>
      <c r="AJ1010" s="396">
        <v>0</v>
      </c>
      <c r="AK1010" s="368">
        <v>0</v>
      </c>
      <c r="AL1010" s="368">
        <v>0</v>
      </c>
      <c r="AM1010" s="368">
        <v>0</v>
      </c>
      <c r="AN1010" s="368"/>
      <c r="AO1010" s="368">
        <v>0</v>
      </c>
    </row>
    <row r="1011" spans="1:41" s="152" customFormat="1" ht="36" customHeight="1" x14ac:dyDescent="0.9">
      <c r="A1011" s="152">
        <v>1</v>
      </c>
      <c r="B1011" s="90">
        <f>SUBTOTAL(103,$A$988:A1011)</f>
        <v>24</v>
      </c>
      <c r="C1011" s="89" t="s">
        <v>595</v>
      </c>
      <c r="D1011" s="163" t="s">
        <v>381</v>
      </c>
      <c r="E1011" s="163"/>
      <c r="F1011" s="168" t="s">
        <v>270</v>
      </c>
      <c r="G1011" s="163" t="s">
        <v>362</v>
      </c>
      <c r="H1011" s="163">
        <v>1</v>
      </c>
      <c r="I1011" s="164">
        <v>1800.4</v>
      </c>
      <c r="J1011" s="164">
        <v>1643.1</v>
      </c>
      <c r="K1011" s="164">
        <v>1043.0999999999999</v>
      </c>
      <c r="L1011" s="165">
        <v>59</v>
      </c>
      <c r="M1011" s="163" t="s">
        <v>268</v>
      </c>
      <c r="N1011" s="163" t="s">
        <v>272</v>
      </c>
      <c r="O1011" s="166" t="s">
        <v>1670</v>
      </c>
      <c r="P1011" s="167">
        <v>2249559.61</v>
      </c>
      <c r="Q1011" s="167">
        <v>0</v>
      </c>
      <c r="R1011" s="167">
        <v>0</v>
      </c>
      <c r="S1011" s="167">
        <f t="shared" si="314"/>
        <v>2249559.61</v>
      </c>
      <c r="T1011" s="167">
        <f t="shared" si="305"/>
        <v>1249.4776771828481</v>
      </c>
      <c r="U1011" s="167">
        <v>1365.1410797600533</v>
      </c>
      <c r="V1011" s="149">
        <f t="shared" si="313"/>
        <v>115.66340257720526</v>
      </c>
      <c r="W1011" s="149">
        <f t="shared" si="315"/>
        <v>1365.1410797600533</v>
      </c>
      <c r="X1011" s="149">
        <v>0</v>
      </c>
      <c r="Y1011" s="368">
        <v>0</v>
      </c>
      <c r="Z1011" s="368">
        <v>0</v>
      </c>
      <c r="AA1011" s="368">
        <v>0</v>
      </c>
      <c r="AB1011" s="368">
        <v>0</v>
      </c>
      <c r="AC1011" s="368">
        <v>1</v>
      </c>
      <c r="AD1011" s="396">
        <f>2457800*AC1011/I1011</f>
        <v>1365.1410797600533</v>
      </c>
      <c r="AE1011" s="368">
        <v>0</v>
      </c>
      <c r="AF1011" s="396">
        <v>0</v>
      </c>
      <c r="AG1011" s="368">
        <v>0</v>
      </c>
      <c r="AH1011" s="396">
        <v>0</v>
      </c>
      <c r="AI1011" s="368">
        <v>0</v>
      </c>
      <c r="AJ1011" s="396">
        <v>0</v>
      </c>
      <c r="AK1011" s="368">
        <v>0</v>
      </c>
      <c r="AL1011" s="368">
        <v>0</v>
      </c>
      <c r="AM1011" s="368">
        <v>0</v>
      </c>
      <c r="AN1011" s="368"/>
      <c r="AO1011" s="368">
        <v>0</v>
      </c>
    </row>
    <row r="1012" spans="1:41" s="152" customFormat="1" ht="36" customHeight="1" x14ac:dyDescent="0.9">
      <c r="A1012" s="152">
        <v>1</v>
      </c>
      <c r="B1012" s="90">
        <f>SUBTOTAL(103,$A$988:A1012)</f>
        <v>25</v>
      </c>
      <c r="C1012" s="89" t="s">
        <v>596</v>
      </c>
      <c r="D1012" s="163">
        <v>1962</v>
      </c>
      <c r="E1012" s="163"/>
      <c r="F1012" s="168" t="s">
        <v>270</v>
      </c>
      <c r="G1012" s="163">
        <v>5</v>
      </c>
      <c r="H1012" s="163">
        <v>4</v>
      </c>
      <c r="I1012" s="164">
        <v>4073.9</v>
      </c>
      <c r="J1012" s="164">
        <v>3133.8</v>
      </c>
      <c r="K1012" s="164">
        <v>2004.3</v>
      </c>
      <c r="L1012" s="165">
        <v>154</v>
      </c>
      <c r="M1012" s="163" t="s">
        <v>268</v>
      </c>
      <c r="N1012" s="163" t="s">
        <v>272</v>
      </c>
      <c r="O1012" s="166" t="s">
        <v>1104</v>
      </c>
      <c r="P1012" s="167">
        <v>3899114.33</v>
      </c>
      <c r="Q1012" s="167">
        <v>0</v>
      </c>
      <c r="R1012" s="167">
        <v>0</v>
      </c>
      <c r="S1012" s="167">
        <f t="shared" si="314"/>
        <v>3899114.33</v>
      </c>
      <c r="T1012" s="167">
        <f t="shared" si="305"/>
        <v>957.09622965708536</v>
      </c>
      <c r="U1012" s="167">
        <v>1292.5305088490145</v>
      </c>
      <c r="V1012" s="149">
        <f t="shared" si="313"/>
        <v>335.43427919192914</v>
      </c>
      <c r="W1012" s="149">
        <f t="shared" si="315"/>
        <v>1292.5305088490145</v>
      </c>
      <c r="X1012" s="149">
        <v>0</v>
      </c>
      <c r="Y1012" s="368">
        <v>0</v>
      </c>
      <c r="Z1012" s="368">
        <v>0</v>
      </c>
      <c r="AA1012" s="368">
        <v>0</v>
      </c>
      <c r="AB1012" s="368">
        <v>0</v>
      </c>
      <c r="AC1012" s="368">
        <v>0</v>
      </c>
      <c r="AD1012" s="368">
        <v>0</v>
      </c>
      <c r="AE1012" s="368">
        <v>844</v>
      </c>
      <c r="AF1012" s="396">
        <f t="shared" ref="AF1012:AF1017" si="317">6238.91*AE1012/I1012</f>
        <v>1292.5305088490145</v>
      </c>
      <c r="AG1012" s="368">
        <v>0</v>
      </c>
      <c r="AH1012" s="396">
        <v>0</v>
      </c>
      <c r="AI1012" s="368">
        <v>0</v>
      </c>
      <c r="AJ1012" s="396">
        <v>0</v>
      </c>
      <c r="AK1012" s="368">
        <v>0</v>
      </c>
      <c r="AL1012" s="368">
        <v>0</v>
      </c>
      <c r="AM1012" s="368">
        <v>0</v>
      </c>
      <c r="AN1012" s="368"/>
      <c r="AO1012" s="368">
        <v>0</v>
      </c>
    </row>
    <row r="1013" spans="1:41" s="152" customFormat="1" ht="36" customHeight="1" x14ac:dyDescent="0.9">
      <c r="A1013" s="152">
        <v>1</v>
      </c>
      <c r="B1013" s="90">
        <f>SUBTOTAL(103,$A$988:A1013)</f>
        <v>26</v>
      </c>
      <c r="C1013" s="89" t="s">
        <v>1655</v>
      </c>
      <c r="D1013" s="163">
        <v>1962</v>
      </c>
      <c r="E1013" s="163"/>
      <c r="F1013" s="168" t="s">
        <v>270</v>
      </c>
      <c r="G1013" s="163">
        <v>4</v>
      </c>
      <c r="H1013" s="163">
        <v>3</v>
      </c>
      <c r="I1013" s="164">
        <v>2132.1</v>
      </c>
      <c r="J1013" s="164">
        <v>1746.6</v>
      </c>
      <c r="K1013" s="164">
        <v>1691.5</v>
      </c>
      <c r="L1013" s="165">
        <v>107</v>
      </c>
      <c r="M1013" s="163" t="s">
        <v>268</v>
      </c>
      <c r="N1013" s="163" t="s">
        <v>272</v>
      </c>
      <c r="O1013" s="166" t="s">
        <v>1104</v>
      </c>
      <c r="P1013" s="167">
        <v>4374650</v>
      </c>
      <c r="Q1013" s="167">
        <v>0</v>
      </c>
      <c r="R1013" s="167">
        <v>0</v>
      </c>
      <c r="S1013" s="167">
        <f t="shared" si="314"/>
        <v>4374650</v>
      </c>
      <c r="T1013" s="167">
        <f t="shared" si="305"/>
        <v>2051.8033863327237</v>
      </c>
      <c r="U1013" s="167">
        <v>2809.1335303222177</v>
      </c>
      <c r="V1013" s="149">
        <f t="shared" si="313"/>
        <v>757.33014398949399</v>
      </c>
      <c r="W1013" s="149">
        <f t="shared" si="315"/>
        <v>2809.1335303222177</v>
      </c>
      <c r="X1013" s="149">
        <v>0</v>
      </c>
      <c r="Y1013" s="368">
        <v>0</v>
      </c>
      <c r="Z1013" s="368">
        <v>0</v>
      </c>
      <c r="AA1013" s="368">
        <v>0</v>
      </c>
      <c r="AB1013" s="368">
        <v>0</v>
      </c>
      <c r="AC1013" s="368">
        <v>0</v>
      </c>
      <c r="AD1013" s="368">
        <v>0</v>
      </c>
      <c r="AE1013" s="368">
        <v>960</v>
      </c>
      <c r="AF1013" s="396">
        <f t="shared" si="317"/>
        <v>2809.1335303222177</v>
      </c>
      <c r="AG1013" s="368">
        <v>0</v>
      </c>
      <c r="AH1013" s="396">
        <v>0</v>
      </c>
      <c r="AI1013" s="368">
        <v>0</v>
      </c>
      <c r="AJ1013" s="396">
        <v>0</v>
      </c>
      <c r="AK1013" s="368">
        <v>0</v>
      </c>
      <c r="AL1013" s="368">
        <v>0</v>
      </c>
      <c r="AM1013" s="368">
        <v>0</v>
      </c>
      <c r="AN1013" s="368"/>
      <c r="AO1013" s="368">
        <v>0</v>
      </c>
    </row>
    <row r="1014" spans="1:41" s="152" customFormat="1" ht="36" customHeight="1" x14ac:dyDescent="0.9">
      <c r="A1014" s="152">
        <v>1</v>
      </c>
      <c r="B1014" s="90">
        <f>SUBTOTAL(103,$A$988:A1014)</f>
        <v>27</v>
      </c>
      <c r="C1014" s="89" t="s">
        <v>1656</v>
      </c>
      <c r="D1014" s="163">
        <v>1961</v>
      </c>
      <c r="E1014" s="163"/>
      <c r="F1014" s="168" t="s">
        <v>270</v>
      </c>
      <c r="G1014" s="163">
        <v>5</v>
      </c>
      <c r="H1014" s="163">
        <v>4</v>
      </c>
      <c r="I1014" s="164">
        <v>3214.5</v>
      </c>
      <c r="J1014" s="164">
        <v>2566.5</v>
      </c>
      <c r="K1014" s="164">
        <v>2416.1999999999998</v>
      </c>
      <c r="L1014" s="165">
        <v>167</v>
      </c>
      <c r="M1014" s="163" t="s">
        <v>268</v>
      </c>
      <c r="N1014" s="163" t="s">
        <v>272</v>
      </c>
      <c r="O1014" s="166" t="s">
        <v>1104</v>
      </c>
      <c r="P1014" s="167">
        <v>5613232.8199999994</v>
      </c>
      <c r="Q1014" s="167">
        <v>0</v>
      </c>
      <c r="R1014" s="167">
        <v>0</v>
      </c>
      <c r="S1014" s="167">
        <f t="shared" si="314"/>
        <v>5613232.8199999994</v>
      </c>
      <c r="T1014" s="167">
        <f t="shared" si="305"/>
        <v>1746.222684709908</v>
      </c>
      <c r="U1014" s="167">
        <v>2086.4296935759839</v>
      </c>
      <c r="V1014" s="149">
        <f t="shared" si="313"/>
        <v>340.20700886607597</v>
      </c>
      <c r="W1014" s="149">
        <f t="shared" si="315"/>
        <v>2086.4296935759839</v>
      </c>
      <c r="X1014" s="149">
        <v>0</v>
      </c>
      <c r="Y1014" s="368">
        <v>0</v>
      </c>
      <c r="Z1014" s="368">
        <v>0</v>
      </c>
      <c r="AA1014" s="368">
        <v>0</v>
      </c>
      <c r="AB1014" s="368">
        <v>0</v>
      </c>
      <c r="AC1014" s="368">
        <v>0</v>
      </c>
      <c r="AD1014" s="368">
        <v>0</v>
      </c>
      <c r="AE1014" s="368">
        <v>1075</v>
      </c>
      <c r="AF1014" s="396">
        <f t="shared" si="317"/>
        <v>2086.4296935759839</v>
      </c>
      <c r="AG1014" s="368">
        <v>0</v>
      </c>
      <c r="AH1014" s="396">
        <v>0</v>
      </c>
      <c r="AI1014" s="368">
        <v>0</v>
      </c>
      <c r="AJ1014" s="396">
        <v>0</v>
      </c>
      <c r="AK1014" s="368">
        <v>0</v>
      </c>
      <c r="AL1014" s="368">
        <v>0</v>
      </c>
      <c r="AM1014" s="368">
        <v>0</v>
      </c>
      <c r="AN1014" s="368"/>
      <c r="AO1014" s="368">
        <v>0</v>
      </c>
    </row>
    <row r="1015" spans="1:41" s="152" customFormat="1" ht="36" customHeight="1" x14ac:dyDescent="0.9">
      <c r="A1015" s="152">
        <v>1</v>
      </c>
      <c r="B1015" s="90">
        <f>SUBTOTAL(103,$A$988:A1015)</f>
        <v>28</v>
      </c>
      <c r="C1015" s="89" t="s">
        <v>597</v>
      </c>
      <c r="D1015" s="163" t="s">
        <v>365</v>
      </c>
      <c r="E1015" s="163"/>
      <c r="F1015" s="168" t="s">
        <v>315</v>
      </c>
      <c r="G1015" s="163" t="s">
        <v>356</v>
      </c>
      <c r="H1015" s="163">
        <v>4</v>
      </c>
      <c r="I1015" s="164">
        <v>4425.6000000000004</v>
      </c>
      <c r="J1015" s="164">
        <v>3128.2</v>
      </c>
      <c r="K1015" s="164">
        <v>1799.3</v>
      </c>
      <c r="L1015" s="165">
        <v>137</v>
      </c>
      <c r="M1015" s="163" t="s">
        <v>268</v>
      </c>
      <c r="N1015" s="163" t="s">
        <v>272</v>
      </c>
      <c r="O1015" s="166" t="s">
        <v>1104</v>
      </c>
      <c r="P1015" s="167">
        <v>3834609.35</v>
      </c>
      <c r="Q1015" s="167">
        <v>0</v>
      </c>
      <c r="R1015" s="167">
        <v>0</v>
      </c>
      <c r="S1015" s="167">
        <f t="shared" si="314"/>
        <v>3834609.35</v>
      </c>
      <c r="T1015" s="167">
        <f t="shared" si="305"/>
        <v>866.46089795733906</v>
      </c>
      <c r="U1015" s="167">
        <v>1172.8970354302242</v>
      </c>
      <c r="V1015" s="149">
        <f t="shared" si="313"/>
        <v>306.43613747288509</v>
      </c>
      <c r="W1015" s="149">
        <f t="shared" si="315"/>
        <v>1172.8970354302242</v>
      </c>
      <c r="X1015" s="149">
        <v>0</v>
      </c>
      <c r="Y1015" s="368">
        <v>0</v>
      </c>
      <c r="Z1015" s="368">
        <v>0</v>
      </c>
      <c r="AA1015" s="368">
        <v>0</v>
      </c>
      <c r="AB1015" s="368">
        <v>0</v>
      </c>
      <c r="AC1015" s="368">
        <v>0</v>
      </c>
      <c r="AD1015" s="368">
        <v>0</v>
      </c>
      <c r="AE1015" s="368">
        <v>832</v>
      </c>
      <c r="AF1015" s="396">
        <f t="shared" si="317"/>
        <v>1172.8970354302242</v>
      </c>
      <c r="AG1015" s="368">
        <v>0</v>
      </c>
      <c r="AH1015" s="396">
        <v>0</v>
      </c>
      <c r="AI1015" s="368">
        <v>0</v>
      </c>
      <c r="AJ1015" s="396">
        <v>0</v>
      </c>
      <c r="AK1015" s="368">
        <v>0</v>
      </c>
      <c r="AL1015" s="368">
        <v>0</v>
      </c>
      <c r="AM1015" s="368">
        <v>0</v>
      </c>
      <c r="AN1015" s="368"/>
      <c r="AO1015" s="368">
        <v>0</v>
      </c>
    </row>
    <row r="1016" spans="1:41" s="152" customFormat="1" ht="36" customHeight="1" x14ac:dyDescent="0.9">
      <c r="A1016" s="152">
        <v>1</v>
      </c>
      <c r="B1016" s="90">
        <f>SUBTOTAL(103,$A$988:A1016)</f>
        <v>29</v>
      </c>
      <c r="C1016" s="89" t="s">
        <v>598</v>
      </c>
      <c r="D1016" s="163" t="s">
        <v>375</v>
      </c>
      <c r="E1016" s="163"/>
      <c r="F1016" s="168" t="s">
        <v>315</v>
      </c>
      <c r="G1016" s="163" t="s">
        <v>356</v>
      </c>
      <c r="H1016" s="163">
        <v>3</v>
      </c>
      <c r="I1016" s="164">
        <v>2899.7</v>
      </c>
      <c r="J1016" s="164">
        <v>2636.4</v>
      </c>
      <c r="K1016" s="164">
        <v>2071.8000000000002</v>
      </c>
      <c r="L1016" s="165">
        <v>83</v>
      </c>
      <c r="M1016" s="163" t="s">
        <v>268</v>
      </c>
      <c r="N1016" s="163" t="s">
        <v>272</v>
      </c>
      <c r="O1016" s="166" t="s">
        <v>1088</v>
      </c>
      <c r="P1016" s="167">
        <v>2834067.58</v>
      </c>
      <c r="Q1016" s="167">
        <v>0</v>
      </c>
      <c r="R1016" s="167">
        <v>0</v>
      </c>
      <c r="S1016" s="167">
        <f t="shared" si="314"/>
        <v>2834067.58</v>
      </c>
      <c r="T1016" s="167">
        <f t="shared" si="305"/>
        <v>977.36578956443782</v>
      </c>
      <c r="U1016" s="167">
        <v>1337.2012846156499</v>
      </c>
      <c r="V1016" s="149">
        <f t="shared" si="313"/>
        <v>359.83549505121209</v>
      </c>
      <c r="W1016" s="149">
        <f t="shared" si="315"/>
        <v>1337.2012846156499</v>
      </c>
      <c r="X1016" s="149">
        <v>0</v>
      </c>
      <c r="Y1016" s="368">
        <v>0</v>
      </c>
      <c r="Z1016" s="368">
        <v>0</v>
      </c>
      <c r="AA1016" s="368">
        <v>0</v>
      </c>
      <c r="AB1016" s="368">
        <v>0</v>
      </c>
      <c r="AC1016" s="368">
        <v>0</v>
      </c>
      <c r="AD1016" s="368">
        <v>0</v>
      </c>
      <c r="AE1016" s="368">
        <v>621.5</v>
      </c>
      <c r="AF1016" s="396">
        <f t="shared" si="317"/>
        <v>1337.2012846156499</v>
      </c>
      <c r="AG1016" s="368">
        <v>0</v>
      </c>
      <c r="AH1016" s="396">
        <v>0</v>
      </c>
      <c r="AI1016" s="368">
        <v>0</v>
      </c>
      <c r="AJ1016" s="396">
        <v>0</v>
      </c>
      <c r="AK1016" s="368">
        <v>0</v>
      </c>
      <c r="AL1016" s="368">
        <v>0</v>
      </c>
      <c r="AM1016" s="368">
        <v>0</v>
      </c>
      <c r="AN1016" s="368"/>
      <c r="AO1016" s="368">
        <v>0</v>
      </c>
    </row>
    <row r="1017" spans="1:41" s="152" customFormat="1" ht="36" customHeight="1" x14ac:dyDescent="0.9">
      <c r="A1017" s="152">
        <v>1</v>
      </c>
      <c r="B1017" s="90">
        <f>SUBTOTAL(103,$A$988:A1017)</f>
        <v>30</v>
      </c>
      <c r="C1017" s="89" t="s">
        <v>599</v>
      </c>
      <c r="D1017" s="163">
        <v>1959</v>
      </c>
      <c r="E1017" s="163"/>
      <c r="F1017" s="168" t="s">
        <v>270</v>
      </c>
      <c r="G1017" s="163">
        <v>5</v>
      </c>
      <c r="H1017" s="163">
        <v>3</v>
      </c>
      <c r="I1017" s="164">
        <v>5255.6</v>
      </c>
      <c r="J1017" s="164">
        <v>3803.1</v>
      </c>
      <c r="K1017" s="164">
        <v>2288.9</v>
      </c>
      <c r="L1017" s="165">
        <v>136</v>
      </c>
      <c r="M1017" s="163" t="s">
        <v>268</v>
      </c>
      <c r="N1017" s="163" t="s">
        <v>272</v>
      </c>
      <c r="O1017" s="166" t="s">
        <v>1104</v>
      </c>
      <c r="P1017" s="167">
        <v>6697616.7399999993</v>
      </c>
      <c r="Q1017" s="167">
        <v>0</v>
      </c>
      <c r="R1017" s="167">
        <v>0</v>
      </c>
      <c r="S1017" s="167">
        <f t="shared" si="314"/>
        <v>6697616.7399999993</v>
      </c>
      <c r="T1017" s="167">
        <f t="shared" si="305"/>
        <v>1274.3771862394397</v>
      </c>
      <c r="U1017" s="167">
        <v>1717.7301868483139</v>
      </c>
      <c r="V1017" s="149">
        <f t="shared" si="313"/>
        <v>443.35300060887425</v>
      </c>
      <c r="W1017" s="149">
        <f t="shared" si="315"/>
        <v>1717.7301868483139</v>
      </c>
      <c r="X1017" s="149">
        <v>0</v>
      </c>
      <c r="Y1017" s="368">
        <v>0</v>
      </c>
      <c r="Z1017" s="368">
        <v>0</v>
      </c>
      <c r="AA1017" s="368">
        <v>0</v>
      </c>
      <c r="AB1017" s="368">
        <v>0</v>
      </c>
      <c r="AC1017" s="368">
        <v>0</v>
      </c>
      <c r="AD1017" s="368">
        <v>0</v>
      </c>
      <c r="AE1017" s="368">
        <v>1447</v>
      </c>
      <c r="AF1017" s="396">
        <f t="shared" si="317"/>
        <v>1717.7301868483139</v>
      </c>
      <c r="AG1017" s="368">
        <v>0</v>
      </c>
      <c r="AH1017" s="396">
        <v>0</v>
      </c>
      <c r="AI1017" s="368">
        <v>0</v>
      </c>
      <c r="AJ1017" s="396">
        <v>0</v>
      </c>
      <c r="AK1017" s="368">
        <v>0</v>
      </c>
      <c r="AL1017" s="368">
        <v>0</v>
      </c>
      <c r="AM1017" s="368">
        <v>0</v>
      </c>
      <c r="AN1017" s="368"/>
      <c r="AO1017" s="368">
        <v>0</v>
      </c>
    </row>
    <row r="1018" spans="1:41" s="152" customFormat="1" ht="36" customHeight="1" x14ac:dyDescent="0.9">
      <c r="A1018" s="152">
        <v>1</v>
      </c>
      <c r="B1018" s="90">
        <f>SUBTOTAL(103,$A$988:A1018)</f>
        <v>31</v>
      </c>
      <c r="C1018" s="89" t="s">
        <v>600</v>
      </c>
      <c r="D1018" s="163" t="s">
        <v>366</v>
      </c>
      <c r="E1018" s="163"/>
      <c r="F1018" s="168" t="s">
        <v>270</v>
      </c>
      <c r="G1018" s="163" t="s">
        <v>356</v>
      </c>
      <c r="H1018" s="163">
        <v>3</v>
      </c>
      <c r="I1018" s="164">
        <v>2923.9</v>
      </c>
      <c r="J1018" s="164">
        <v>2704.4</v>
      </c>
      <c r="K1018" s="164">
        <v>1930.7</v>
      </c>
      <c r="L1018" s="165">
        <v>105</v>
      </c>
      <c r="M1018" s="163" t="s">
        <v>268</v>
      </c>
      <c r="N1018" s="163" t="s">
        <v>272</v>
      </c>
      <c r="O1018" s="166" t="s">
        <v>1673</v>
      </c>
      <c r="P1018" s="167">
        <v>5163885</v>
      </c>
      <c r="Q1018" s="167">
        <v>0</v>
      </c>
      <c r="R1018" s="167">
        <v>0</v>
      </c>
      <c r="S1018" s="167">
        <f t="shared" si="314"/>
        <v>5163885</v>
      </c>
      <c r="T1018" s="167">
        <f t="shared" si="305"/>
        <v>1766.0949416874721</v>
      </c>
      <c r="U1018" s="167">
        <v>3907.9508875132533</v>
      </c>
      <c r="V1018" s="149">
        <f t="shared" si="313"/>
        <v>2141.8559458257814</v>
      </c>
      <c r="W1018" s="149">
        <f t="shared" si="315"/>
        <v>3907.9508875132533</v>
      </c>
      <c r="X1018" s="149">
        <v>0</v>
      </c>
      <c r="Y1018" s="368">
        <v>0</v>
      </c>
      <c r="Z1018" s="368">
        <v>0</v>
      </c>
      <c r="AA1018" s="368">
        <v>0</v>
      </c>
      <c r="AB1018" s="368">
        <v>0</v>
      </c>
      <c r="AC1018" s="368">
        <v>0</v>
      </c>
      <c r="AD1018" s="368">
        <v>0</v>
      </c>
      <c r="AE1018" s="368">
        <v>0</v>
      </c>
      <c r="AF1018" s="396">
        <v>0</v>
      </c>
      <c r="AG1018" s="368">
        <v>0</v>
      </c>
      <c r="AH1018" s="396">
        <v>0</v>
      </c>
      <c r="AI1018" s="368">
        <v>1536</v>
      </c>
      <c r="AJ1018" s="397">
        <f>7439.1*AI1018/I1018</f>
        <v>3907.9508875132533</v>
      </c>
      <c r="AK1018" s="368">
        <v>0</v>
      </c>
      <c r="AL1018" s="368">
        <v>0</v>
      </c>
      <c r="AM1018" s="368">
        <v>0</v>
      </c>
      <c r="AN1018" s="368"/>
      <c r="AO1018" s="368">
        <v>0</v>
      </c>
    </row>
    <row r="1019" spans="1:41" s="152" customFormat="1" ht="36" customHeight="1" x14ac:dyDescent="0.9">
      <c r="A1019" s="152">
        <v>1</v>
      </c>
      <c r="B1019" s="90">
        <f>SUBTOTAL(103,$A$988:A1019)</f>
        <v>32</v>
      </c>
      <c r="C1019" s="89" t="s">
        <v>1723</v>
      </c>
      <c r="D1019" s="163" t="s">
        <v>317</v>
      </c>
      <c r="E1019" s="163"/>
      <c r="F1019" s="168" t="s">
        <v>315</v>
      </c>
      <c r="G1019" s="163" t="s">
        <v>356</v>
      </c>
      <c r="H1019" s="163">
        <v>5</v>
      </c>
      <c r="I1019" s="164">
        <v>4700.6000000000004</v>
      </c>
      <c r="J1019" s="164">
        <v>3460</v>
      </c>
      <c r="K1019" s="164">
        <v>3460</v>
      </c>
      <c r="L1019" s="165">
        <v>133</v>
      </c>
      <c r="M1019" s="163" t="s">
        <v>268</v>
      </c>
      <c r="N1019" s="163" t="s">
        <v>272</v>
      </c>
      <c r="O1019" s="166" t="s">
        <v>1674</v>
      </c>
      <c r="P1019" s="167">
        <v>4343671.0699999994</v>
      </c>
      <c r="Q1019" s="167">
        <v>0</v>
      </c>
      <c r="R1019" s="167">
        <v>0</v>
      </c>
      <c r="S1019" s="167">
        <f t="shared" si="314"/>
        <v>4343671.0699999994</v>
      </c>
      <c r="T1019" s="167">
        <f t="shared" si="305"/>
        <v>924.06736799557484</v>
      </c>
      <c r="U1019" s="167">
        <v>1246.4281966131982</v>
      </c>
      <c r="V1019" s="149">
        <f t="shared" si="313"/>
        <v>322.36082861762338</v>
      </c>
      <c r="W1019" s="149">
        <f t="shared" si="315"/>
        <v>1246.4281966131982</v>
      </c>
      <c r="X1019" s="149">
        <v>0</v>
      </c>
      <c r="Y1019" s="368">
        <v>0</v>
      </c>
      <c r="Z1019" s="368">
        <v>0</v>
      </c>
      <c r="AA1019" s="368">
        <v>0</v>
      </c>
      <c r="AB1019" s="368">
        <v>0</v>
      </c>
      <c r="AC1019" s="368">
        <v>0</v>
      </c>
      <c r="AD1019" s="368">
        <v>0</v>
      </c>
      <c r="AE1019" s="368">
        <v>939.1</v>
      </c>
      <c r="AF1019" s="396">
        <f t="shared" ref="AF1019:AF1020" si="318">6238.91*AE1019/I1019</f>
        <v>1246.4281966131982</v>
      </c>
      <c r="AG1019" s="368">
        <v>0</v>
      </c>
      <c r="AH1019" s="396">
        <v>0</v>
      </c>
      <c r="AI1019" s="368">
        <v>0</v>
      </c>
      <c r="AJ1019" s="396">
        <v>0</v>
      </c>
      <c r="AK1019" s="368">
        <v>0</v>
      </c>
      <c r="AL1019" s="368">
        <v>0</v>
      </c>
      <c r="AM1019" s="368">
        <v>0</v>
      </c>
      <c r="AN1019" s="368"/>
      <c r="AO1019" s="368">
        <v>0</v>
      </c>
    </row>
    <row r="1020" spans="1:41" s="152" customFormat="1" ht="36" customHeight="1" x14ac:dyDescent="0.9">
      <c r="A1020" s="152">
        <v>1</v>
      </c>
      <c r="B1020" s="90">
        <f>SUBTOTAL(103,$A$988:A1020)</f>
        <v>33</v>
      </c>
      <c r="C1020" s="89" t="s">
        <v>1724</v>
      </c>
      <c r="D1020" s="163" t="s">
        <v>314</v>
      </c>
      <c r="E1020" s="163"/>
      <c r="F1020" s="168" t="s">
        <v>270</v>
      </c>
      <c r="G1020" s="163" t="s">
        <v>356</v>
      </c>
      <c r="H1020" s="163">
        <v>4</v>
      </c>
      <c r="I1020" s="164">
        <v>2288.5</v>
      </c>
      <c r="J1020" s="164">
        <v>2288.5</v>
      </c>
      <c r="K1020" s="164">
        <v>2288.5</v>
      </c>
      <c r="L1020" s="165">
        <v>98</v>
      </c>
      <c r="M1020" s="163" t="s">
        <v>268</v>
      </c>
      <c r="N1020" s="163" t="s">
        <v>272</v>
      </c>
      <c r="O1020" s="166" t="s">
        <v>1661</v>
      </c>
      <c r="P1020" s="167">
        <v>2694844.11</v>
      </c>
      <c r="Q1020" s="167">
        <v>0</v>
      </c>
      <c r="R1020" s="167">
        <v>0</v>
      </c>
      <c r="S1020" s="167">
        <f t="shared" si="314"/>
        <v>2694844.11</v>
      </c>
      <c r="T1020" s="167">
        <f t="shared" si="305"/>
        <v>1177.5591479134805</v>
      </c>
      <c r="U1020" s="167">
        <v>1603.0059340179157</v>
      </c>
      <c r="V1020" s="149">
        <f t="shared" si="313"/>
        <v>425.4467861044352</v>
      </c>
      <c r="W1020" s="149">
        <f t="shared" si="315"/>
        <v>1603.0059340179157</v>
      </c>
      <c r="X1020" s="149">
        <v>0</v>
      </c>
      <c r="Y1020" s="368">
        <v>0</v>
      </c>
      <c r="Z1020" s="368">
        <v>0</v>
      </c>
      <c r="AA1020" s="368">
        <v>0</v>
      </c>
      <c r="AB1020" s="368">
        <v>0</v>
      </c>
      <c r="AC1020" s="368">
        <v>0</v>
      </c>
      <c r="AD1020" s="368">
        <v>0</v>
      </c>
      <c r="AE1020" s="368">
        <v>588</v>
      </c>
      <c r="AF1020" s="396">
        <f t="shared" si="318"/>
        <v>1603.0059340179157</v>
      </c>
      <c r="AG1020" s="368">
        <v>0</v>
      </c>
      <c r="AH1020" s="396">
        <v>0</v>
      </c>
      <c r="AI1020" s="368">
        <v>0</v>
      </c>
      <c r="AJ1020" s="396">
        <v>0</v>
      </c>
      <c r="AK1020" s="368">
        <v>0</v>
      </c>
      <c r="AL1020" s="368">
        <v>0</v>
      </c>
      <c r="AM1020" s="368">
        <v>0</v>
      </c>
      <c r="AN1020" s="368"/>
      <c r="AO1020" s="368">
        <v>0</v>
      </c>
    </row>
    <row r="1021" spans="1:41" s="152" customFormat="1" ht="36" customHeight="1" x14ac:dyDescent="0.9">
      <c r="A1021" s="152">
        <v>1</v>
      </c>
      <c r="B1021" s="90">
        <f>SUBTOTAL(103,$A$988:A1021)</f>
        <v>34</v>
      </c>
      <c r="C1021" s="89" t="s">
        <v>601</v>
      </c>
      <c r="D1021" s="163">
        <v>1961</v>
      </c>
      <c r="E1021" s="163"/>
      <c r="F1021" s="168" t="s">
        <v>270</v>
      </c>
      <c r="G1021" s="163">
        <v>5</v>
      </c>
      <c r="H1021" s="163">
        <v>2</v>
      </c>
      <c r="I1021" s="164">
        <v>1703.9</v>
      </c>
      <c r="J1021" s="164">
        <v>1558.5</v>
      </c>
      <c r="K1021" s="164">
        <v>1516.4</v>
      </c>
      <c r="L1021" s="165">
        <v>58</v>
      </c>
      <c r="M1021" s="163" t="s">
        <v>268</v>
      </c>
      <c r="N1021" s="163" t="s">
        <v>272</v>
      </c>
      <c r="O1021" s="166" t="s">
        <v>1412</v>
      </c>
      <c r="P1021" s="167">
        <v>4820291</v>
      </c>
      <c r="Q1021" s="167">
        <v>0</v>
      </c>
      <c r="R1021" s="167">
        <v>0</v>
      </c>
      <c r="S1021" s="167">
        <f t="shared" si="314"/>
        <v>4820291</v>
      </c>
      <c r="T1021" s="167">
        <f t="shared" si="305"/>
        <v>2828.9752919772286</v>
      </c>
      <c r="U1021" s="167">
        <v>6221.4434532542982</v>
      </c>
      <c r="V1021" s="149">
        <f t="shared" si="313"/>
        <v>3392.4681612770696</v>
      </c>
      <c r="W1021" s="149">
        <f t="shared" si="315"/>
        <v>6221.4434532542982</v>
      </c>
      <c r="X1021" s="149">
        <v>0</v>
      </c>
      <c r="Y1021" s="368">
        <v>0</v>
      </c>
      <c r="Z1021" s="368">
        <v>0</v>
      </c>
      <c r="AA1021" s="368">
        <v>0</v>
      </c>
      <c r="AB1021" s="368">
        <v>0</v>
      </c>
      <c r="AC1021" s="368">
        <v>0</v>
      </c>
      <c r="AD1021" s="368">
        <v>0</v>
      </c>
      <c r="AE1021" s="368">
        <v>0</v>
      </c>
      <c r="AF1021" s="396">
        <v>0</v>
      </c>
      <c r="AG1021" s="368">
        <v>0</v>
      </c>
      <c r="AH1021" s="396">
        <v>0</v>
      </c>
      <c r="AI1021" s="368">
        <v>1425</v>
      </c>
      <c r="AJ1021" s="397">
        <f>7439.1*AI1021/I1021</f>
        <v>6221.4434532542982</v>
      </c>
      <c r="AK1021" s="368">
        <v>0</v>
      </c>
      <c r="AL1021" s="368">
        <v>0</v>
      </c>
      <c r="AM1021" s="368">
        <v>0</v>
      </c>
      <c r="AN1021" s="368"/>
      <c r="AO1021" s="368">
        <v>0</v>
      </c>
    </row>
    <row r="1022" spans="1:41" s="152" customFormat="1" ht="36" customHeight="1" x14ac:dyDescent="0.9">
      <c r="A1022" s="152">
        <v>1</v>
      </c>
      <c r="B1022" s="90">
        <f>SUBTOTAL(103,$A$988:A1022)</f>
        <v>35</v>
      </c>
      <c r="C1022" s="89" t="s">
        <v>602</v>
      </c>
      <c r="D1022" s="163" t="s">
        <v>382</v>
      </c>
      <c r="E1022" s="163"/>
      <c r="F1022" s="168" t="s">
        <v>315</v>
      </c>
      <c r="G1022" s="163" t="s">
        <v>356</v>
      </c>
      <c r="H1022" s="163">
        <v>3</v>
      </c>
      <c r="I1022" s="164">
        <v>2065.4</v>
      </c>
      <c r="J1022" s="164">
        <v>1169.5</v>
      </c>
      <c r="K1022" s="164">
        <v>1169.5</v>
      </c>
      <c r="L1022" s="165">
        <v>91</v>
      </c>
      <c r="M1022" s="163" t="s">
        <v>268</v>
      </c>
      <c r="N1022" s="163" t="s">
        <v>272</v>
      </c>
      <c r="O1022" s="166" t="s">
        <v>1668</v>
      </c>
      <c r="P1022" s="167">
        <v>2571262.73</v>
      </c>
      <c r="Q1022" s="167">
        <v>0</v>
      </c>
      <c r="R1022" s="167">
        <v>0</v>
      </c>
      <c r="S1022" s="167">
        <f t="shared" si="314"/>
        <v>2571262.73</v>
      </c>
      <c r="T1022" s="167">
        <f t="shared" si="305"/>
        <v>1244.9224024402051</v>
      </c>
      <c r="U1022" s="167">
        <v>1697.6214873632225</v>
      </c>
      <c r="V1022" s="149">
        <f t="shared" si="313"/>
        <v>452.69908492301738</v>
      </c>
      <c r="W1022" s="149">
        <f t="shared" si="315"/>
        <v>1697.6214873632225</v>
      </c>
      <c r="X1022" s="149">
        <v>0</v>
      </c>
      <c r="Y1022" s="368">
        <v>0</v>
      </c>
      <c r="Z1022" s="368">
        <v>0</v>
      </c>
      <c r="AA1022" s="368">
        <v>0</v>
      </c>
      <c r="AB1022" s="368">
        <v>0</v>
      </c>
      <c r="AC1022" s="368">
        <v>0</v>
      </c>
      <c r="AD1022" s="368">
        <v>0</v>
      </c>
      <c r="AE1022" s="368">
        <v>562</v>
      </c>
      <c r="AF1022" s="396">
        <f>6238.91*AE1022/I1022</f>
        <v>1697.6214873632225</v>
      </c>
      <c r="AG1022" s="368">
        <v>0</v>
      </c>
      <c r="AH1022" s="396">
        <v>0</v>
      </c>
      <c r="AI1022" s="368">
        <v>0</v>
      </c>
      <c r="AJ1022" s="396">
        <v>0</v>
      </c>
      <c r="AK1022" s="368">
        <v>0</v>
      </c>
      <c r="AL1022" s="368">
        <v>0</v>
      </c>
      <c r="AM1022" s="368">
        <v>0</v>
      </c>
      <c r="AN1022" s="368"/>
      <c r="AO1022" s="368">
        <v>0</v>
      </c>
    </row>
    <row r="1023" spans="1:41" s="152" customFormat="1" ht="36" customHeight="1" x14ac:dyDescent="0.9">
      <c r="A1023" s="152">
        <v>1</v>
      </c>
      <c r="B1023" s="90">
        <f>SUBTOTAL(103,$A$988:A1023)</f>
        <v>36</v>
      </c>
      <c r="C1023" s="89" t="s">
        <v>603</v>
      </c>
      <c r="D1023" s="163">
        <v>1972</v>
      </c>
      <c r="E1023" s="163"/>
      <c r="F1023" s="168" t="s">
        <v>270</v>
      </c>
      <c r="G1023" s="163">
        <v>9</v>
      </c>
      <c r="H1023" s="163">
        <v>1</v>
      </c>
      <c r="I1023" s="164">
        <v>1896.4</v>
      </c>
      <c r="J1023" s="164">
        <v>1896.4</v>
      </c>
      <c r="K1023" s="164">
        <v>1859.1</v>
      </c>
      <c r="L1023" s="165">
        <v>135</v>
      </c>
      <c r="M1023" s="163" t="s">
        <v>268</v>
      </c>
      <c r="N1023" s="163" t="s">
        <v>272</v>
      </c>
      <c r="O1023" s="166" t="s">
        <v>1400</v>
      </c>
      <c r="P1023" s="167">
        <v>1989100.53</v>
      </c>
      <c r="Q1023" s="167">
        <v>0</v>
      </c>
      <c r="R1023" s="167">
        <v>0</v>
      </c>
      <c r="S1023" s="167">
        <f t="shared" si="314"/>
        <v>1989100.53</v>
      </c>
      <c r="T1023" s="167">
        <f t="shared" si="305"/>
        <v>1048.8823718624762</v>
      </c>
      <c r="U1023" s="167">
        <v>1569.0993461295084</v>
      </c>
      <c r="V1023" s="149">
        <f t="shared" si="313"/>
        <v>520.21697426703213</v>
      </c>
      <c r="W1023" s="149">
        <f t="shared" si="315"/>
        <v>1569.0993461295084</v>
      </c>
      <c r="X1023" s="149">
        <v>0</v>
      </c>
      <c r="Y1023" s="368">
        <v>0</v>
      </c>
      <c r="Z1023" s="368">
        <v>0</v>
      </c>
      <c r="AA1023" s="368">
        <v>0</v>
      </c>
      <c r="AB1023" s="368">
        <v>0</v>
      </c>
      <c r="AC1023" s="368">
        <v>0</v>
      </c>
      <c r="AD1023" s="368">
        <v>0</v>
      </c>
      <c r="AE1023" s="368">
        <v>0</v>
      </c>
      <c r="AF1023" s="396">
        <v>0</v>
      </c>
      <c r="AG1023" s="368">
        <v>0</v>
      </c>
      <c r="AH1023" s="396">
        <v>0</v>
      </c>
      <c r="AI1023" s="368">
        <v>400</v>
      </c>
      <c r="AJ1023" s="397">
        <f>7439.1*AI1023/I1023</f>
        <v>1569.0993461295084</v>
      </c>
      <c r="AK1023" s="368">
        <v>0</v>
      </c>
      <c r="AL1023" s="368">
        <v>0</v>
      </c>
      <c r="AM1023" s="368">
        <v>0</v>
      </c>
      <c r="AN1023" s="368"/>
      <c r="AO1023" s="368">
        <v>0</v>
      </c>
    </row>
    <row r="1024" spans="1:41" s="152" customFormat="1" ht="36" customHeight="1" x14ac:dyDescent="0.9">
      <c r="A1024" s="152">
        <v>1</v>
      </c>
      <c r="B1024" s="90">
        <f>SUBTOTAL(103,$A$988:A1024)</f>
        <v>37</v>
      </c>
      <c r="C1024" s="89" t="s">
        <v>604</v>
      </c>
      <c r="D1024" s="163" t="s">
        <v>320</v>
      </c>
      <c r="E1024" s="163"/>
      <c r="F1024" s="168" t="s">
        <v>315</v>
      </c>
      <c r="G1024" s="163" t="s">
        <v>356</v>
      </c>
      <c r="H1024" s="163">
        <v>4</v>
      </c>
      <c r="I1024" s="164">
        <v>3873.3</v>
      </c>
      <c r="J1024" s="164">
        <v>3605.48</v>
      </c>
      <c r="K1024" s="164">
        <v>3540.2</v>
      </c>
      <c r="L1024" s="165">
        <v>165</v>
      </c>
      <c r="M1024" s="163" t="s">
        <v>268</v>
      </c>
      <c r="N1024" s="163" t="s">
        <v>272</v>
      </c>
      <c r="O1024" s="166" t="s">
        <v>1088</v>
      </c>
      <c r="P1024" s="167">
        <v>4272967.33</v>
      </c>
      <c r="Q1024" s="167">
        <v>0</v>
      </c>
      <c r="R1024" s="167">
        <v>0</v>
      </c>
      <c r="S1024" s="167">
        <f t="shared" si="314"/>
        <v>4272967.33</v>
      </c>
      <c r="T1024" s="167">
        <f t="shared" si="305"/>
        <v>1103.1852244855806</v>
      </c>
      <c r="U1024" s="167">
        <v>1546.3180233909068</v>
      </c>
      <c r="V1024" s="149">
        <f t="shared" si="313"/>
        <v>443.13279890532613</v>
      </c>
      <c r="W1024" s="149">
        <f t="shared" si="315"/>
        <v>1546.3180233909068</v>
      </c>
      <c r="X1024" s="149">
        <v>0</v>
      </c>
      <c r="Y1024" s="368">
        <v>0</v>
      </c>
      <c r="Z1024" s="368">
        <v>0</v>
      </c>
      <c r="AA1024" s="368">
        <v>0</v>
      </c>
      <c r="AB1024" s="368">
        <v>0</v>
      </c>
      <c r="AC1024" s="368">
        <v>0</v>
      </c>
      <c r="AD1024" s="368">
        <v>0</v>
      </c>
      <c r="AE1024" s="368">
        <v>960</v>
      </c>
      <c r="AF1024" s="396">
        <f t="shared" ref="AF1024:AF1039" si="319">6238.91*AE1024/I1024</f>
        <v>1546.3180233909068</v>
      </c>
      <c r="AG1024" s="368">
        <v>0</v>
      </c>
      <c r="AH1024" s="396">
        <v>0</v>
      </c>
      <c r="AI1024" s="368">
        <v>0</v>
      </c>
      <c r="AJ1024" s="396">
        <v>0</v>
      </c>
      <c r="AK1024" s="368">
        <v>0</v>
      </c>
      <c r="AL1024" s="368">
        <v>0</v>
      </c>
      <c r="AM1024" s="368">
        <v>0</v>
      </c>
      <c r="AN1024" s="368"/>
      <c r="AO1024" s="368">
        <v>0</v>
      </c>
    </row>
    <row r="1025" spans="1:41" s="152" customFormat="1" ht="36" customHeight="1" x14ac:dyDescent="0.9">
      <c r="A1025" s="152">
        <v>1</v>
      </c>
      <c r="B1025" s="90">
        <f>SUBTOTAL(103,$A$988:A1025)</f>
        <v>38</v>
      </c>
      <c r="C1025" s="89" t="s">
        <v>605</v>
      </c>
      <c r="D1025" s="163" t="s">
        <v>383</v>
      </c>
      <c r="E1025" s="163"/>
      <c r="F1025" s="168" t="s">
        <v>315</v>
      </c>
      <c r="G1025" s="163" t="s">
        <v>356</v>
      </c>
      <c r="H1025" s="163">
        <v>4</v>
      </c>
      <c r="I1025" s="164">
        <v>3881.3</v>
      </c>
      <c r="J1025" s="164">
        <v>3615.9</v>
      </c>
      <c r="K1025" s="164">
        <v>3551.2</v>
      </c>
      <c r="L1025" s="165">
        <v>182</v>
      </c>
      <c r="M1025" s="163" t="s">
        <v>268</v>
      </c>
      <c r="N1025" s="163" t="s">
        <v>272</v>
      </c>
      <c r="O1025" s="166" t="s">
        <v>1088</v>
      </c>
      <c r="P1025" s="167">
        <v>4272967.33</v>
      </c>
      <c r="Q1025" s="167">
        <v>0</v>
      </c>
      <c r="R1025" s="167">
        <v>0</v>
      </c>
      <c r="S1025" s="167">
        <f t="shared" si="314"/>
        <v>4272967.33</v>
      </c>
      <c r="T1025" s="167">
        <f t="shared" si="305"/>
        <v>1100.9113776312061</v>
      </c>
      <c r="U1025" s="167">
        <v>1543.1308066884806</v>
      </c>
      <c r="V1025" s="149">
        <f t="shared" si="313"/>
        <v>442.21942905727451</v>
      </c>
      <c r="W1025" s="149">
        <f t="shared" si="315"/>
        <v>1543.1308066884806</v>
      </c>
      <c r="X1025" s="149">
        <v>0</v>
      </c>
      <c r="Y1025" s="368">
        <v>0</v>
      </c>
      <c r="Z1025" s="368">
        <v>0</v>
      </c>
      <c r="AA1025" s="368">
        <v>0</v>
      </c>
      <c r="AB1025" s="368">
        <v>0</v>
      </c>
      <c r="AC1025" s="368">
        <v>0</v>
      </c>
      <c r="AD1025" s="368">
        <v>0</v>
      </c>
      <c r="AE1025" s="368">
        <v>960</v>
      </c>
      <c r="AF1025" s="396">
        <f t="shared" si="319"/>
        <v>1543.1308066884806</v>
      </c>
      <c r="AG1025" s="368">
        <v>0</v>
      </c>
      <c r="AH1025" s="396">
        <v>0</v>
      </c>
      <c r="AI1025" s="368">
        <v>0</v>
      </c>
      <c r="AJ1025" s="396">
        <v>0</v>
      </c>
      <c r="AK1025" s="368">
        <v>0</v>
      </c>
      <c r="AL1025" s="368">
        <v>0</v>
      </c>
      <c r="AM1025" s="368">
        <v>0</v>
      </c>
      <c r="AN1025" s="368"/>
      <c r="AO1025" s="368">
        <v>0</v>
      </c>
    </row>
    <row r="1026" spans="1:41" s="152" customFormat="1" ht="36" customHeight="1" x14ac:dyDescent="0.9">
      <c r="A1026" s="152">
        <v>1</v>
      </c>
      <c r="B1026" s="90">
        <f>SUBTOTAL(103,$A$988:A1026)</f>
        <v>39</v>
      </c>
      <c r="C1026" s="89" t="s">
        <v>606</v>
      </c>
      <c r="D1026" s="163" t="s">
        <v>355</v>
      </c>
      <c r="E1026" s="163"/>
      <c r="F1026" s="168" t="s">
        <v>270</v>
      </c>
      <c r="G1026" s="163" t="s">
        <v>362</v>
      </c>
      <c r="H1026" s="163">
        <v>1</v>
      </c>
      <c r="I1026" s="164">
        <v>1835.8</v>
      </c>
      <c r="J1026" s="164">
        <v>1835.8</v>
      </c>
      <c r="K1026" s="164">
        <v>1783.4</v>
      </c>
      <c r="L1026" s="165">
        <v>76</v>
      </c>
      <c r="M1026" s="163" t="s">
        <v>268</v>
      </c>
      <c r="N1026" s="163" t="s">
        <v>272</v>
      </c>
      <c r="O1026" s="166" t="s">
        <v>1661</v>
      </c>
      <c r="P1026" s="167">
        <v>1633943.5899999999</v>
      </c>
      <c r="Q1026" s="167">
        <v>0</v>
      </c>
      <c r="R1026" s="167">
        <v>0</v>
      </c>
      <c r="S1026" s="167">
        <f t="shared" si="314"/>
        <v>1633943.5899999999</v>
      </c>
      <c r="T1026" s="167">
        <f t="shared" si="305"/>
        <v>890.04444383919815</v>
      </c>
      <c r="U1026" s="167">
        <v>1239.7616123760761</v>
      </c>
      <c r="V1026" s="149">
        <f t="shared" si="313"/>
        <v>349.71716853687792</v>
      </c>
      <c r="W1026" s="149">
        <f t="shared" si="315"/>
        <v>1239.7616123760761</v>
      </c>
      <c r="X1026" s="149">
        <v>0</v>
      </c>
      <c r="Y1026" s="368">
        <v>0</v>
      </c>
      <c r="Z1026" s="368">
        <v>0</v>
      </c>
      <c r="AA1026" s="368">
        <v>0</v>
      </c>
      <c r="AB1026" s="368">
        <v>0</v>
      </c>
      <c r="AC1026" s="368">
        <v>0</v>
      </c>
      <c r="AD1026" s="368">
        <v>0</v>
      </c>
      <c r="AE1026" s="368">
        <v>364.8</v>
      </c>
      <c r="AF1026" s="396">
        <f t="shared" si="319"/>
        <v>1239.7616123760761</v>
      </c>
      <c r="AG1026" s="368">
        <v>0</v>
      </c>
      <c r="AH1026" s="396">
        <v>0</v>
      </c>
      <c r="AI1026" s="368">
        <v>0</v>
      </c>
      <c r="AJ1026" s="396">
        <v>0</v>
      </c>
      <c r="AK1026" s="368">
        <v>0</v>
      </c>
      <c r="AL1026" s="368">
        <v>0</v>
      </c>
      <c r="AM1026" s="368">
        <v>0</v>
      </c>
      <c r="AN1026" s="368"/>
      <c r="AO1026" s="368">
        <v>0</v>
      </c>
    </row>
    <row r="1027" spans="1:41" s="152" customFormat="1" ht="36" customHeight="1" x14ac:dyDescent="0.9">
      <c r="A1027" s="152">
        <v>1</v>
      </c>
      <c r="B1027" s="90">
        <f>SUBTOTAL(103,$A$988:A1027)</f>
        <v>40</v>
      </c>
      <c r="C1027" s="89" t="s">
        <v>607</v>
      </c>
      <c r="D1027" s="163" t="s">
        <v>384</v>
      </c>
      <c r="E1027" s="163"/>
      <c r="F1027" s="168" t="s">
        <v>315</v>
      </c>
      <c r="G1027" s="163" t="s">
        <v>356</v>
      </c>
      <c r="H1027" s="163">
        <v>4</v>
      </c>
      <c r="I1027" s="164">
        <v>3888.9</v>
      </c>
      <c r="J1027" s="164">
        <v>3557.1</v>
      </c>
      <c r="K1027" s="164">
        <v>3511.4</v>
      </c>
      <c r="L1027" s="165">
        <v>169</v>
      </c>
      <c r="M1027" s="163" t="s">
        <v>268</v>
      </c>
      <c r="N1027" s="163" t="s">
        <v>272</v>
      </c>
      <c r="O1027" s="166" t="s">
        <v>1088</v>
      </c>
      <c r="P1027" s="167">
        <v>4272967.33</v>
      </c>
      <c r="Q1027" s="167">
        <v>0</v>
      </c>
      <c r="R1027" s="167">
        <v>0</v>
      </c>
      <c r="S1027" s="167">
        <f t="shared" si="314"/>
        <v>4272967.33</v>
      </c>
      <c r="T1027" s="167">
        <f t="shared" si="305"/>
        <v>1098.7598884003189</v>
      </c>
      <c r="U1027" s="167">
        <v>1540.1150968140089</v>
      </c>
      <c r="V1027" s="149">
        <f t="shared" si="313"/>
        <v>441.35520841368998</v>
      </c>
      <c r="W1027" s="149">
        <f t="shared" si="315"/>
        <v>1540.1150968140089</v>
      </c>
      <c r="X1027" s="149">
        <v>0</v>
      </c>
      <c r="Y1027" s="368">
        <v>0</v>
      </c>
      <c r="Z1027" s="368">
        <v>0</v>
      </c>
      <c r="AA1027" s="368">
        <v>0</v>
      </c>
      <c r="AB1027" s="368">
        <v>0</v>
      </c>
      <c r="AC1027" s="368">
        <v>0</v>
      </c>
      <c r="AD1027" s="368">
        <v>0</v>
      </c>
      <c r="AE1027" s="368">
        <v>960</v>
      </c>
      <c r="AF1027" s="396">
        <f t="shared" si="319"/>
        <v>1540.1150968140089</v>
      </c>
      <c r="AG1027" s="368">
        <v>0</v>
      </c>
      <c r="AH1027" s="396">
        <v>0</v>
      </c>
      <c r="AI1027" s="368">
        <v>0</v>
      </c>
      <c r="AJ1027" s="396">
        <v>0</v>
      </c>
      <c r="AK1027" s="368">
        <v>0</v>
      </c>
      <c r="AL1027" s="368">
        <v>0</v>
      </c>
      <c r="AM1027" s="368">
        <v>0</v>
      </c>
      <c r="AN1027" s="368"/>
      <c r="AO1027" s="368">
        <v>0</v>
      </c>
    </row>
    <row r="1028" spans="1:41" s="152" customFormat="1" ht="36" customHeight="1" x14ac:dyDescent="0.9">
      <c r="A1028" s="152">
        <v>1</v>
      </c>
      <c r="B1028" s="90">
        <f>SUBTOTAL(103,$A$988:A1028)</f>
        <v>41</v>
      </c>
      <c r="C1028" s="89" t="s">
        <v>608</v>
      </c>
      <c r="D1028" s="163" t="s">
        <v>379</v>
      </c>
      <c r="E1028" s="163"/>
      <c r="F1028" s="168" t="s">
        <v>270</v>
      </c>
      <c r="G1028" s="163" t="s">
        <v>356</v>
      </c>
      <c r="H1028" s="163">
        <v>3</v>
      </c>
      <c r="I1028" s="164">
        <v>2600.9</v>
      </c>
      <c r="J1028" s="164">
        <v>2217.3000000000002</v>
      </c>
      <c r="K1028" s="164">
        <v>2217.3000000000002</v>
      </c>
      <c r="L1028" s="165">
        <v>72</v>
      </c>
      <c r="M1028" s="163" t="s">
        <v>268</v>
      </c>
      <c r="N1028" s="163" t="s">
        <v>272</v>
      </c>
      <c r="O1028" s="166" t="s">
        <v>1398</v>
      </c>
      <c r="P1028" s="167">
        <v>3064601.1799999997</v>
      </c>
      <c r="Q1028" s="167">
        <v>0</v>
      </c>
      <c r="R1028" s="167">
        <v>0</v>
      </c>
      <c r="S1028" s="167">
        <f t="shared" si="314"/>
        <v>3064601.1799999997</v>
      </c>
      <c r="T1028" s="167">
        <f t="shared" si="305"/>
        <v>1178.2848936906453</v>
      </c>
      <c r="U1028" s="167">
        <v>1607.1627898035294</v>
      </c>
      <c r="V1028" s="149">
        <f t="shared" si="313"/>
        <v>428.87789611288417</v>
      </c>
      <c r="W1028" s="149">
        <f t="shared" si="315"/>
        <v>1607.1627898035294</v>
      </c>
      <c r="X1028" s="149">
        <v>0</v>
      </c>
      <c r="Y1028" s="368">
        <v>0</v>
      </c>
      <c r="Z1028" s="368">
        <v>0</v>
      </c>
      <c r="AA1028" s="368">
        <v>0</v>
      </c>
      <c r="AB1028" s="368">
        <v>0</v>
      </c>
      <c r="AC1028" s="368">
        <v>0</v>
      </c>
      <c r="AD1028" s="368">
        <v>0</v>
      </c>
      <c r="AE1028" s="368">
        <v>670</v>
      </c>
      <c r="AF1028" s="396">
        <f t="shared" si="319"/>
        <v>1607.1627898035294</v>
      </c>
      <c r="AG1028" s="368">
        <v>0</v>
      </c>
      <c r="AH1028" s="396">
        <v>0</v>
      </c>
      <c r="AI1028" s="368">
        <v>0</v>
      </c>
      <c r="AJ1028" s="396">
        <v>0</v>
      </c>
      <c r="AK1028" s="368">
        <v>0</v>
      </c>
      <c r="AL1028" s="368">
        <v>0</v>
      </c>
      <c r="AM1028" s="368">
        <v>0</v>
      </c>
      <c r="AN1028" s="368"/>
      <c r="AO1028" s="368">
        <v>0</v>
      </c>
    </row>
    <row r="1029" spans="1:41" s="152" customFormat="1" ht="36" customHeight="1" x14ac:dyDescent="0.9">
      <c r="A1029" s="152">
        <v>1</v>
      </c>
      <c r="B1029" s="90">
        <f>SUBTOTAL(103,$A$988:A1029)</f>
        <v>42</v>
      </c>
      <c r="C1029" s="89" t="s">
        <v>609</v>
      </c>
      <c r="D1029" s="163" t="s">
        <v>374</v>
      </c>
      <c r="E1029" s="163"/>
      <c r="F1029" s="168" t="s">
        <v>270</v>
      </c>
      <c r="G1029" s="163" t="s">
        <v>356</v>
      </c>
      <c r="H1029" s="163">
        <v>1</v>
      </c>
      <c r="I1029" s="164">
        <v>1129.8</v>
      </c>
      <c r="J1029" s="164">
        <v>1033.3</v>
      </c>
      <c r="K1029" s="164">
        <v>841.7</v>
      </c>
      <c r="L1029" s="165">
        <v>41</v>
      </c>
      <c r="M1029" s="163" t="s">
        <v>268</v>
      </c>
      <c r="N1029" s="163" t="s">
        <v>272</v>
      </c>
      <c r="O1029" s="166" t="s">
        <v>1412</v>
      </c>
      <c r="P1029" s="167">
        <v>1046986.94</v>
      </c>
      <c r="Q1029" s="167">
        <v>0</v>
      </c>
      <c r="R1029" s="167">
        <v>0</v>
      </c>
      <c r="S1029" s="167">
        <f t="shared" si="314"/>
        <v>1046986.94</v>
      </c>
      <c r="T1029" s="167">
        <f t="shared" si="305"/>
        <v>926.70113294388386</v>
      </c>
      <c r="U1029" s="167">
        <v>1297.7021154186582</v>
      </c>
      <c r="V1029" s="149">
        <f t="shared" si="313"/>
        <v>371.00098247477433</v>
      </c>
      <c r="W1029" s="149">
        <f t="shared" si="315"/>
        <v>1297.7021154186582</v>
      </c>
      <c r="X1029" s="149">
        <v>0</v>
      </c>
      <c r="Y1029" s="368">
        <v>0</v>
      </c>
      <c r="Z1029" s="368">
        <v>0</v>
      </c>
      <c r="AA1029" s="368">
        <v>0</v>
      </c>
      <c r="AB1029" s="368">
        <v>0</v>
      </c>
      <c r="AC1029" s="368">
        <v>0</v>
      </c>
      <c r="AD1029" s="368">
        <v>0</v>
      </c>
      <c r="AE1029" s="368">
        <v>235</v>
      </c>
      <c r="AF1029" s="396">
        <f t="shared" si="319"/>
        <v>1297.7021154186582</v>
      </c>
      <c r="AG1029" s="368">
        <v>0</v>
      </c>
      <c r="AH1029" s="396">
        <v>0</v>
      </c>
      <c r="AI1029" s="368">
        <v>0</v>
      </c>
      <c r="AJ1029" s="396">
        <v>0</v>
      </c>
      <c r="AK1029" s="368">
        <v>0</v>
      </c>
      <c r="AL1029" s="368">
        <v>0</v>
      </c>
      <c r="AM1029" s="368">
        <v>0</v>
      </c>
      <c r="AN1029" s="368"/>
      <c r="AO1029" s="368">
        <v>0</v>
      </c>
    </row>
    <row r="1030" spans="1:41" s="152" customFormat="1" ht="36" customHeight="1" x14ac:dyDescent="0.9">
      <c r="A1030" s="152">
        <v>1</v>
      </c>
      <c r="B1030" s="90">
        <f>SUBTOTAL(103,$A$988:A1030)</f>
        <v>43</v>
      </c>
      <c r="C1030" s="89" t="s">
        <v>610</v>
      </c>
      <c r="D1030" s="163" t="s">
        <v>313</v>
      </c>
      <c r="E1030" s="163"/>
      <c r="F1030" s="168" t="s">
        <v>315</v>
      </c>
      <c r="G1030" s="163" t="s">
        <v>356</v>
      </c>
      <c r="H1030" s="163">
        <v>4</v>
      </c>
      <c r="I1030" s="164">
        <v>4027.5</v>
      </c>
      <c r="J1030" s="164">
        <v>3035.5</v>
      </c>
      <c r="K1030" s="164">
        <v>3037.2</v>
      </c>
      <c r="L1030" s="165">
        <v>135</v>
      </c>
      <c r="M1030" s="163" t="s">
        <v>268</v>
      </c>
      <c r="N1030" s="163" t="s">
        <v>272</v>
      </c>
      <c r="O1030" s="166" t="s">
        <v>1337</v>
      </c>
      <c r="P1030" s="167">
        <v>3516149.44</v>
      </c>
      <c r="Q1030" s="167">
        <v>0</v>
      </c>
      <c r="R1030" s="167">
        <v>0</v>
      </c>
      <c r="S1030" s="167">
        <f t="shared" si="314"/>
        <v>3516149.44</v>
      </c>
      <c r="T1030" s="167">
        <f t="shared" si="305"/>
        <v>873.03524270639355</v>
      </c>
      <c r="U1030" s="167">
        <v>1185.0443575418992</v>
      </c>
      <c r="V1030" s="149">
        <f t="shared" si="313"/>
        <v>312.00911483550567</v>
      </c>
      <c r="W1030" s="149">
        <f t="shared" si="315"/>
        <v>1185.0443575418992</v>
      </c>
      <c r="X1030" s="149">
        <v>0</v>
      </c>
      <c r="Y1030" s="368">
        <v>0</v>
      </c>
      <c r="Z1030" s="368">
        <v>0</v>
      </c>
      <c r="AA1030" s="368">
        <v>0</v>
      </c>
      <c r="AB1030" s="368">
        <v>0</v>
      </c>
      <c r="AC1030" s="368">
        <v>0</v>
      </c>
      <c r="AD1030" s="368">
        <v>0</v>
      </c>
      <c r="AE1030" s="368">
        <v>765</v>
      </c>
      <c r="AF1030" s="396">
        <f t="shared" si="319"/>
        <v>1185.0443575418992</v>
      </c>
      <c r="AG1030" s="368">
        <v>0</v>
      </c>
      <c r="AH1030" s="396">
        <v>0</v>
      </c>
      <c r="AI1030" s="368">
        <v>0</v>
      </c>
      <c r="AJ1030" s="396">
        <v>0</v>
      </c>
      <c r="AK1030" s="368">
        <v>0</v>
      </c>
      <c r="AL1030" s="368">
        <v>0</v>
      </c>
      <c r="AM1030" s="368">
        <v>0</v>
      </c>
      <c r="AN1030" s="368"/>
      <c r="AO1030" s="368">
        <v>0</v>
      </c>
    </row>
    <row r="1031" spans="1:41" s="152" customFormat="1" ht="36" customHeight="1" x14ac:dyDescent="0.9">
      <c r="A1031" s="152">
        <v>1</v>
      </c>
      <c r="B1031" s="90">
        <f>SUBTOTAL(103,$A$988:A1031)</f>
        <v>44</v>
      </c>
      <c r="C1031" s="89" t="s">
        <v>1397</v>
      </c>
      <c r="D1031" s="163">
        <v>1976</v>
      </c>
      <c r="E1031" s="163"/>
      <c r="F1031" s="168" t="s">
        <v>270</v>
      </c>
      <c r="G1031" s="163">
        <v>5</v>
      </c>
      <c r="H1031" s="163">
        <v>10</v>
      </c>
      <c r="I1031" s="164">
        <v>8213.9</v>
      </c>
      <c r="J1031" s="164">
        <v>7350.9</v>
      </c>
      <c r="K1031" s="164">
        <v>6661.1</v>
      </c>
      <c r="L1031" s="165">
        <v>418</v>
      </c>
      <c r="M1031" s="163" t="s">
        <v>268</v>
      </c>
      <c r="N1031" s="163" t="s">
        <v>272</v>
      </c>
      <c r="O1031" s="166" t="s">
        <v>1414</v>
      </c>
      <c r="P1031" s="167">
        <v>7840331.7599999998</v>
      </c>
      <c r="Q1031" s="167">
        <v>0</v>
      </c>
      <c r="R1031" s="167">
        <v>0</v>
      </c>
      <c r="S1031" s="167">
        <f t="shared" si="314"/>
        <v>7840331.7599999998</v>
      </c>
      <c r="T1031" s="167">
        <f t="shared" si="305"/>
        <v>954.51999172135038</v>
      </c>
      <c r="U1031" s="167">
        <v>1757.6106039761869</v>
      </c>
      <c r="V1031" s="149">
        <f t="shared" si="313"/>
        <v>803.09061225483651</v>
      </c>
      <c r="W1031" s="149">
        <f t="shared" si="315"/>
        <v>1757.6106039761869</v>
      </c>
      <c r="X1031" s="149">
        <v>0</v>
      </c>
      <c r="Y1031" s="368">
        <v>0</v>
      </c>
      <c r="Z1031" s="368">
        <v>0</v>
      </c>
      <c r="AA1031" s="368">
        <v>0</v>
      </c>
      <c r="AB1031" s="368">
        <v>0</v>
      </c>
      <c r="AC1031" s="368">
        <v>0</v>
      </c>
      <c r="AD1031" s="368">
        <v>0</v>
      </c>
      <c r="AE1031" s="368">
        <v>2314</v>
      </c>
      <c r="AF1031" s="396">
        <f t="shared" si="319"/>
        <v>1757.6106039761869</v>
      </c>
      <c r="AG1031" s="368">
        <v>0</v>
      </c>
      <c r="AH1031" s="396">
        <v>0</v>
      </c>
      <c r="AI1031" s="368">
        <v>0</v>
      </c>
      <c r="AJ1031" s="396">
        <v>0</v>
      </c>
      <c r="AK1031" s="368">
        <v>0</v>
      </c>
      <c r="AL1031" s="368">
        <v>0</v>
      </c>
      <c r="AM1031" s="368">
        <v>0</v>
      </c>
      <c r="AN1031" s="368"/>
      <c r="AO1031" s="368">
        <v>0</v>
      </c>
    </row>
    <row r="1032" spans="1:41" s="152" customFormat="1" ht="36" customHeight="1" x14ac:dyDescent="0.9">
      <c r="A1032" s="152">
        <v>1</v>
      </c>
      <c r="B1032" s="90">
        <f>SUBTOTAL(103,$A$988:A1032)</f>
        <v>45</v>
      </c>
      <c r="C1032" s="89" t="s">
        <v>1657</v>
      </c>
      <c r="D1032" s="163">
        <v>1970</v>
      </c>
      <c r="E1032" s="163"/>
      <c r="F1032" s="168" t="s">
        <v>270</v>
      </c>
      <c r="G1032" s="163">
        <v>5</v>
      </c>
      <c r="H1032" s="163">
        <v>6</v>
      </c>
      <c r="I1032" s="164">
        <v>4831</v>
      </c>
      <c r="J1032" s="164">
        <v>4434.8999999999996</v>
      </c>
      <c r="K1032" s="164">
        <v>4190</v>
      </c>
      <c r="L1032" s="165">
        <v>250</v>
      </c>
      <c r="M1032" s="163" t="s">
        <v>268</v>
      </c>
      <c r="N1032" s="163" t="s">
        <v>272</v>
      </c>
      <c r="O1032" s="166" t="s">
        <v>1104</v>
      </c>
      <c r="P1032" s="167">
        <v>5836250</v>
      </c>
      <c r="Q1032" s="167">
        <v>0</v>
      </c>
      <c r="R1032" s="167">
        <v>0</v>
      </c>
      <c r="S1032" s="167">
        <f t="shared" si="314"/>
        <v>5836250</v>
      </c>
      <c r="T1032" s="167">
        <f t="shared" ref="T1032:T1095" si="320">P1032/I1032</f>
        <v>1208.083212585386</v>
      </c>
      <c r="U1032" s="167">
        <v>1544.553169116125</v>
      </c>
      <c r="V1032" s="149">
        <f t="shared" si="313"/>
        <v>336.46995653073895</v>
      </c>
      <c r="W1032" s="149">
        <f t="shared" si="315"/>
        <v>1544.553169116125</v>
      </c>
      <c r="X1032" s="149">
        <v>0</v>
      </c>
      <c r="Y1032" s="368">
        <v>0</v>
      </c>
      <c r="Z1032" s="368">
        <v>0</v>
      </c>
      <c r="AA1032" s="368">
        <v>0</v>
      </c>
      <c r="AB1032" s="368">
        <v>0</v>
      </c>
      <c r="AC1032" s="368">
        <v>0</v>
      </c>
      <c r="AD1032" s="368">
        <v>0</v>
      </c>
      <c r="AE1032" s="368">
        <v>1196</v>
      </c>
      <c r="AF1032" s="396">
        <f t="shared" si="319"/>
        <v>1544.553169116125</v>
      </c>
      <c r="AG1032" s="368">
        <v>0</v>
      </c>
      <c r="AH1032" s="396">
        <v>0</v>
      </c>
      <c r="AI1032" s="368">
        <v>0</v>
      </c>
      <c r="AJ1032" s="396">
        <v>0</v>
      </c>
      <c r="AK1032" s="368">
        <v>0</v>
      </c>
      <c r="AL1032" s="368">
        <v>0</v>
      </c>
      <c r="AM1032" s="368">
        <v>0</v>
      </c>
      <c r="AN1032" s="368"/>
      <c r="AO1032" s="368">
        <v>0</v>
      </c>
    </row>
    <row r="1033" spans="1:41" s="152" customFormat="1" ht="36" customHeight="1" x14ac:dyDescent="0.9">
      <c r="A1033" s="152">
        <v>1</v>
      </c>
      <c r="B1033" s="90">
        <f>SUBTOTAL(103,$A$988:A1033)</f>
        <v>46</v>
      </c>
      <c r="C1033" s="89" t="s">
        <v>1658</v>
      </c>
      <c r="D1033" s="163">
        <v>1988</v>
      </c>
      <c r="E1033" s="163"/>
      <c r="F1033" s="168" t="s">
        <v>315</v>
      </c>
      <c r="G1033" s="163">
        <v>5</v>
      </c>
      <c r="H1033" s="163">
        <v>3</v>
      </c>
      <c r="I1033" s="164">
        <v>2616.5</v>
      </c>
      <c r="J1033" s="164">
        <v>2318.1999999999998</v>
      </c>
      <c r="K1033" s="164">
        <v>2212.9</v>
      </c>
      <c r="L1033" s="165">
        <v>110</v>
      </c>
      <c r="M1033" s="163" t="s">
        <v>268</v>
      </c>
      <c r="N1033" s="163" t="s">
        <v>272</v>
      </c>
      <c r="O1033" s="166" t="s">
        <v>1104</v>
      </c>
      <c r="P1033" s="167">
        <v>2840502.02</v>
      </c>
      <c r="Q1033" s="167">
        <v>0</v>
      </c>
      <c r="R1033" s="167">
        <v>0</v>
      </c>
      <c r="S1033" s="167">
        <f t="shared" si="314"/>
        <v>2840502.02</v>
      </c>
      <c r="T1033" s="167">
        <f t="shared" si="320"/>
        <v>1085.6113204662718</v>
      </c>
      <c r="U1033" s="167">
        <v>1399.6713816166634</v>
      </c>
      <c r="V1033" s="149">
        <f t="shared" si="313"/>
        <v>314.06006115039168</v>
      </c>
      <c r="W1033" s="149">
        <f t="shared" si="315"/>
        <v>1399.6713816166634</v>
      </c>
      <c r="X1033" s="149">
        <v>0</v>
      </c>
      <c r="Y1033" s="368">
        <v>0</v>
      </c>
      <c r="Z1033" s="368">
        <v>0</v>
      </c>
      <c r="AA1033" s="368">
        <v>0</v>
      </c>
      <c r="AB1033" s="368">
        <v>0</v>
      </c>
      <c r="AC1033" s="368">
        <v>0</v>
      </c>
      <c r="AD1033" s="368">
        <v>0</v>
      </c>
      <c r="AE1033" s="368">
        <v>587</v>
      </c>
      <c r="AF1033" s="396">
        <f t="shared" si="319"/>
        <v>1399.6713816166634</v>
      </c>
      <c r="AG1033" s="368">
        <v>0</v>
      </c>
      <c r="AH1033" s="396">
        <v>0</v>
      </c>
      <c r="AI1033" s="368">
        <v>0</v>
      </c>
      <c r="AJ1033" s="396">
        <v>0</v>
      </c>
      <c r="AK1033" s="368">
        <v>0</v>
      </c>
      <c r="AL1033" s="368">
        <v>0</v>
      </c>
      <c r="AM1033" s="368">
        <v>0</v>
      </c>
      <c r="AN1033" s="368"/>
      <c r="AO1033" s="368">
        <v>0</v>
      </c>
    </row>
    <row r="1034" spans="1:41" s="152" customFormat="1" ht="36" customHeight="1" x14ac:dyDescent="0.9">
      <c r="A1034" s="152">
        <v>1</v>
      </c>
      <c r="B1034" s="90">
        <f>SUBTOTAL(103,$A$988:A1034)</f>
        <v>47</v>
      </c>
      <c r="C1034" s="89" t="s">
        <v>611</v>
      </c>
      <c r="D1034" s="163" t="s">
        <v>327</v>
      </c>
      <c r="E1034" s="163"/>
      <c r="F1034" s="168" t="s">
        <v>315</v>
      </c>
      <c r="G1034" s="163" t="s">
        <v>356</v>
      </c>
      <c r="H1034" s="163">
        <v>4</v>
      </c>
      <c r="I1034" s="164">
        <v>4258.1000000000004</v>
      </c>
      <c r="J1034" s="164">
        <v>3136.3</v>
      </c>
      <c r="K1034" s="164">
        <v>1795.5</v>
      </c>
      <c r="L1034" s="165">
        <v>159</v>
      </c>
      <c r="M1034" s="163" t="s">
        <v>268</v>
      </c>
      <c r="N1034" s="163" t="s">
        <v>272</v>
      </c>
      <c r="O1034" s="166" t="s">
        <v>1090</v>
      </c>
      <c r="P1034" s="167">
        <v>4404985.5199999996</v>
      </c>
      <c r="Q1034" s="167">
        <v>0</v>
      </c>
      <c r="R1034" s="167">
        <v>0</v>
      </c>
      <c r="S1034" s="167">
        <f t="shared" si="314"/>
        <v>4404985.5199999996</v>
      </c>
      <c r="T1034" s="167">
        <f t="shared" si="320"/>
        <v>1034.4955543552287</v>
      </c>
      <c r="U1034" s="167">
        <v>1394.8574058852539</v>
      </c>
      <c r="V1034" s="149">
        <f t="shared" si="313"/>
        <v>360.36185153002521</v>
      </c>
      <c r="W1034" s="149">
        <f t="shared" si="315"/>
        <v>1394.8574058852539</v>
      </c>
      <c r="X1034" s="149">
        <v>0</v>
      </c>
      <c r="Y1034" s="368">
        <v>0</v>
      </c>
      <c r="Z1034" s="368">
        <v>0</v>
      </c>
      <c r="AA1034" s="368">
        <v>0</v>
      </c>
      <c r="AB1034" s="368">
        <v>0</v>
      </c>
      <c r="AC1034" s="368">
        <v>0</v>
      </c>
      <c r="AD1034" s="368">
        <v>0</v>
      </c>
      <c r="AE1034" s="368">
        <v>952</v>
      </c>
      <c r="AF1034" s="396">
        <f t="shared" si="319"/>
        <v>1394.8574058852539</v>
      </c>
      <c r="AG1034" s="368">
        <v>0</v>
      </c>
      <c r="AH1034" s="396">
        <v>0</v>
      </c>
      <c r="AI1034" s="368">
        <v>0</v>
      </c>
      <c r="AJ1034" s="396">
        <v>0</v>
      </c>
      <c r="AK1034" s="368">
        <v>0</v>
      </c>
      <c r="AL1034" s="368">
        <v>0</v>
      </c>
      <c r="AM1034" s="368">
        <v>0</v>
      </c>
      <c r="AN1034" s="368"/>
      <c r="AO1034" s="368">
        <v>0</v>
      </c>
    </row>
    <row r="1035" spans="1:41" s="152" customFormat="1" ht="36" customHeight="1" x14ac:dyDescent="0.9">
      <c r="A1035" s="152">
        <v>1</v>
      </c>
      <c r="B1035" s="90">
        <f>SUBTOTAL(103,$A$988:A1035)</f>
        <v>48</v>
      </c>
      <c r="C1035" s="89" t="s">
        <v>1640</v>
      </c>
      <c r="D1035" s="163">
        <v>1957</v>
      </c>
      <c r="E1035" s="163"/>
      <c r="F1035" s="168" t="s">
        <v>270</v>
      </c>
      <c r="G1035" s="163">
        <v>3</v>
      </c>
      <c r="H1035" s="163">
        <v>3</v>
      </c>
      <c r="I1035" s="164">
        <v>1920.4</v>
      </c>
      <c r="J1035" s="164">
        <v>1467.6</v>
      </c>
      <c r="K1035" s="164">
        <v>1467.6</v>
      </c>
      <c r="L1035" s="165">
        <v>62</v>
      </c>
      <c r="M1035" s="163" t="s">
        <v>268</v>
      </c>
      <c r="N1035" s="163" t="s">
        <v>272</v>
      </c>
      <c r="O1035" s="166" t="s">
        <v>1613</v>
      </c>
      <c r="P1035" s="167">
        <v>7371186.2199999997</v>
      </c>
      <c r="Q1035" s="167">
        <v>0</v>
      </c>
      <c r="R1035" s="167">
        <v>0</v>
      </c>
      <c r="S1035" s="167">
        <f t="shared" si="314"/>
        <v>7371186.2199999997</v>
      </c>
      <c r="T1035" s="167">
        <f t="shared" si="320"/>
        <v>3838.3598312851486</v>
      </c>
      <c r="U1035" s="167">
        <v>5285.0753947094345</v>
      </c>
      <c r="V1035" s="149">
        <f t="shared" si="313"/>
        <v>1446.7155634242858</v>
      </c>
      <c r="W1035" s="149">
        <f t="shared" si="315"/>
        <v>5285.0753947094345</v>
      </c>
      <c r="X1035" s="149">
        <v>0</v>
      </c>
      <c r="Y1035" s="368">
        <v>0</v>
      </c>
      <c r="Z1035" s="368">
        <v>0</v>
      </c>
      <c r="AA1035" s="368">
        <v>0</v>
      </c>
      <c r="AB1035" s="368">
        <v>0</v>
      </c>
      <c r="AC1035" s="368">
        <v>0</v>
      </c>
      <c r="AD1035" s="368">
        <v>0</v>
      </c>
      <c r="AE1035" s="368">
        <v>1626.8</v>
      </c>
      <c r="AF1035" s="396">
        <f t="shared" si="319"/>
        <v>5285.0753947094345</v>
      </c>
      <c r="AG1035" s="368">
        <v>0</v>
      </c>
      <c r="AH1035" s="396">
        <v>0</v>
      </c>
      <c r="AI1035" s="368">
        <v>0</v>
      </c>
      <c r="AJ1035" s="396">
        <v>0</v>
      </c>
      <c r="AK1035" s="368">
        <v>0</v>
      </c>
      <c r="AL1035" s="368">
        <v>0</v>
      </c>
      <c r="AM1035" s="368">
        <v>0</v>
      </c>
      <c r="AN1035" s="368"/>
      <c r="AO1035" s="368">
        <v>0</v>
      </c>
    </row>
    <row r="1036" spans="1:41" s="152" customFormat="1" ht="36" customHeight="1" x14ac:dyDescent="0.9">
      <c r="A1036" s="152">
        <v>1</v>
      </c>
      <c r="B1036" s="90">
        <f>SUBTOTAL(103,$A$988:A1036)</f>
        <v>49</v>
      </c>
      <c r="C1036" s="89" t="s">
        <v>612</v>
      </c>
      <c r="D1036" s="163">
        <v>1981</v>
      </c>
      <c r="E1036" s="163"/>
      <c r="F1036" s="168" t="s">
        <v>270</v>
      </c>
      <c r="G1036" s="163">
        <v>2</v>
      </c>
      <c r="H1036" s="163">
        <v>3</v>
      </c>
      <c r="I1036" s="164">
        <v>940.2</v>
      </c>
      <c r="J1036" s="164">
        <v>850.3</v>
      </c>
      <c r="K1036" s="164">
        <v>850.3</v>
      </c>
      <c r="L1036" s="165">
        <v>29</v>
      </c>
      <c r="M1036" s="163" t="s">
        <v>268</v>
      </c>
      <c r="N1036" s="163" t="s">
        <v>272</v>
      </c>
      <c r="O1036" s="166" t="s">
        <v>1659</v>
      </c>
      <c r="P1036" s="167">
        <v>3550462.6100000003</v>
      </c>
      <c r="Q1036" s="167">
        <v>0</v>
      </c>
      <c r="R1036" s="167">
        <v>0</v>
      </c>
      <c r="S1036" s="167">
        <f t="shared" si="314"/>
        <v>3550462.6100000003</v>
      </c>
      <c r="T1036" s="167">
        <f t="shared" si="320"/>
        <v>3776.284418208892</v>
      </c>
      <c r="U1036" s="167">
        <v>5355.097595298872</v>
      </c>
      <c r="V1036" s="149">
        <f t="shared" si="313"/>
        <v>1578.8131770899799</v>
      </c>
      <c r="W1036" s="149">
        <f t="shared" si="315"/>
        <v>5355.097595298872</v>
      </c>
      <c r="X1036" s="149">
        <v>0</v>
      </c>
      <c r="Y1036" s="368">
        <v>0</v>
      </c>
      <c r="Z1036" s="368">
        <v>0</v>
      </c>
      <c r="AA1036" s="368">
        <v>0</v>
      </c>
      <c r="AB1036" s="368">
        <v>0</v>
      </c>
      <c r="AC1036" s="368">
        <v>0</v>
      </c>
      <c r="AD1036" s="368">
        <v>0</v>
      </c>
      <c r="AE1036" s="368">
        <v>807.01</v>
      </c>
      <c r="AF1036" s="396">
        <f t="shared" si="319"/>
        <v>5355.097595298872</v>
      </c>
      <c r="AG1036" s="368">
        <v>0</v>
      </c>
      <c r="AH1036" s="396">
        <v>0</v>
      </c>
      <c r="AI1036" s="368">
        <v>0</v>
      </c>
      <c r="AJ1036" s="396">
        <v>0</v>
      </c>
      <c r="AK1036" s="368">
        <v>0</v>
      </c>
      <c r="AL1036" s="368">
        <v>0</v>
      </c>
      <c r="AM1036" s="368">
        <v>0</v>
      </c>
      <c r="AN1036" s="368"/>
      <c r="AO1036" s="368">
        <v>0</v>
      </c>
    </row>
    <row r="1037" spans="1:41" s="152" customFormat="1" ht="36" customHeight="1" x14ac:dyDescent="0.9">
      <c r="A1037" s="152">
        <v>1</v>
      </c>
      <c r="B1037" s="90">
        <f>SUBTOTAL(103,$A$988:A1037)</f>
        <v>50</v>
      </c>
      <c r="C1037" s="89" t="s">
        <v>613</v>
      </c>
      <c r="D1037" s="163">
        <v>1994</v>
      </c>
      <c r="E1037" s="163"/>
      <c r="F1037" s="168" t="s">
        <v>270</v>
      </c>
      <c r="G1037" s="163">
        <v>3</v>
      </c>
      <c r="H1037" s="163">
        <v>2</v>
      </c>
      <c r="I1037" s="164">
        <v>1481.9</v>
      </c>
      <c r="J1037" s="164">
        <v>1353.2</v>
      </c>
      <c r="K1037" s="164">
        <v>1353.2</v>
      </c>
      <c r="L1037" s="165">
        <v>72</v>
      </c>
      <c r="M1037" s="163" t="s">
        <v>268</v>
      </c>
      <c r="N1037" s="163" t="s">
        <v>272</v>
      </c>
      <c r="O1037" s="166" t="s">
        <v>1659</v>
      </c>
      <c r="P1037" s="167">
        <v>4265711.66</v>
      </c>
      <c r="Q1037" s="167">
        <v>0</v>
      </c>
      <c r="R1037" s="167">
        <v>0</v>
      </c>
      <c r="S1037" s="167">
        <f t="shared" si="314"/>
        <v>4265711.66</v>
      </c>
      <c r="T1037" s="167">
        <f t="shared" si="320"/>
        <v>2878.5421823334909</v>
      </c>
      <c r="U1037" s="167">
        <v>4104.8230312436735</v>
      </c>
      <c r="V1037" s="149">
        <f t="shared" si="313"/>
        <v>1226.2808489101826</v>
      </c>
      <c r="W1037" s="149">
        <f t="shared" si="315"/>
        <v>4104.8230312436735</v>
      </c>
      <c r="X1037" s="149">
        <v>0</v>
      </c>
      <c r="Y1037" s="368">
        <v>0</v>
      </c>
      <c r="Z1037" s="368">
        <v>0</v>
      </c>
      <c r="AA1037" s="368">
        <v>0</v>
      </c>
      <c r="AB1037" s="368">
        <v>0</v>
      </c>
      <c r="AC1037" s="368">
        <v>0</v>
      </c>
      <c r="AD1037" s="368">
        <v>0</v>
      </c>
      <c r="AE1037" s="368">
        <v>975</v>
      </c>
      <c r="AF1037" s="396">
        <f t="shared" si="319"/>
        <v>4104.8230312436735</v>
      </c>
      <c r="AG1037" s="368">
        <v>0</v>
      </c>
      <c r="AH1037" s="396">
        <v>0</v>
      </c>
      <c r="AI1037" s="368">
        <v>0</v>
      </c>
      <c r="AJ1037" s="396">
        <v>0</v>
      </c>
      <c r="AK1037" s="368">
        <v>0</v>
      </c>
      <c r="AL1037" s="368">
        <v>0</v>
      </c>
      <c r="AM1037" s="368">
        <v>0</v>
      </c>
      <c r="AN1037" s="368"/>
      <c r="AO1037" s="368">
        <v>0</v>
      </c>
    </row>
    <row r="1038" spans="1:41" s="152" customFormat="1" ht="36" customHeight="1" x14ac:dyDescent="0.9">
      <c r="A1038" s="152">
        <v>1</v>
      </c>
      <c r="B1038" s="90">
        <f>SUBTOTAL(103,$A$988:A1038)</f>
        <v>51</v>
      </c>
      <c r="C1038" s="89" t="s">
        <v>614</v>
      </c>
      <c r="D1038" s="163" t="s">
        <v>355</v>
      </c>
      <c r="E1038" s="163"/>
      <c r="F1038" s="168" t="s">
        <v>315</v>
      </c>
      <c r="G1038" s="163" t="s">
        <v>356</v>
      </c>
      <c r="H1038" s="163">
        <v>4</v>
      </c>
      <c r="I1038" s="164">
        <v>4064.4</v>
      </c>
      <c r="J1038" s="164">
        <v>3058.6</v>
      </c>
      <c r="K1038" s="164">
        <v>2912</v>
      </c>
      <c r="L1038" s="165">
        <v>130</v>
      </c>
      <c r="M1038" s="163" t="s">
        <v>268</v>
      </c>
      <c r="N1038" s="163" t="s">
        <v>272</v>
      </c>
      <c r="O1038" s="166" t="s">
        <v>1337</v>
      </c>
      <c r="P1038" s="167">
        <v>3545858.66</v>
      </c>
      <c r="Q1038" s="167">
        <v>0</v>
      </c>
      <c r="R1038" s="167">
        <v>0</v>
      </c>
      <c r="S1038" s="167">
        <f t="shared" si="314"/>
        <v>3545858.66</v>
      </c>
      <c r="T1038" s="167">
        <f t="shared" si="320"/>
        <v>872.4187235508316</v>
      </c>
      <c r="U1038" s="167">
        <v>1183.8793764147229</v>
      </c>
      <c r="V1038" s="149">
        <f t="shared" si="313"/>
        <v>311.46065286389126</v>
      </c>
      <c r="W1038" s="149">
        <f t="shared" si="315"/>
        <v>1183.8793764147229</v>
      </c>
      <c r="X1038" s="149">
        <v>0</v>
      </c>
      <c r="Y1038" s="368">
        <v>0</v>
      </c>
      <c r="Z1038" s="368">
        <v>0</v>
      </c>
      <c r="AA1038" s="368">
        <v>0</v>
      </c>
      <c r="AB1038" s="368">
        <v>0</v>
      </c>
      <c r="AC1038" s="368">
        <v>0</v>
      </c>
      <c r="AD1038" s="368">
        <v>0</v>
      </c>
      <c r="AE1038" s="368">
        <v>771.25</v>
      </c>
      <c r="AF1038" s="396">
        <f t="shared" si="319"/>
        <v>1183.8793764147229</v>
      </c>
      <c r="AG1038" s="368">
        <v>0</v>
      </c>
      <c r="AH1038" s="396">
        <v>0</v>
      </c>
      <c r="AI1038" s="368">
        <v>0</v>
      </c>
      <c r="AJ1038" s="396">
        <v>0</v>
      </c>
      <c r="AK1038" s="368">
        <v>0</v>
      </c>
      <c r="AL1038" s="368">
        <v>0</v>
      </c>
      <c r="AM1038" s="368">
        <v>0</v>
      </c>
      <c r="AN1038" s="368"/>
      <c r="AO1038" s="368">
        <v>0</v>
      </c>
    </row>
    <row r="1039" spans="1:41" s="152" customFormat="1" ht="36" customHeight="1" x14ac:dyDescent="0.9">
      <c r="A1039" s="152">
        <v>1</v>
      </c>
      <c r="B1039" s="90">
        <f>SUBTOTAL(103,$A$988:A1039)</f>
        <v>52</v>
      </c>
      <c r="C1039" s="89" t="s">
        <v>615</v>
      </c>
      <c r="D1039" s="163" t="s">
        <v>375</v>
      </c>
      <c r="E1039" s="163"/>
      <c r="F1039" s="168" t="s">
        <v>315</v>
      </c>
      <c r="G1039" s="163" t="s">
        <v>356</v>
      </c>
      <c r="H1039" s="163">
        <v>5</v>
      </c>
      <c r="I1039" s="164">
        <v>5067.1000000000004</v>
      </c>
      <c r="J1039" s="164">
        <v>3815.6</v>
      </c>
      <c r="K1039" s="164">
        <v>3768.9</v>
      </c>
      <c r="L1039" s="165">
        <v>158</v>
      </c>
      <c r="M1039" s="163" t="s">
        <v>268</v>
      </c>
      <c r="N1039" s="163" t="s">
        <v>272</v>
      </c>
      <c r="O1039" s="166" t="s">
        <v>1337</v>
      </c>
      <c r="P1039" s="167">
        <v>4460834.87</v>
      </c>
      <c r="Q1039" s="167">
        <v>0</v>
      </c>
      <c r="R1039" s="167">
        <v>0</v>
      </c>
      <c r="S1039" s="167">
        <f t="shared" si="314"/>
        <v>4460834.87</v>
      </c>
      <c r="T1039" s="167">
        <f t="shared" si="320"/>
        <v>880.35264155039363</v>
      </c>
      <c r="U1039" s="167">
        <v>1186.6253897692959</v>
      </c>
      <c r="V1039" s="149">
        <f t="shared" si="313"/>
        <v>306.27274821890228</v>
      </c>
      <c r="W1039" s="149">
        <f t="shared" si="315"/>
        <v>1186.6253897692959</v>
      </c>
      <c r="X1039" s="149">
        <v>0</v>
      </c>
      <c r="Y1039" s="368">
        <v>0</v>
      </c>
      <c r="Z1039" s="368">
        <v>0</v>
      </c>
      <c r="AA1039" s="368">
        <v>0</v>
      </c>
      <c r="AB1039" s="368">
        <v>0</v>
      </c>
      <c r="AC1039" s="368">
        <v>0</v>
      </c>
      <c r="AD1039" s="368">
        <v>0</v>
      </c>
      <c r="AE1039" s="368">
        <v>963.75</v>
      </c>
      <c r="AF1039" s="396">
        <f t="shared" si="319"/>
        <v>1186.6253897692959</v>
      </c>
      <c r="AG1039" s="368">
        <v>0</v>
      </c>
      <c r="AH1039" s="396">
        <v>0</v>
      </c>
      <c r="AI1039" s="368">
        <v>0</v>
      </c>
      <c r="AJ1039" s="396">
        <v>0</v>
      </c>
      <c r="AK1039" s="368">
        <v>0</v>
      </c>
      <c r="AL1039" s="368">
        <v>0</v>
      </c>
      <c r="AM1039" s="368">
        <v>0</v>
      </c>
      <c r="AN1039" s="368"/>
      <c r="AO1039" s="368">
        <v>0</v>
      </c>
    </row>
    <row r="1040" spans="1:41" s="152" customFormat="1" ht="36" customHeight="1" x14ac:dyDescent="0.9">
      <c r="A1040" s="152">
        <v>1</v>
      </c>
      <c r="B1040" s="90">
        <f>SUBTOTAL(103,$A$988:A1040)</f>
        <v>53</v>
      </c>
      <c r="C1040" s="89" t="s">
        <v>502</v>
      </c>
      <c r="D1040" s="163">
        <v>1995</v>
      </c>
      <c r="E1040" s="163"/>
      <c r="F1040" s="168" t="s">
        <v>270</v>
      </c>
      <c r="G1040" s="163">
        <v>9</v>
      </c>
      <c r="H1040" s="163">
        <v>1</v>
      </c>
      <c r="I1040" s="164">
        <v>6176.6</v>
      </c>
      <c r="J1040" s="164">
        <v>4705.1000000000004</v>
      </c>
      <c r="K1040" s="164">
        <v>4301.8999999999996</v>
      </c>
      <c r="L1040" s="165">
        <v>360</v>
      </c>
      <c r="M1040" s="163" t="s">
        <v>268</v>
      </c>
      <c r="N1040" s="163" t="s">
        <v>272</v>
      </c>
      <c r="O1040" s="166" t="s">
        <v>1088</v>
      </c>
      <c r="P1040" s="167">
        <v>2100000</v>
      </c>
      <c r="Q1040" s="167">
        <v>0</v>
      </c>
      <c r="R1040" s="167">
        <v>0</v>
      </c>
      <c r="S1040" s="167">
        <f t="shared" si="314"/>
        <v>2100000</v>
      </c>
      <c r="T1040" s="167">
        <f t="shared" si="320"/>
        <v>339.99287633973381</v>
      </c>
      <c r="U1040" s="167">
        <v>397.92118641323702</v>
      </c>
      <c r="V1040" s="149">
        <f t="shared" si="313"/>
        <v>57.928310073503212</v>
      </c>
      <c r="W1040" s="149">
        <f t="shared" si="315"/>
        <v>397.92118641323702</v>
      </c>
      <c r="X1040" s="149">
        <v>0</v>
      </c>
      <c r="Y1040" s="368">
        <v>0</v>
      </c>
      <c r="Z1040" s="368">
        <v>0</v>
      </c>
      <c r="AA1040" s="368">
        <v>0</v>
      </c>
      <c r="AB1040" s="368">
        <v>0</v>
      </c>
      <c r="AC1040" s="368">
        <v>1</v>
      </c>
      <c r="AD1040" s="396">
        <f t="shared" ref="AD1040:AD1041" si="321">2457800*AC1040/I1040</f>
        <v>397.92118641323702</v>
      </c>
      <c r="AE1040" s="368">
        <v>0</v>
      </c>
      <c r="AF1040" s="396">
        <v>0</v>
      </c>
      <c r="AG1040" s="368">
        <v>0</v>
      </c>
      <c r="AH1040" s="396">
        <v>0</v>
      </c>
      <c r="AI1040" s="368">
        <v>0</v>
      </c>
      <c r="AJ1040" s="396">
        <v>0</v>
      </c>
      <c r="AK1040" s="368">
        <v>0</v>
      </c>
      <c r="AL1040" s="368">
        <v>0</v>
      </c>
      <c r="AM1040" s="368">
        <v>0</v>
      </c>
      <c r="AN1040" s="368"/>
      <c r="AO1040" s="368">
        <v>0</v>
      </c>
    </row>
    <row r="1041" spans="1:41" s="152" customFormat="1" ht="36" customHeight="1" x14ac:dyDescent="0.9">
      <c r="A1041" s="152">
        <v>1</v>
      </c>
      <c r="B1041" s="90">
        <f>SUBTOTAL(103,$A$988:A1041)</f>
        <v>54</v>
      </c>
      <c r="C1041" s="89" t="s">
        <v>1083</v>
      </c>
      <c r="D1041" s="163">
        <v>1990</v>
      </c>
      <c r="E1041" s="163"/>
      <c r="F1041" s="168" t="s">
        <v>270</v>
      </c>
      <c r="G1041" s="163">
        <v>9</v>
      </c>
      <c r="H1041" s="163">
        <v>4</v>
      </c>
      <c r="I1041" s="164">
        <v>11085.8</v>
      </c>
      <c r="J1041" s="164">
        <v>9319.2999999999993</v>
      </c>
      <c r="K1041" s="164">
        <v>5667.8</v>
      </c>
      <c r="L1041" s="165">
        <v>446</v>
      </c>
      <c r="M1041" s="163" t="s">
        <v>268</v>
      </c>
      <c r="N1041" s="163" t="s">
        <v>272</v>
      </c>
      <c r="O1041" s="166" t="s">
        <v>1090</v>
      </c>
      <c r="P1041" s="167">
        <v>6300000</v>
      </c>
      <c r="Q1041" s="167">
        <v>0</v>
      </c>
      <c r="R1041" s="167">
        <v>0</v>
      </c>
      <c r="S1041" s="167">
        <f t="shared" si="314"/>
        <v>6300000</v>
      </c>
      <c r="T1041" s="167">
        <f t="shared" si="320"/>
        <v>568.29457504194556</v>
      </c>
      <c r="U1041" s="167">
        <v>665.12114597052084</v>
      </c>
      <c r="V1041" s="149">
        <f t="shared" si="313"/>
        <v>96.826570928575279</v>
      </c>
      <c r="W1041" s="149">
        <f t="shared" si="315"/>
        <v>665.12114597052084</v>
      </c>
      <c r="X1041" s="149">
        <v>0</v>
      </c>
      <c r="Y1041" s="368">
        <v>0</v>
      </c>
      <c r="Z1041" s="368">
        <v>0</v>
      </c>
      <c r="AA1041" s="368">
        <v>0</v>
      </c>
      <c r="AB1041" s="368">
        <v>0</v>
      </c>
      <c r="AC1041" s="368">
        <v>3</v>
      </c>
      <c r="AD1041" s="396">
        <f t="shared" si="321"/>
        <v>665.12114597052084</v>
      </c>
      <c r="AE1041" s="368">
        <v>0</v>
      </c>
      <c r="AF1041" s="396">
        <v>0</v>
      </c>
      <c r="AG1041" s="368">
        <v>0</v>
      </c>
      <c r="AH1041" s="396">
        <v>0</v>
      </c>
      <c r="AI1041" s="368">
        <v>0</v>
      </c>
      <c r="AJ1041" s="396">
        <v>0</v>
      </c>
      <c r="AK1041" s="368">
        <v>0</v>
      </c>
      <c r="AL1041" s="368">
        <v>0</v>
      </c>
      <c r="AM1041" s="368">
        <v>0</v>
      </c>
      <c r="AN1041" s="368"/>
      <c r="AO1041" s="368">
        <v>0</v>
      </c>
    </row>
    <row r="1042" spans="1:41" s="152" customFormat="1" ht="36" customHeight="1" x14ac:dyDescent="0.9">
      <c r="A1042" s="152">
        <v>1</v>
      </c>
      <c r="B1042" s="90">
        <f>SUBTOTAL(103,$A$988:A1042)</f>
        <v>55</v>
      </c>
      <c r="C1042" s="89" t="s">
        <v>1709</v>
      </c>
      <c r="D1042" s="163">
        <v>1969</v>
      </c>
      <c r="E1042" s="163"/>
      <c r="F1042" s="168" t="s">
        <v>270</v>
      </c>
      <c r="G1042" s="163">
        <v>5</v>
      </c>
      <c r="H1042" s="163">
        <v>4</v>
      </c>
      <c r="I1042" s="164">
        <v>3872</v>
      </c>
      <c r="J1042" s="164">
        <v>3567.4</v>
      </c>
      <c r="K1042" s="164">
        <v>3567.4</v>
      </c>
      <c r="L1042" s="165">
        <v>111</v>
      </c>
      <c r="M1042" s="163" t="s">
        <v>268</v>
      </c>
      <c r="N1042" s="163" t="s">
        <v>272</v>
      </c>
      <c r="O1042" s="166" t="s">
        <v>1715</v>
      </c>
      <c r="P1042" s="167">
        <v>5062636.5</v>
      </c>
      <c r="Q1042" s="167">
        <v>0</v>
      </c>
      <c r="R1042" s="167">
        <v>0</v>
      </c>
      <c r="S1042" s="167">
        <f t="shared" si="314"/>
        <v>5062636.5</v>
      </c>
      <c r="T1042" s="167">
        <f t="shared" si="320"/>
        <v>1307.4990960743801</v>
      </c>
      <c r="U1042" s="167">
        <v>1988.330304752066</v>
      </c>
      <c r="V1042" s="149">
        <f t="shared" si="313"/>
        <v>680.83120867768594</v>
      </c>
      <c r="W1042" s="149">
        <f t="shared" si="315"/>
        <v>1988.330304752066</v>
      </c>
      <c r="X1042" s="149">
        <v>0</v>
      </c>
      <c r="Y1042" s="368">
        <v>0</v>
      </c>
      <c r="Z1042" s="368">
        <v>0</v>
      </c>
      <c r="AA1042" s="368">
        <v>0</v>
      </c>
      <c r="AB1042" s="368">
        <v>0</v>
      </c>
      <c r="AC1042" s="368">
        <v>0</v>
      </c>
      <c r="AD1042" s="368">
        <v>0</v>
      </c>
      <c r="AE1042" s="368">
        <v>1234</v>
      </c>
      <c r="AF1042" s="396">
        <f t="shared" ref="AF1042:AF1048" si="322">6238.91*AE1042/I1042</f>
        <v>1988.330304752066</v>
      </c>
      <c r="AG1042" s="368">
        <v>0</v>
      </c>
      <c r="AH1042" s="396">
        <v>0</v>
      </c>
      <c r="AI1042" s="368">
        <v>0</v>
      </c>
      <c r="AJ1042" s="396">
        <v>0</v>
      </c>
      <c r="AK1042" s="368">
        <v>0</v>
      </c>
      <c r="AL1042" s="368">
        <v>0</v>
      </c>
      <c r="AM1042" s="368">
        <v>0</v>
      </c>
      <c r="AN1042" s="368"/>
      <c r="AO1042" s="368">
        <v>0</v>
      </c>
    </row>
    <row r="1043" spans="1:41" s="152" customFormat="1" ht="36" customHeight="1" x14ac:dyDescent="0.9">
      <c r="A1043" s="152">
        <v>1</v>
      </c>
      <c r="B1043" s="90">
        <f>SUBTOTAL(103,$A$988:A1043)</f>
        <v>56</v>
      </c>
      <c r="C1043" s="89" t="s">
        <v>1710</v>
      </c>
      <c r="D1043" s="163">
        <v>1967</v>
      </c>
      <c r="E1043" s="163"/>
      <c r="F1043" s="168" t="s">
        <v>322</v>
      </c>
      <c r="G1043" s="163">
        <v>5</v>
      </c>
      <c r="H1043" s="163">
        <v>5</v>
      </c>
      <c r="I1043" s="164">
        <v>4508.5</v>
      </c>
      <c r="J1043" s="164">
        <v>4509.3</v>
      </c>
      <c r="K1043" s="164">
        <v>4452.8</v>
      </c>
      <c r="L1043" s="165">
        <v>231</v>
      </c>
      <c r="M1043" s="163" t="s">
        <v>268</v>
      </c>
      <c r="N1043" s="163" t="s">
        <v>272</v>
      </c>
      <c r="O1043" s="166" t="s">
        <v>1716</v>
      </c>
      <c r="P1043" s="167">
        <v>4800259.8</v>
      </c>
      <c r="Q1043" s="167">
        <v>0</v>
      </c>
      <c r="R1043" s="167">
        <v>0</v>
      </c>
      <c r="S1043" s="167">
        <f t="shared" si="314"/>
        <v>4800259.8</v>
      </c>
      <c r="T1043" s="167">
        <f t="shared" si="320"/>
        <v>1064.7132749251414</v>
      </c>
      <c r="U1043" s="167">
        <v>1660.5726960186314</v>
      </c>
      <c r="V1043" s="149">
        <f t="shared" si="313"/>
        <v>595.85942109349003</v>
      </c>
      <c r="W1043" s="149">
        <f t="shared" si="315"/>
        <v>1660.5726960186314</v>
      </c>
      <c r="X1043" s="149">
        <v>0</v>
      </c>
      <c r="Y1043" s="368">
        <v>0</v>
      </c>
      <c r="Z1043" s="368">
        <v>0</v>
      </c>
      <c r="AA1043" s="368">
        <v>0</v>
      </c>
      <c r="AB1043" s="368">
        <v>0</v>
      </c>
      <c r="AC1043" s="368">
        <v>0</v>
      </c>
      <c r="AD1043" s="368">
        <v>0</v>
      </c>
      <c r="AE1043" s="368">
        <v>1200</v>
      </c>
      <c r="AF1043" s="396">
        <f t="shared" si="322"/>
        <v>1660.5726960186314</v>
      </c>
      <c r="AG1043" s="368">
        <v>0</v>
      </c>
      <c r="AH1043" s="396">
        <v>0</v>
      </c>
      <c r="AI1043" s="368">
        <v>0</v>
      </c>
      <c r="AJ1043" s="396">
        <v>0</v>
      </c>
      <c r="AK1043" s="368">
        <v>0</v>
      </c>
      <c r="AL1043" s="368">
        <v>0</v>
      </c>
      <c r="AM1043" s="368">
        <v>0</v>
      </c>
      <c r="AN1043" s="368"/>
      <c r="AO1043" s="368">
        <v>0</v>
      </c>
    </row>
    <row r="1044" spans="1:41" s="152" customFormat="1" ht="36" customHeight="1" x14ac:dyDescent="0.9">
      <c r="A1044" s="152">
        <v>1</v>
      </c>
      <c r="B1044" s="90">
        <f>SUBTOTAL(103,$A$988:A1044)</f>
        <v>57</v>
      </c>
      <c r="C1044" s="358" t="s">
        <v>547</v>
      </c>
      <c r="D1044" s="355" t="s">
        <v>317</v>
      </c>
      <c r="E1044" s="355"/>
      <c r="F1044" s="357" t="s">
        <v>315</v>
      </c>
      <c r="G1044" s="355" t="s">
        <v>362</v>
      </c>
      <c r="H1044" s="355">
        <v>2</v>
      </c>
      <c r="I1044" s="359">
        <v>4990.2</v>
      </c>
      <c r="J1044" s="359">
        <v>3973.4</v>
      </c>
      <c r="K1044" s="359">
        <v>3799.4</v>
      </c>
      <c r="L1044" s="356">
        <v>180</v>
      </c>
      <c r="M1044" s="355" t="s">
        <v>268</v>
      </c>
      <c r="N1044" s="355" t="s">
        <v>272</v>
      </c>
      <c r="O1044" s="354" t="s">
        <v>1337</v>
      </c>
      <c r="P1044" s="353">
        <v>3129425.65</v>
      </c>
      <c r="Q1044" s="353">
        <v>0</v>
      </c>
      <c r="R1044" s="353">
        <v>0</v>
      </c>
      <c r="S1044" s="353">
        <f t="shared" si="314"/>
        <v>3129425.65</v>
      </c>
      <c r="T1044" s="167">
        <f t="shared" si="320"/>
        <v>627.11427397699492</v>
      </c>
      <c r="U1044" s="167">
        <v>812.65109614845096</v>
      </c>
      <c r="V1044" s="149">
        <f t="shared" ref="V1044:V1048" si="323">U1044-T1044</f>
        <v>185.53682217145604</v>
      </c>
      <c r="W1044" s="149">
        <f t="shared" si="315"/>
        <v>812.65109614845096</v>
      </c>
      <c r="X1044" s="149">
        <v>0</v>
      </c>
      <c r="Y1044" s="368">
        <v>0</v>
      </c>
      <c r="Z1044" s="368">
        <v>0</v>
      </c>
      <c r="AA1044" s="368">
        <v>0</v>
      </c>
      <c r="AB1044" s="368">
        <v>0</v>
      </c>
      <c r="AC1044" s="368">
        <v>0</v>
      </c>
      <c r="AD1044" s="368">
        <v>0</v>
      </c>
      <c r="AE1044" s="368">
        <v>650</v>
      </c>
      <c r="AF1044" s="396">
        <f t="shared" si="322"/>
        <v>812.65109614845096</v>
      </c>
      <c r="AG1044" s="368">
        <v>0</v>
      </c>
      <c r="AH1044" s="396">
        <v>0</v>
      </c>
      <c r="AI1044" s="368">
        <v>0</v>
      </c>
      <c r="AJ1044" s="396">
        <v>0</v>
      </c>
      <c r="AK1044" s="368">
        <v>0</v>
      </c>
      <c r="AL1044" s="368">
        <v>0</v>
      </c>
      <c r="AM1044" s="368">
        <v>0</v>
      </c>
      <c r="AN1044" s="368"/>
      <c r="AO1044" s="368">
        <v>0</v>
      </c>
    </row>
    <row r="1045" spans="1:41" s="152" customFormat="1" ht="36" customHeight="1" x14ac:dyDescent="0.9">
      <c r="A1045" s="152">
        <v>1</v>
      </c>
      <c r="B1045" s="90">
        <f>SUBTOTAL(103,$A$988:A1045)</f>
        <v>58</v>
      </c>
      <c r="C1045" s="358" t="s">
        <v>550</v>
      </c>
      <c r="D1045" s="355" t="s">
        <v>319</v>
      </c>
      <c r="E1045" s="355"/>
      <c r="F1045" s="357" t="s">
        <v>270</v>
      </c>
      <c r="G1045" s="355">
        <v>5</v>
      </c>
      <c r="H1045" s="355">
        <v>4</v>
      </c>
      <c r="I1045" s="359">
        <v>4873.3</v>
      </c>
      <c r="J1045" s="359">
        <v>2941.2</v>
      </c>
      <c r="K1045" s="359">
        <v>2775.3</v>
      </c>
      <c r="L1045" s="356">
        <v>144</v>
      </c>
      <c r="M1045" s="355" t="s">
        <v>268</v>
      </c>
      <c r="N1045" s="355" t="s">
        <v>272</v>
      </c>
      <c r="O1045" s="354" t="s">
        <v>1337</v>
      </c>
      <c r="P1045" s="353">
        <v>4417275.3499999996</v>
      </c>
      <c r="Q1045" s="353">
        <v>0</v>
      </c>
      <c r="R1045" s="353">
        <v>0</v>
      </c>
      <c r="S1045" s="353">
        <f t="shared" si="314"/>
        <v>4417275.3499999996</v>
      </c>
      <c r="T1045" s="167">
        <f t="shared" si="320"/>
        <v>906.42385036833343</v>
      </c>
      <c r="U1045" s="167">
        <v>1254.6183900026674</v>
      </c>
      <c r="V1045" s="149">
        <f t="shared" si="323"/>
        <v>348.19453963433398</v>
      </c>
      <c r="W1045" s="149">
        <f t="shared" si="315"/>
        <v>1254.6183900026674</v>
      </c>
      <c r="X1045" s="149">
        <v>0</v>
      </c>
      <c r="Y1045" s="368">
        <v>0</v>
      </c>
      <c r="Z1045" s="368">
        <v>0</v>
      </c>
      <c r="AA1045" s="368">
        <v>0</v>
      </c>
      <c r="AB1045" s="368">
        <v>0</v>
      </c>
      <c r="AC1045" s="368">
        <v>0</v>
      </c>
      <c r="AD1045" s="368">
        <v>0</v>
      </c>
      <c r="AE1045" s="368">
        <v>980</v>
      </c>
      <c r="AF1045" s="396">
        <f t="shared" si="322"/>
        <v>1254.6183900026674</v>
      </c>
      <c r="AG1045" s="368">
        <v>0</v>
      </c>
      <c r="AH1045" s="396">
        <v>0</v>
      </c>
      <c r="AI1045" s="368">
        <v>0</v>
      </c>
      <c r="AJ1045" s="396">
        <v>0</v>
      </c>
      <c r="AK1045" s="368">
        <v>0</v>
      </c>
      <c r="AL1045" s="368">
        <v>0</v>
      </c>
      <c r="AM1045" s="368">
        <v>0</v>
      </c>
      <c r="AN1045" s="368"/>
      <c r="AO1045" s="368">
        <v>0</v>
      </c>
    </row>
    <row r="1046" spans="1:41" s="152" customFormat="1" ht="36" customHeight="1" x14ac:dyDescent="0.9">
      <c r="A1046" s="152">
        <v>1</v>
      </c>
      <c r="B1046" s="90">
        <f>SUBTOTAL(103,$A$988:A1046)</f>
        <v>59</v>
      </c>
      <c r="C1046" s="358" t="s">
        <v>534</v>
      </c>
      <c r="D1046" s="355" t="s">
        <v>355</v>
      </c>
      <c r="E1046" s="355"/>
      <c r="F1046" s="357" t="s">
        <v>270</v>
      </c>
      <c r="G1046" s="355" t="s">
        <v>356</v>
      </c>
      <c r="H1046" s="355">
        <v>4</v>
      </c>
      <c r="I1046" s="359">
        <v>3486.3</v>
      </c>
      <c r="J1046" s="359">
        <v>3020.1</v>
      </c>
      <c r="K1046" s="359">
        <v>2123</v>
      </c>
      <c r="L1046" s="356">
        <v>136</v>
      </c>
      <c r="M1046" s="355" t="s">
        <v>268</v>
      </c>
      <c r="N1046" s="355" t="s">
        <v>272</v>
      </c>
      <c r="O1046" s="354" t="s">
        <v>1088</v>
      </c>
      <c r="P1046" s="353">
        <v>4525631.57</v>
      </c>
      <c r="Q1046" s="353">
        <v>0</v>
      </c>
      <c r="R1046" s="353">
        <v>0</v>
      </c>
      <c r="S1046" s="353">
        <f t="shared" si="314"/>
        <v>4525631.57</v>
      </c>
      <c r="T1046" s="167">
        <f t="shared" si="320"/>
        <v>1298.1187993001176</v>
      </c>
      <c r="U1046" s="167">
        <v>1682.1774947652236</v>
      </c>
      <c r="V1046" s="149">
        <f t="shared" si="323"/>
        <v>384.05869546510598</v>
      </c>
      <c r="W1046" s="149">
        <f t="shared" si="315"/>
        <v>1682.1774947652236</v>
      </c>
      <c r="X1046" s="149">
        <v>0</v>
      </c>
      <c r="Y1046" s="368">
        <v>0</v>
      </c>
      <c r="Z1046" s="368">
        <v>0</v>
      </c>
      <c r="AA1046" s="368">
        <v>0</v>
      </c>
      <c r="AB1046" s="368">
        <v>0</v>
      </c>
      <c r="AC1046" s="368">
        <v>0</v>
      </c>
      <c r="AD1046" s="368">
        <v>0</v>
      </c>
      <c r="AE1046" s="368">
        <v>940</v>
      </c>
      <c r="AF1046" s="396">
        <f t="shared" si="322"/>
        <v>1682.1774947652236</v>
      </c>
      <c r="AG1046" s="368">
        <v>0</v>
      </c>
      <c r="AH1046" s="396">
        <v>0</v>
      </c>
      <c r="AI1046" s="368">
        <v>0</v>
      </c>
      <c r="AJ1046" s="396">
        <v>0</v>
      </c>
      <c r="AK1046" s="368">
        <v>0</v>
      </c>
      <c r="AL1046" s="368">
        <v>0</v>
      </c>
      <c r="AM1046" s="368">
        <v>0</v>
      </c>
      <c r="AN1046" s="368"/>
      <c r="AO1046" s="368">
        <v>0</v>
      </c>
    </row>
    <row r="1047" spans="1:41" s="152" customFormat="1" ht="36" customHeight="1" x14ac:dyDescent="0.9">
      <c r="A1047" s="152">
        <v>1</v>
      </c>
      <c r="B1047" s="90">
        <f>SUBTOTAL(103,$A$988:A1047)</f>
        <v>60</v>
      </c>
      <c r="C1047" s="358" t="s">
        <v>540</v>
      </c>
      <c r="D1047" s="355" t="s">
        <v>309</v>
      </c>
      <c r="E1047" s="355"/>
      <c r="F1047" s="357" t="s">
        <v>315</v>
      </c>
      <c r="G1047" s="355" t="s">
        <v>356</v>
      </c>
      <c r="H1047" s="355">
        <v>5</v>
      </c>
      <c r="I1047" s="359">
        <v>3875.8</v>
      </c>
      <c r="J1047" s="359">
        <v>3540</v>
      </c>
      <c r="K1047" s="359">
        <v>2482.6999999999998</v>
      </c>
      <c r="L1047" s="356">
        <v>168</v>
      </c>
      <c r="M1047" s="355" t="s">
        <v>268</v>
      </c>
      <c r="N1047" s="355" t="s">
        <v>272</v>
      </c>
      <c r="O1047" s="354" t="s">
        <v>1088</v>
      </c>
      <c r="P1047" s="353">
        <v>4542018.24</v>
      </c>
      <c r="Q1047" s="353">
        <v>0</v>
      </c>
      <c r="R1047" s="353">
        <v>0</v>
      </c>
      <c r="S1047" s="353">
        <f t="shared" si="314"/>
        <v>4542018.24</v>
      </c>
      <c r="T1047" s="167">
        <f t="shared" si="320"/>
        <v>1171.8918004024974</v>
      </c>
      <c r="U1047" s="167">
        <v>1577.5147840445843</v>
      </c>
      <c r="V1047" s="149">
        <f t="shared" si="323"/>
        <v>405.62298364208687</v>
      </c>
      <c r="W1047" s="149">
        <f t="shared" si="315"/>
        <v>1577.5147840445843</v>
      </c>
      <c r="X1047" s="149">
        <v>0</v>
      </c>
      <c r="Y1047" s="368">
        <v>0</v>
      </c>
      <c r="Z1047" s="368">
        <v>0</v>
      </c>
      <c r="AA1047" s="368">
        <v>0</v>
      </c>
      <c r="AB1047" s="368">
        <v>0</v>
      </c>
      <c r="AC1047" s="368">
        <v>0</v>
      </c>
      <c r="AD1047" s="368">
        <v>0</v>
      </c>
      <c r="AE1047" s="368">
        <v>980</v>
      </c>
      <c r="AF1047" s="396">
        <f t="shared" si="322"/>
        <v>1577.5147840445843</v>
      </c>
      <c r="AG1047" s="368">
        <v>0</v>
      </c>
      <c r="AH1047" s="396">
        <v>0</v>
      </c>
      <c r="AI1047" s="368">
        <v>0</v>
      </c>
      <c r="AJ1047" s="396">
        <v>0</v>
      </c>
      <c r="AK1047" s="368">
        <v>0</v>
      </c>
      <c r="AL1047" s="368">
        <v>0</v>
      </c>
      <c r="AM1047" s="368">
        <v>0</v>
      </c>
      <c r="AN1047" s="368"/>
      <c r="AO1047" s="368">
        <v>0</v>
      </c>
    </row>
    <row r="1048" spans="1:41" s="152" customFormat="1" ht="36" customHeight="1" x14ac:dyDescent="0.9">
      <c r="A1048" s="152">
        <v>1</v>
      </c>
      <c r="B1048" s="90">
        <f>SUBTOTAL(103,$A$988:A1048)</f>
        <v>61</v>
      </c>
      <c r="C1048" s="358" t="s">
        <v>558</v>
      </c>
      <c r="D1048" s="355" t="s">
        <v>366</v>
      </c>
      <c r="E1048" s="355"/>
      <c r="F1048" s="357" t="s">
        <v>270</v>
      </c>
      <c r="G1048" s="355" t="s">
        <v>356</v>
      </c>
      <c r="H1048" s="355">
        <v>3</v>
      </c>
      <c r="I1048" s="359">
        <v>2747.2</v>
      </c>
      <c r="J1048" s="359">
        <v>2475.6</v>
      </c>
      <c r="K1048" s="359">
        <v>2231</v>
      </c>
      <c r="L1048" s="356">
        <v>93</v>
      </c>
      <c r="M1048" s="355" t="s">
        <v>268</v>
      </c>
      <c r="N1048" s="355" t="s">
        <v>272</v>
      </c>
      <c r="O1048" s="354" t="s">
        <v>1089</v>
      </c>
      <c r="P1048" s="353">
        <v>4262836.3</v>
      </c>
      <c r="Q1048" s="353">
        <v>0</v>
      </c>
      <c r="R1048" s="353">
        <v>0</v>
      </c>
      <c r="S1048" s="353">
        <f t="shared" si="314"/>
        <v>4262836.3</v>
      </c>
      <c r="T1048" s="167">
        <f t="shared" si="320"/>
        <v>1551.7022058823529</v>
      </c>
      <c r="U1048" s="167">
        <v>2037.7744405212582</v>
      </c>
      <c r="V1048" s="149">
        <f t="shared" si="323"/>
        <v>486.07223463890523</v>
      </c>
      <c r="W1048" s="149">
        <f t="shared" si="315"/>
        <v>2037.7744405212582</v>
      </c>
      <c r="X1048" s="149">
        <v>0</v>
      </c>
      <c r="Y1048" s="368">
        <v>0</v>
      </c>
      <c r="Z1048" s="368">
        <v>0</v>
      </c>
      <c r="AA1048" s="368">
        <v>0</v>
      </c>
      <c r="AB1048" s="368">
        <v>0</v>
      </c>
      <c r="AC1048" s="368">
        <v>0</v>
      </c>
      <c r="AD1048" s="368">
        <v>0</v>
      </c>
      <c r="AE1048" s="368">
        <v>897.3</v>
      </c>
      <c r="AF1048" s="396">
        <f t="shared" si="322"/>
        <v>2037.7744405212582</v>
      </c>
      <c r="AG1048" s="368">
        <v>0</v>
      </c>
      <c r="AH1048" s="396">
        <v>0</v>
      </c>
      <c r="AI1048" s="368">
        <v>0</v>
      </c>
      <c r="AJ1048" s="396">
        <v>0</v>
      </c>
      <c r="AK1048" s="368">
        <v>0</v>
      </c>
      <c r="AL1048" s="368">
        <v>0</v>
      </c>
      <c r="AM1048" s="368">
        <v>0</v>
      </c>
      <c r="AN1048" s="368"/>
      <c r="AO1048" s="368">
        <v>0</v>
      </c>
    </row>
    <row r="1049" spans="1:41" s="152" customFormat="1" ht="36" customHeight="1" x14ac:dyDescent="0.9">
      <c r="B1049" s="382" t="s">
        <v>769</v>
      </c>
      <c r="C1049" s="388"/>
      <c r="D1049" s="384" t="s">
        <v>903</v>
      </c>
      <c r="E1049" s="163" t="s">
        <v>903</v>
      </c>
      <c r="F1049" s="384" t="s">
        <v>903</v>
      </c>
      <c r="G1049" s="384" t="s">
        <v>903</v>
      </c>
      <c r="H1049" s="163" t="s">
        <v>903</v>
      </c>
      <c r="I1049" s="386">
        <f>SUM(I1050:I1063)</f>
        <v>14993.8</v>
      </c>
      <c r="J1049" s="164">
        <f>SUM(J1050:J1063)</f>
        <v>14020.6</v>
      </c>
      <c r="K1049" s="164">
        <f>SUM(K1050:K1063)</f>
        <v>12867.5</v>
      </c>
      <c r="L1049" s="165">
        <f>SUM(L1050:L1063)</f>
        <v>772</v>
      </c>
      <c r="M1049" s="163" t="s">
        <v>903</v>
      </c>
      <c r="N1049" s="163" t="s">
        <v>903</v>
      </c>
      <c r="O1049" s="166" t="s">
        <v>903</v>
      </c>
      <c r="P1049" s="386">
        <v>44764760.649999999</v>
      </c>
      <c r="Q1049" s="164">
        <f>SUM(Q1050:Q1063)</f>
        <v>0</v>
      </c>
      <c r="R1049" s="164">
        <f>SUM(R1050:R1063)</f>
        <v>0</v>
      </c>
      <c r="S1049" s="164">
        <f>SUM(S1050:S1063)</f>
        <v>44764760.649999999</v>
      </c>
      <c r="T1049" s="387">
        <f t="shared" si="320"/>
        <v>2985.5514045805598</v>
      </c>
      <c r="U1049" s="387">
        <f>MAX(U1050:U1063)</f>
        <v>7807.3294798761599</v>
      </c>
      <c r="V1049" s="149">
        <f t="shared" ref="V1049:V1107" si="324">U1049-T1049</f>
        <v>4821.7780752956005</v>
      </c>
      <c r="W1049" s="149"/>
      <c r="X1049" s="149"/>
      <c r="Y1049" s="368"/>
      <c r="Z1049" s="368"/>
      <c r="AA1049" s="368"/>
      <c r="AB1049" s="368"/>
      <c r="AC1049" s="368"/>
      <c r="AD1049" s="368"/>
      <c r="AE1049" s="368"/>
      <c r="AF1049" s="368"/>
      <c r="AG1049" s="368"/>
      <c r="AH1049" s="368"/>
      <c r="AI1049" s="368"/>
      <c r="AJ1049" s="368"/>
      <c r="AK1049" s="368"/>
      <c r="AL1049" s="368"/>
      <c r="AM1049" s="368"/>
      <c r="AN1049" s="368"/>
      <c r="AO1049" s="368"/>
    </row>
    <row r="1050" spans="1:41" s="152" customFormat="1" ht="36" customHeight="1" x14ac:dyDescent="0.9">
      <c r="A1050" s="152">
        <v>1</v>
      </c>
      <c r="B1050" s="90">
        <f>SUBTOTAL(103,$A$988:A1050)</f>
        <v>62</v>
      </c>
      <c r="C1050" s="89" t="s">
        <v>472</v>
      </c>
      <c r="D1050" s="163">
        <v>1962</v>
      </c>
      <c r="E1050" s="163"/>
      <c r="F1050" s="168" t="s">
        <v>270</v>
      </c>
      <c r="G1050" s="163">
        <v>2</v>
      </c>
      <c r="H1050" s="163">
        <v>2</v>
      </c>
      <c r="I1050" s="164">
        <v>835.9</v>
      </c>
      <c r="J1050" s="164">
        <v>784.2</v>
      </c>
      <c r="K1050" s="164">
        <v>715.8</v>
      </c>
      <c r="L1050" s="165">
        <v>47</v>
      </c>
      <c r="M1050" s="163" t="s">
        <v>268</v>
      </c>
      <c r="N1050" s="163" t="s">
        <v>269</v>
      </c>
      <c r="O1050" s="166" t="s">
        <v>271</v>
      </c>
      <c r="P1050" s="167">
        <v>3951259.39</v>
      </c>
      <c r="Q1050" s="167">
        <v>0</v>
      </c>
      <c r="R1050" s="167">
        <v>0</v>
      </c>
      <c r="S1050" s="167">
        <f t="shared" ref="S1050:S1063" si="325">P1050-Q1050-R1050</f>
        <v>3951259.39</v>
      </c>
      <c r="T1050" s="167">
        <f t="shared" si="320"/>
        <v>4726.9522550544325</v>
      </c>
      <c r="U1050" s="167">
        <v>4839.465538940065</v>
      </c>
      <c r="V1050" s="149">
        <f t="shared" si="324"/>
        <v>112.51328388563252</v>
      </c>
      <c r="W1050" s="149">
        <f t="shared" ref="W1050:W1063" si="326">X1050+Y1050+Z1050+AA1050+AB1050+AD1050+AF1050+AH1050+AJ1050+AL1050+AN1050+AO1050</f>
        <v>4839.465538940065</v>
      </c>
      <c r="X1050" s="149">
        <v>0</v>
      </c>
      <c r="Y1050" s="368">
        <v>0</v>
      </c>
      <c r="Z1050" s="368">
        <v>0</v>
      </c>
      <c r="AA1050" s="368">
        <v>0</v>
      </c>
      <c r="AB1050" s="368">
        <v>0</v>
      </c>
      <c r="AC1050" s="368">
        <v>0</v>
      </c>
      <c r="AD1050" s="368">
        <v>0</v>
      </c>
      <c r="AE1050" s="368">
        <v>648.4</v>
      </c>
      <c r="AF1050" s="396">
        <f t="shared" ref="AF1050:AF1054" si="327">6238.91*AE1050/I1050</f>
        <v>4839.465538940065</v>
      </c>
      <c r="AG1050" s="368">
        <v>0</v>
      </c>
      <c r="AH1050" s="396">
        <v>0</v>
      </c>
      <c r="AI1050" s="368">
        <v>0</v>
      </c>
      <c r="AJ1050" s="396">
        <v>0</v>
      </c>
      <c r="AK1050" s="368">
        <v>0</v>
      </c>
      <c r="AL1050" s="368">
        <v>0</v>
      </c>
      <c r="AM1050" s="368">
        <v>0</v>
      </c>
      <c r="AN1050" s="368"/>
      <c r="AO1050" s="368">
        <v>0</v>
      </c>
    </row>
    <row r="1051" spans="1:41" s="152" customFormat="1" ht="36" customHeight="1" x14ac:dyDescent="0.9">
      <c r="A1051" s="152">
        <v>1</v>
      </c>
      <c r="B1051" s="90">
        <f>SUBTOTAL(103,$A$988:A1051)</f>
        <v>63</v>
      </c>
      <c r="C1051" s="89" t="s">
        <v>473</v>
      </c>
      <c r="D1051" s="163">
        <v>1959</v>
      </c>
      <c r="E1051" s="163"/>
      <c r="F1051" s="168" t="s">
        <v>270</v>
      </c>
      <c r="G1051" s="163">
        <v>2</v>
      </c>
      <c r="H1051" s="163">
        <v>2</v>
      </c>
      <c r="I1051" s="164">
        <v>611</v>
      </c>
      <c r="J1051" s="164">
        <v>564.20000000000005</v>
      </c>
      <c r="K1051" s="164">
        <v>492.1</v>
      </c>
      <c r="L1051" s="165">
        <v>36</v>
      </c>
      <c r="M1051" s="163" t="s">
        <v>268</v>
      </c>
      <c r="N1051" s="163" t="s">
        <v>272</v>
      </c>
      <c r="O1051" s="166" t="s">
        <v>350</v>
      </c>
      <c r="P1051" s="167">
        <v>2999201</v>
      </c>
      <c r="Q1051" s="167">
        <v>0</v>
      </c>
      <c r="R1051" s="167">
        <v>0</v>
      </c>
      <c r="S1051" s="167">
        <f t="shared" si="325"/>
        <v>2999201</v>
      </c>
      <c r="T1051" s="167">
        <f t="shared" si="320"/>
        <v>4908.675941080196</v>
      </c>
      <c r="U1051" s="167">
        <v>5585.4071522094928</v>
      </c>
      <c r="V1051" s="149">
        <f t="shared" si="324"/>
        <v>676.73121112929675</v>
      </c>
      <c r="W1051" s="149">
        <f t="shared" si="326"/>
        <v>5585.4071522094928</v>
      </c>
      <c r="X1051" s="149">
        <v>0</v>
      </c>
      <c r="Y1051" s="368">
        <v>0</v>
      </c>
      <c r="Z1051" s="368">
        <v>0</v>
      </c>
      <c r="AA1051" s="368">
        <v>0</v>
      </c>
      <c r="AB1051" s="368">
        <v>0</v>
      </c>
      <c r="AC1051" s="368">
        <v>0</v>
      </c>
      <c r="AD1051" s="368">
        <v>0</v>
      </c>
      <c r="AE1051" s="368">
        <v>547</v>
      </c>
      <c r="AF1051" s="396">
        <f t="shared" si="327"/>
        <v>5585.4071522094928</v>
      </c>
      <c r="AG1051" s="368">
        <v>0</v>
      </c>
      <c r="AH1051" s="396">
        <v>0</v>
      </c>
      <c r="AI1051" s="368">
        <v>0</v>
      </c>
      <c r="AJ1051" s="396">
        <v>0</v>
      </c>
      <c r="AK1051" s="368">
        <v>0</v>
      </c>
      <c r="AL1051" s="368">
        <v>0</v>
      </c>
      <c r="AM1051" s="368">
        <v>0</v>
      </c>
      <c r="AN1051" s="368"/>
      <c r="AO1051" s="368">
        <v>0</v>
      </c>
    </row>
    <row r="1052" spans="1:41" s="152" customFormat="1" ht="36" customHeight="1" x14ac:dyDescent="0.9">
      <c r="A1052" s="152">
        <v>1</v>
      </c>
      <c r="B1052" s="90">
        <f>SUBTOTAL(103,$A$988:A1052)</f>
        <v>64</v>
      </c>
      <c r="C1052" s="89" t="s">
        <v>474</v>
      </c>
      <c r="D1052" s="163">
        <v>1960</v>
      </c>
      <c r="E1052" s="163"/>
      <c r="F1052" s="168" t="s">
        <v>270</v>
      </c>
      <c r="G1052" s="163">
        <v>2</v>
      </c>
      <c r="H1052" s="163">
        <v>2</v>
      </c>
      <c r="I1052" s="164">
        <v>551.9</v>
      </c>
      <c r="J1052" s="164">
        <v>506.9</v>
      </c>
      <c r="K1052" s="164">
        <v>404</v>
      </c>
      <c r="L1052" s="165">
        <v>27</v>
      </c>
      <c r="M1052" s="163" t="s">
        <v>268</v>
      </c>
      <c r="N1052" s="163" t="s">
        <v>286</v>
      </c>
      <c r="O1052" s="166" t="s">
        <v>271</v>
      </c>
      <c r="P1052" s="167">
        <v>2584541.12</v>
      </c>
      <c r="Q1052" s="167">
        <v>0</v>
      </c>
      <c r="R1052" s="167">
        <v>0</v>
      </c>
      <c r="S1052" s="167">
        <f t="shared" si="325"/>
        <v>2584541.12</v>
      </c>
      <c r="T1052" s="167">
        <f t="shared" si="320"/>
        <v>4682.9880775502816</v>
      </c>
      <c r="U1052" s="167">
        <v>5575.3404819713714</v>
      </c>
      <c r="V1052" s="149">
        <f t="shared" si="324"/>
        <v>892.35240442108989</v>
      </c>
      <c r="W1052" s="149">
        <f t="shared" si="326"/>
        <v>5575.3404819713714</v>
      </c>
      <c r="X1052" s="149">
        <v>0</v>
      </c>
      <c r="Y1052" s="368">
        <v>0</v>
      </c>
      <c r="Z1052" s="368">
        <v>0</v>
      </c>
      <c r="AA1052" s="368">
        <v>0</v>
      </c>
      <c r="AB1052" s="368">
        <v>0</v>
      </c>
      <c r="AC1052" s="368">
        <v>0</v>
      </c>
      <c r="AD1052" s="368">
        <v>0</v>
      </c>
      <c r="AE1052" s="368">
        <v>493.2</v>
      </c>
      <c r="AF1052" s="396">
        <f t="shared" si="327"/>
        <v>5575.3404819713714</v>
      </c>
      <c r="AG1052" s="368">
        <v>0</v>
      </c>
      <c r="AH1052" s="396">
        <v>0</v>
      </c>
      <c r="AI1052" s="368">
        <v>0</v>
      </c>
      <c r="AJ1052" s="396">
        <v>0</v>
      </c>
      <c r="AK1052" s="368">
        <v>0</v>
      </c>
      <c r="AL1052" s="368">
        <v>0</v>
      </c>
      <c r="AM1052" s="368">
        <v>0</v>
      </c>
      <c r="AN1052" s="368"/>
      <c r="AO1052" s="368">
        <v>0</v>
      </c>
    </row>
    <row r="1053" spans="1:41" s="152" customFormat="1" ht="36" customHeight="1" x14ac:dyDescent="0.9">
      <c r="A1053" s="152">
        <v>1</v>
      </c>
      <c r="B1053" s="90">
        <f>SUBTOTAL(103,$A$988:A1053)</f>
        <v>65</v>
      </c>
      <c r="C1053" s="89" t="s">
        <v>475</v>
      </c>
      <c r="D1053" s="163">
        <v>1968</v>
      </c>
      <c r="E1053" s="163"/>
      <c r="F1053" s="168" t="s">
        <v>270</v>
      </c>
      <c r="G1053" s="163">
        <v>5</v>
      </c>
      <c r="H1053" s="163">
        <v>4</v>
      </c>
      <c r="I1053" s="164">
        <v>3425.4</v>
      </c>
      <c r="J1053" s="164">
        <v>3171</v>
      </c>
      <c r="K1053" s="164">
        <v>2995.5</v>
      </c>
      <c r="L1053" s="165">
        <v>208</v>
      </c>
      <c r="M1053" s="163" t="s">
        <v>268</v>
      </c>
      <c r="N1053" s="163" t="s">
        <v>269</v>
      </c>
      <c r="O1053" s="166" t="s">
        <v>271</v>
      </c>
      <c r="P1053" s="167">
        <v>6581549.3999999994</v>
      </c>
      <c r="Q1053" s="167">
        <v>0</v>
      </c>
      <c r="R1053" s="167">
        <v>0</v>
      </c>
      <c r="S1053" s="167">
        <f t="shared" si="325"/>
        <v>6581549.3999999994</v>
      </c>
      <c r="T1053" s="167">
        <f t="shared" si="320"/>
        <v>1921.3958661762128</v>
      </c>
      <c r="U1053" s="167">
        <v>2058.1445378641911</v>
      </c>
      <c r="V1053" s="149">
        <f t="shared" si="324"/>
        <v>136.74867168797823</v>
      </c>
      <c r="W1053" s="149">
        <f t="shared" si="326"/>
        <v>2058.1445378641911</v>
      </c>
      <c r="X1053" s="149">
        <v>0</v>
      </c>
      <c r="Y1053" s="368">
        <v>0</v>
      </c>
      <c r="Z1053" s="368">
        <v>0</v>
      </c>
      <c r="AA1053" s="368">
        <v>0</v>
      </c>
      <c r="AB1053" s="368">
        <v>0</v>
      </c>
      <c r="AC1053" s="368">
        <v>0</v>
      </c>
      <c r="AD1053" s="368">
        <v>0</v>
      </c>
      <c r="AE1053" s="368">
        <v>1130</v>
      </c>
      <c r="AF1053" s="396">
        <f t="shared" si="327"/>
        <v>2058.1445378641911</v>
      </c>
      <c r="AG1053" s="368">
        <v>0</v>
      </c>
      <c r="AH1053" s="396">
        <v>0</v>
      </c>
      <c r="AI1053" s="368">
        <v>0</v>
      </c>
      <c r="AJ1053" s="396">
        <v>0</v>
      </c>
      <c r="AK1053" s="368">
        <v>0</v>
      </c>
      <c r="AL1053" s="368">
        <v>0</v>
      </c>
      <c r="AM1053" s="368">
        <v>0</v>
      </c>
      <c r="AN1053" s="368"/>
      <c r="AO1053" s="368">
        <v>0</v>
      </c>
    </row>
    <row r="1054" spans="1:41" s="152" customFormat="1" ht="36" customHeight="1" x14ac:dyDescent="0.9">
      <c r="A1054" s="152">
        <v>1</v>
      </c>
      <c r="B1054" s="90">
        <f>SUBTOTAL(103,$A$988:A1054)</f>
        <v>66</v>
      </c>
      <c r="C1054" s="89" t="s">
        <v>476</v>
      </c>
      <c r="D1054" s="163">
        <v>1966</v>
      </c>
      <c r="E1054" s="163"/>
      <c r="F1054" s="168" t="s">
        <v>270</v>
      </c>
      <c r="G1054" s="163">
        <v>5</v>
      </c>
      <c r="H1054" s="163">
        <v>3</v>
      </c>
      <c r="I1054" s="164">
        <v>2555.3000000000002</v>
      </c>
      <c r="J1054" s="164">
        <v>2523.1</v>
      </c>
      <c r="K1054" s="164">
        <v>2195.4</v>
      </c>
      <c r="L1054" s="165">
        <v>137</v>
      </c>
      <c r="M1054" s="163" t="s">
        <v>268</v>
      </c>
      <c r="N1054" s="163" t="s">
        <v>269</v>
      </c>
      <c r="O1054" s="166" t="s">
        <v>271</v>
      </c>
      <c r="P1054" s="167">
        <v>4737312</v>
      </c>
      <c r="Q1054" s="167">
        <v>0</v>
      </c>
      <c r="R1054" s="167">
        <v>0</v>
      </c>
      <c r="S1054" s="167">
        <f t="shared" si="325"/>
        <v>4737312</v>
      </c>
      <c r="T1054" s="167">
        <f t="shared" si="320"/>
        <v>1853.9161742261181</v>
      </c>
      <c r="U1054" s="167">
        <v>2109.5050444174854</v>
      </c>
      <c r="V1054" s="149">
        <f t="shared" si="324"/>
        <v>255.58887019136728</v>
      </c>
      <c r="W1054" s="149">
        <f t="shared" si="326"/>
        <v>2109.5050444174854</v>
      </c>
      <c r="X1054" s="149">
        <v>0</v>
      </c>
      <c r="Y1054" s="368">
        <v>0</v>
      </c>
      <c r="Z1054" s="368">
        <v>0</v>
      </c>
      <c r="AA1054" s="368">
        <v>0</v>
      </c>
      <c r="AB1054" s="368">
        <v>0</v>
      </c>
      <c r="AC1054" s="368">
        <v>0</v>
      </c>
      <c r="AD1054" s="368">
        <v>0</v>
      </c>
      <c r="AE1054" s="368">
        <v>864</v>
      </c>
      <c r="AF1054" s="396">
        <f t="shared" si="327"/>
        <v>2109.5050444174854</v>
      </c>
      <c r="AG1054" s="368">
        <v>0</v>
      </c>
      <c r="AH1054" s="396">
        <v>0</v>
      </c>
      <c r="AI1054" s="368">
        <v>0</v>
      </c>
      <c r="AJ1054" s="396">
        <v>0</v>
      </c>
      <c r="AK1054" s="368">
        <v>0</v>
      </c>
      <c r="AL1054" s="368">
        <v>0</v>
      </c>
      <c r="AM1054" s="368">
        <v>0</v>
      </c>
      <c r="AN1054" s="368"/>
      <c r="AO1054" s="368">
        <v>0</v>
      </c>
    </row>
    <row r="1055" spans="1:41" s="152" customFormat="1" ht="36" customHeight="1" x14ac:dyDescent="0.9">
      <c r="A1055" s="152">
        <v>1</v>
      </c>
      <c r="B1055" s="90">
        <f>SUBTOTAL(103,$A$988:A1055)</f>
        <v>67</v>
      </c>
      <c r="C1055" s="89" t="s">
        <v>477</v>
      </c>
      <c r="D1055" s="163">
        <v>1964</v>
      </c>
      <c r="E1055" s="163">
        <v>2008</v>
      </c>
      <c r="F1055" s="168" t="s">
        <v>270</v>
      </c>
      <c r="G1055" s="163">
        <v>4</v>
      </c>
      <c r="H1055" s="163">
        <v>2</v>
      </c>
      <c r="I1055" s="164">
        <v>1368.5</v>
      </c>
      <c r="J1055" s="164">
        <v>1271.5</v>
      </c>
      <c r="K1055" s="164">
        <v>1271.5</v>
      </c>
      <c r="L1055" s="165">
        <v>43</v>
      </c>
      <c r="M1055" s="163" t="s">
        <v>268</v>
      </c>
      <c r="N1055" s="163" t="s">
        <v>348</v>
      </c>
      <c r="O1055" s="166" t="s">
        <v>349</v>
      </c>
      <c r="P1055" s="167">
        <v>491510.45999999996</v>
      </c>
      <c r="Q1055" s="167">
        <v>0</v>
      </c>
      <c r="R1055" s="167">
        <v>0</v>
      </c>
      <c r="S1055" s="167">
        <f t="shared" si="325"/>
        <v>491510.45999999996</v>
      </c>
      <c r="T1055" s="167">
        <f t="shared" si="320"/>
        <v>359.15999999999997</v>
      </c>
      <c r="U1055" s="167">
        <v>359.15999999999997</v>
      </c>
      <c r="V1055" s="149">
        <f t="shared" si="324"/>
        <v>0</v>
      </c>
      <c r="W1055" s="149">
        <f>T1055</f>
        <v>359.15999999999997</v>
      </c>
      <c r="X1055" s="149">
        <v>0</v>
      </c>
      <c r="Y1055" s="368">
        <v>0</v>
      </c>
      <c r="Z1055" s="368">
        <v>0</v>
      </c>
      <c r="AA1055" s="368">
        <v>184.98</v>
      </c>
      <c r="AB1055" s="368">
        <v>0</v>
      </c>
      <c r="AC1055" s="368">
        <v>0</v>
      </c>
      <c r="AD1055" s="368">
        <v>0</v>
      </c>
      <c r="AE1055" s="368">
        <v>0</v>
      </c>
      <c r="AF1055" s="396">
        <v>0</v>
      </c>
      <c r="AG1055" s="368">
        <v>0</v>
      </c>
      <c r="AH1055" s="396">
        <v>0</v>
      </c>
      <c r="AI1055" s="368">
        <v>0</v>
      </c>
      <c r="AJ1055" s="396">
        <v>0</v>
      </c>
      <c r="AK1055" s="368">
        <v>0</v>
      </c>
      <c r="AL1055" s="368">
        <v>0</v>
      </c>
      <c r="AM1055" s="368">
        <v>0</v>
      </c>
      <c r="AN1055" s="368"/>
      <c r="AO1055" s="368">
        <v>0</v>
      </c>
    </row>
    <row r="1056" spans="1:41" s="152" customFormat="1" ht="36" customHeight="1" x14ac:dyDescent="0.9">
      <c r="A1056" s="152">
        <v>1</v>
      </c>
      <c r="B1056" s="90">
        <f>SUBTOTAL(103,$A$988:A1056)</f>
        <v>68</v>
      </c>
      <c r="C1056" s="89" t="s">
        <v>478</v>
      </c>
      <c r="D1056" s="163">
        <v>1960</v>
      </c>
      <c r="E1056" s="163"/>
      <c r="F1056" s="168" t="s">
        <v>270</v>
      </c>
      <c r="G1056" s="163">
        <v>2</v>
      </c>
      <c r="H1056" s="163">
        <v>2</v>
      </c>
      <c r="I1056" s="164">
        <v>694.3</v>
      </c>
      <c r="J1056" s="164">
        <v>646.1</v>
      </c>
      <c r="K1056" s="164">
        <v>646.1</v>
      </c>
      <c r="L1056" s="165">
        <v>42</v>
      </c>
      <c r="M1056" s="163" t="s">
        <v>268</v>
      </c>
      <c r="N1056" s="163" t="s">
        <v>269</v>
      </c>
      <c r="O1056" s="166" t="s">
        <v>271</v>
      </c>
      <c r="P1056" s="167">
        <v>3422817.5799999996</v>
      </c>
      <c r="Q1056" s="167">
        <v>0</v>
      </c>
      <c r="R1056" s="167">
        <v>0</v>
      </c>
      <c r="S1056" s="167">
        <f t="shared" si="325"/>
        <v>3422817.5799999996</v>
      </c>
      <c r="T1056" s="167">
        <f t="shared" si="320"/>
        <v>4929.8827308080081</v>
      </c>
      <c r="U1056" s="167">
        <v>5609.5376013250752</v>
      </c>
      <c r="V1056" s="149">
        <f t="shared" si="324"/>
        <v>679.65487051706714</v>
      </c>
      <c r="W1056" s="149">
        <f t="shared" si="326"/>
        <v>5609.5376013250752</v>
      </c>
      <c r="X1056" s="149">
        <v>0</v>
      </c>
      <c r="Y1056" s="368">
        <v>0</v>
      </c>
      <c r="Z1056" s="368">
        <v>0</v>
      </c>
      <c r="AA1056" s="368">
        <v>0</v>
      </c>
      <c r="AB1056" s="368">
        <v>0</v>
      </c>
      <c r="AC1056" s="368">
        <v>0</v>
      </c>
      <c r="AD1056" s="368">
        <v>0</v>
      </c>
      <c r="AE1056" s="368">
        <v>624.26</v>
      </c>
      <c r="AF1056" s="396">
        <f t="shared" ref="AF1056:AF1063" si="328">6238.91*AE1056/I1056</f>
        <v>5609.5376013250752</v>
      </c>
      <c r="AG1056" s="368">
        <v>0</v>
      </c>
      <c r="AH1056" s="396">
        <v>0</v>
      </c>
      <c r="AI1056" s="368">
        <v>0</v>
      </c>
      <c r="AJ1056" s="396">
        <v>0</v>
      </c>
      <c r="AK1056" s="368">
        <v>0</v>
      </c>
      <c r="AL1056" s="368">
        <v>0</v>
      </c>
      <c r="AM1056" s="368">
        <v>0</v>
      </c>
      <c r="AN1056" s="368"/>
      <c r="AO1056" s="368">
        <v>0</v>
      </c>
    </row>
    <row r="1057" spans="1:41" s="152" customFormat="1" ht="36" customHeight="1" x14ac:dyDescent="0.9">
      <c r="A1057" s="152">
        <v>1</v>
      </c>
      <c r="B1057" s="90">
        <f>SUBTOTAL(103,$A$988:A1057)</f>
        <v>69</v>
      </c>
      <c r="C1057" s="89" t="s">
        <v>479</v>
      </c>
      <c r="D1057" s="163">
        <v>1961</v>
      </c>
      <c r="E1057" s="163"/>
      <c r="F1057" s="168" t="s">
        <v>270</v>
      </c>
      <c r="G1057" s="163">
        <v>2</v>
      </c>
      <c r="H1057" s="163">
        <v>2</v>
      </c>
      <c r="I1057" s="164">
        <v>579.4</v>
      </c>
      <c r="J1057" s="164">
        <v>538.1</v>
      </c>
      <c r="K1057" s="164">
        <v>470.3</v>
      </c>
      <c r="L1057" s="165">
        <v>35</v>
      </c>
      <c r="M1057" s="163" t="s">
        <v>268</v>
      </c>
      <c r="N1057" s="163" t="s">
        <v>286</v>
      </c>
      <c r="O1057" s="166" t="s">
        <v>271</v>
      </c>
      <c r="P1057" s="167">
        <v>2888444.4</v>
      </c>
      <c r="Q1057" s="167">
        <v>0</v>
      </c>
      <c r="R1057" s="167">
        <v>0</v>
      </c>
      <c r="S1057" s="167">
        <f t="shared" si="325"/>
        <v>2888444.4</v>
      </c>
      <c r="T1057" s="167">
        <f t="shared" si="320"/>
        <v>4985.2336900241626</v>
      </c>
      <c r="U1057" s="167">
        <v>5672.5194822229887</v>
      </c>
      <c r="V1057" s="149">
        <f t="shared" si="324"/>
        <v>687.28579219882613</v>
      </c>
      <c r="W1057" s="149">
        <f t="shared" si="326"/>
        <v>5672.5194822229887</v>
      </c>
      <c r="X1057" s="149">
        <v>0</v>
      </c>
      <c r="Y1057" s="368">
        <v>0</v>
      </c>
      <c r="Z1057" s="368">
        <v>0</v>
      </c>
      <c r="AA1057" s="368">
        <v>0</v>
      </c>
      <c r="AB1057" s="368">
        <v>0</v>
      </c>
      <c r="AC1057" s="368">
        <v>0</v>
      </c>
      <c r="AD1057" s="368">
        <v>0</v>
      </c>
      <c r="AE1057" s="368">
        <v>526.79999999999995</v>
      </c>
      <c r="AF1057" s="396">
        <f t="shared" si="328"/>
        <v>5672.5194822229887</v>
      </c>
      <c r="AG1057" s="368">
        <v>0</v>
      </c>
      <c r="AH1057" s="396">
        <v>0</v>
      </c>
      <c r="AI1057" s="368">
        <v>0</v>
      </c>
      <c r="AJ1057" s="396">
        <v>0</v>
      </c>
      <c r="AK1057" s="368">
        <v>0</v>
      </c>
      <c r="AL1057" s="368">
        <v>0</v>
      </c>
      <c r="AM1057" s="368">
        <v>0</v>
      </c>
      <c r="AN1057" s="368"/>
      <c r="AO1057" s="368">
        <v>0</v>
      </c>
    </row>
    <row r="1058" spans="1:41" s="152" customFormat="1" ht="36" customHeight="1" x14ac:dyDescent="0.9">
      <c r="A1058" s="152">
        <v>1</v>
      </c>
      <c r="B1058" s="90">
        <f>SUBTOTAL(103,$A$988:A1058)</f>
        <v>70</v>
      </c>
      <c r="C1058" s="89" t="s">
        <v>480</v>
      </c>
      <c r="D1058" s="163">
        <v>1960</v>
      </c>
      <c r="E1058" s="163"/>
      <c r="F1058" s="168" t="s">
        <v>270</v>
      </c>
      <c r="G1058" s="163">
        <v>2</v>
      </c>
      <c r="H1058" s="163">
        <v>2</v>
      </c>
      <c r="I1058" s="164">
        <v>591.29999999999995</v>
      </c>
      <c r="J1058" s="164">
        <v>542.9</v>
      </c>
      <c r="K1058" s="164">
        <v>477.6</v>
      </c>
      <c r="L1058" s="165">
        <v>27</v>
      </c>
      <c r="M1058" s="163" t="s">
        <v>268</v>
      </c>
      <c r="N1058" s="163" t="s">
        <v>269</v>
      </c>
      <c r="O1058" s="166" t="s">
        <v>271</v>
      </c>
      <c r="P1058" s="167">
        <v>3422817.5799999996</v>
      </c>
      <c r="Q1058" s="167">
        <v>0</v>
      </c>
      <c r="R1058" s="167">
        <v>0</v>
      </c>
      <c r="S1058" s="167">
        <f t="shared" si="325"/>
        <v>3422817.5799999996</v>
      </c>
      <c r="T1058" s="167">
        <f t="shared" si="320"/>
        <v>5788.6311178758669</v>
      </c>
      <c r="U1058" s="167">
        <v>6586.6767404025031</v>
      </c>
      <c r="V1058" s="149">
        <f t="shared" si="324"/>
        <v>798.04562252663618</v>
      </c>
      <c r="W1058" s="149">
        <f t="shared" si="326"/>
        <v>6586.6767404025031</v>
      </c>
      <c r="X1058" s="149">
        <v>0</v>
      </c>
      <c r="Y1058" s="368">
        <v>0</v>
      </c>
      <c r="Z1058" s="368">
        <v>0</v>
      </c>
      <c r="AA1058" s="368">
        <v>0</v>
      </c>
      <c r="AB1058" s="368">
        <v>0</v>
      </c>
      <c r="AC1058" s="368">
        <v>0</v>
      </c>
      <c r="AD1058" s="368">
        <v>0</v>
      </c>
      <c r="AE1058" s="368">
        <v>624.26</v>
      </c>
      <c r="AF1058" s="396">
        <f t="shared" si="328"/>
        <v>6586.6767404025031</v>
      </c>
      <c r="AG1058" s="368">
        <v>0</v>
      </c>
      <c r="AH1058" s="396">
        <v>0</v>
      </c>
      <c r="AI1058" s="368">
        <v>0</v>
      </c>
      <c r="AJ1058" s="396">
        <v>0</v>
      </c>
      <c r="AK1058" s="368">
        <v>0</v>
      </c>
      <c r="AL1058" s="368">
        <v>0</v>
      </c>
      <c r="AM1058" s="368">
        <v>0</v>
      </c>
      <c r="AN1058" s="368"/>
      <c r="AO1058" s="368">
        <v>0</v>
      </c>
    </row>
    <row r="1059" spans="1:41" s="152" customFormat="1" ht="36" customHeight="1" x14ac:dyDescent="0.9">
      <c r="A1059" s="152">
        <v>1</v>
      </c>
      <c r="B1059" s="90">
        <f>SUBTOTAL(103,$A$988:A1059)</f>
        <v>71</v>
      </c>
      <c r="C1059" s="89" t="s">
        <v>481</v>
      </c>
      <c r="D1059" s="163">
        <v>1962</v>
      </c>
      <c r="E1059" s="163"/>
      <c r="F1059" s="168" t="s">
        <v>270</v>
      </c>
      <c r="G1059" s="163">
        <v>2</v>
      </c>
      <c r="H1059" s="163">
        <v>2</v>
      </c>
      <c r="I1059" s="164">
        <v>588.1</v>
      </c>
      <c r="J1059" s="164">
        <v>540</v>
      </c>
      <c r="K1059" s="164">
        <v>500</v>
      </c>
      <c r="L1059" s="165">
        <v>26</v>
      </c>
      <c r="M1059" s="163" t="s">
        <v>268</v>
      </c>
      <c r="N1059" s="163" t="s">
        <v>269</v>
      </c>
      <c r="O1059" s="166" t="s">
        <v>271</v>
      </c>
      <c r="P1059" s="167">
        <v>3106903.4</v>
      </c>
      <c r="Q1059" s="167">
        <v>0</v>
      </c>
      <c r="R1059" s="167">
        <v>0</v>
      </c>
      <c r="S1059" s="167">
        <f t="shared" si="325"/>
        <v>3106903.4</v>
      </c>
      <c r="T1059" s="167">
        <f t="shared" si="320"/>
        <v>5282.9508586974998</v>
      </c>
      <c r="U1059" s="167">
        <v>5780.088613331066</v>
      </c>
      <c r="V1059" s="149">
        <f t="shared" si="324"/>
        <v>497.13775463356615</v>
      </c>
      <c r="W1059" s="149">
        <f t="shared" si="326"/>
        <v>5780.088613331066</v>
      </c>
      <c r="X1059" s="149">
        <v>0</v>
      </c>
      <c r="Y1059" s="368">
        <v>0</v>
      </c>
      <c r="Z1059" s="368">
        <v>0</v>
      </c>
      <c r="AA1059" s="368">
        <v>0</v>
      </c>
      <c r="AB1059" s="368">
        <v>0</v>
      </c>
      <c r="AC1059" s="368">
        <v>0</v>
      </c>
      <c r="AD1059" s="368">
        <v>0</v>
      </c>
      <c r="AE1059" s="368">
        <v>544.85</v>
      </c>
      <c r="AF1059" s="396">
        <f t="shared" si="328"/>
        <v>5780.088613331066</v>
      </c>
      <c r="AG1059" s="368">
        <v>0</v>
      </c>
      <c r="AH1059" s="396">
        <v>0</v>
      </c>
      <c r="AI1059" s="368">
        <v>0</v>
      </c>
      <c r="AJ1059" s="396">
        <v>0</v>
      </c>
      <c r="AK1059" s="368">
        <v>0</v>
      </c>
      <c r="AL1059" s="368">
        <v>0</v>
      </c>
      <c r="AM1059" s="368">
        <v>0</v>
      </c>
      <c r="AN1059" s="368"/>
      <c r="AO1059" s="368">
        <v>0</v>
      </c>
    </row>
    <row r="1060" spans="1:41" s="152" customFormat="1" ht="36" customHeight="1" x14ac:dyDescent="0.9">
      <c r="A1060" s="152">
        <v>1</v>
      </c>
      <c r="B1060" s="90">
        <f>SUBTOTAL(103,$A$988:A1060)</f>
        <v>72</v>
      </c>
      <c r="C1060" s="89" t="s">
        <v>1720</v>
      </c>
      <c r="D1060" s="163">
        <v>1964</v>
      </c>
      <c r="E1060" s="163"/>
      <c r="F1060" s="168" t="s">
        <v>270</v>
      </c>
      <c r="G1060" s="163">
        <v>2</v>
      </c>
      <c r="H1060" s="163">
        <v>2</v>
      </c>
      <c r="I1060" s="164">
        <v>420</v>
      </c>
      <c r="J1060" s="164">
        <v>380.1</v>
      </c>
      <c r="K1060" s="164">
        <f>380.1-43.1</f>
        <v>337</v>
      </c>
      <c r="L1060" s="165">
        <v>21</v>
      </c>
      <c r="M1060" s="163" t="s">
        <v>268</v>
      </c>
      <c r="N1060" s="163" t="s">
        <v>269</v>
      </c>
      <c r="O1060" s="166" t="s">
        <v>271</v>
      </c>
      <c r="P1060" s="167">
        <v>2564145.2799999998</v>
      </c>
      <c r="Q1060" s="167">
        <v>0</v>
      </c>
      <c r="R1060" s="167">
        <v>0</v>
      </c>
      <c r="S1060" s="167">
        <f t="shared" si="325"/>
        <v>2564145.2799999998</v>
      </c>
      <c r="T1060" s="167">
        <f t="shared" si="320"/>
        <v>6105.107809523809</v>
      </c>
      <c r="U1060" s="167">
        <v>6105.107809523809</v>
      </c>
      <c r="V1060" s="149">
        <f t="shared" si="324"/>
        <v>0</v>
      </c>
      <c r="W1060" s="149">
        <f>T1060</f>
        <v>6105.107809523809</v>
      </c>
      <c r="X1060" s="149">
        <v>0</v>
      </c>
      <c r="Y1060" s="368">
        <v>0</v>
      </c>
      <c r="Z1060" s="368">
        <v>0</v>
      </c>
      <c r="AA1060" s="368">
        <v>0</v>
      </c>
      <c r="AB1060" s="368">
        <v>0</v>
      </c>
      <c r="AC1060" s="368">
        <v>0</v>
      </c>
      <c r="AD1060" s="368">
        <v>0</v>
      </c>
      <c r="AE1060" s="368">
        <v>375</v>
      </c>
      <c r="AF1060" s="396">
        <f>6436.53*AE1060/I1060</f>
        <v>5746.9017857142853</v>
      </c>
      <c r="AG1060" s="368">
        <v>0</v>
      </c>
      <c r="AH1060" s="396">
        <v>0</v>
      </c>
      <c r="AI1060" s="368">
        <v>0</v>
      </c>
      <c r="AJ1060" s="396">
        <v>0</v>
      </c>
      <c r="AK1060" s="368">
        <v>0</v>
      </c>
      <c r="AL1060" s="368">
        <v>0</v>
      </c>
      <c r="AM1060" s="368">
        <v>0</v>
      </c>
      <c r="AN1060" s="368"/>
      <c r="AO1060" s="368">
        <v>0</v>
      </c>
    </row>
    <row r="1061" spans="1:41" s="152" customFormat="1" ht="61.5" x14ac:dyDescent="0.9">
      <c r="A1061" s="152">
        <v>1</v>
      </c>
      <c r="B1061" s="90">
        <f>SUBTOTAL(103,$A$988:A1061)</f>
        <v>73</v>
      </c>
      <c r="C1061" s="89" t="s">
        <v>483</v>
      </c>
      <c r="D1061" s="163">
        <v>1965</v>
      </c>
      <c r="E1061" s="163"/>
      <c r="F1061" s="168" t="s">
        <v>270</v>
      </c>
      <c r="G1061" s="163">
        <v>4</v>
      </c>
      <c r="H1061" s="163">
        <v>3</v>
      </c>
      <c r="I1061" s="164">
        <v>2028.5</v>
      </c>
      <c r="J1061" s="164">
        <v>1881.3</v>
      </c>
      <c r="K1061" s="164">
        <v>1691</v>
      </c>
      <c r="L1061" s="165">
        <v>86</v>
      </c>
      <c r="M1061" s="163" t="s">
        <v>268</v>
      </c>
      <c r="N1061" s="163" t="s">
        <v>272</v>
      </c>
      <c r="O1061" s="166" t="s">
        <v>344</v>
      </c>
      <c r="P1061" s="167">
        <v>3110189.0700000003</v>
      </c>
      <c r="Q1061" s="167">
        <v>0</v>
      </c>
      <c r="R1061" s="167">
        <v>0</v>
      </c>
      <c r="S1061" s="167">
        <f t="shared" si="325"/>
        <v>3110189.0700000003</v>
      </c>
      <c r="T1061" s="167">
        <f t="shared" si="320"/>
        <v>1533.2457825979789</v>
      </c>
      <c r="U1061" s="167">
        <v>1682.3681390189795</v>
      </c>
      <c r="V1061" s="149">
        <f t="shared" si="324"/>
        <v>149.12235642100063</v>
      </c>
      <c r="W1061" s="149">
        <f t="shared" si="326"/>
        <v>1682.3681390189795</v>
      </c>
      <c r="X1061" s="149">
        <v>0</v>
      </c>
      <c r="Y1061" s="368">
        <v>0</v>
      </c>
      <c r="Z1061" s="368">
        <v>0</v>
      </c>
      <c r="AA1061" s="368">
        <v>0</v>
      </c>
      <c r="AB1061" s="368">
        <v>0</v>
      </c>
      <c r="AC1061" s="368">
        <v>0</v>
      </c>
      <c r="AD1061" s="368">
        <v>0</v>
      </c>
      <c r="AE1061" s="368">
        <v>547</v>
      </c>
      <c r="AF1061" s="396">
        <f t="shared" si="328"/>
        <v>1682.3681390189795</v>
      </c>
      <c r="AG1061" s="368">
        <v>0</v>
      </c>
      <c r="AH1061" s="396">
        <v>0</v>
      </c>
      <c r="AI1061" s="368">
        <v>0</v>
      </c>
      <c r="AJ1061" s="396">
        <v>0</v>
      </c>
      <c r="AK1061" s="368">
        <v>0</v>
      </c>
      <c r="AL1061" s="368">
        <v>0</v>
      </c>
      <c r="AM1061" s="368">
        <v>0</v>
      </c>
      <c r="AN1061" s="368"/>
      <c r="AO1061" s="368">
        <v>0</v>
      </c>
    </row>
    <row r="1062" spans="1:41" s="152" customFormat="1" ht="36" customHeight="1" x14ac:dyDescent="0.9">
      <c r="A1062" s="152">
        <v>1</v>
      </c>
      <c r="B1062" s="90">
        <f>SUBTOTAL(103,$A$988:A1062)</f>
        <v>74</v>
      </c>
      <c r="C1062" s="89" t="s">
        <v>484</v>
      </c>
      <c r="D1062" s="163">
        <v>1951</v>
      </c>
      <c r="E1062" s="163"/>
      <c r="F1062" s="168" t="s">
        <v>328</v>
      </c>
      <c r="G1062" s="163">
        <v>2</v>
      </c>
      <c r="H1062" s="163">
        <v>2</v>
      </c>
      <c r="I1062" s="164">
        <v>421.2</v>
      </c>
      <c r="J1062" s="164">
        <v>379.5</v>
      </c>
      <c r="K1062" s="164">
        <v>379.5</v>
      </c>
      <c r="L1062" s="165">
        <v>21</v>
      </c>
      <c r="M1062" s="163" t="s">
        <v>268</v>
      </c>
      <c r="N1062" s="163" t="s">
        <v>269</v>
      </c>
      <c r="O1062" s="166" t="s">
        <v>271</v>
      </c>
      <c r="P1062" s="167">
        <v>2521758.64</v>
      </c>
      <c r="Q1062" s="167">
        <v>0</v>
      </c>
      <c r="R1062" s="167">
        <v>0</v>
      </c>
      <c r="S1062" s="167">
        <f t="shared" si="325"/>
        <v>2521758.64</v>
      </c>
      <c r="T1062" s="167">
        <f t="shared" si="320"/>
        <v>5987.0812915479582</v>
      </c>
      <c r="U1062" s="167">
        <v>6088.7251025641026</v>
      </c>
      <c r="V1062" s="149">
        <f t="shared" si="324"/>
        <v>101.64381101614435</v>
      </c>
      <c r="W1062" s="149">
        <f t="shared" si="326"/>
        <v>6088.7251025641026</v>
      </c>
      <c r="X1062" s="149">
        <v>0</v>
      </c>
      <c r="Y1062" s="368">
        <v>0</v>
      </c>
      <c r="Z1062" s="368">
        <v>0</v>
      </c>
      <c r="AA1062" s="368">
        <v>0</v>
      </c>
      <c r="AB1062" s="368">
        <v>0</v>
      </c>
      <c r="AC1062" s="368">
        <v>0</v>
      </c>
      <c r="AD1062" s="368">
        <v>0</v>
      </c>
      <c r="AE1062" s="368">
        <v>398.44</v>
      </c>
      <c r="AF1062" s="396">
        <f>6436.53*AE1062/I1062</f>
        <v>6088.7251025641026</v>
      </c>
      <c r="AG1062" s="368">
        <v>0</v>
      </c>
      <c r="AH1062" s="396">
        <v>0</v>
      </c>
      <c r="AI1062" s="368">
        <v>0</v>
      </c>
      <c r="AJ1062" s="396">
        <v>0</v>
      </c>
      <c r="AK1062" s="368">
        <v>0</v>
      </c>
      <c r="AL1062" s="368">
        <v>0</v>
      </c>
      <c r="AM1062" s="368">
        <v>0</v>
      </c>
      <c r="AN1062" s="368"/>
      <c r="AO1062" s="368">
        <v>0</v>
      </c>
    </row>
    <row r="1063" spans="1:41" s="152" customFormat="1" ht="36" customHeight="1" x14ac:dyDescent="0.9">
      <c r="A1063" s="152">
        <v>1</v>
      </c>
      <c r="B1063" s="90">
        <f>SUBTOTAL(103,$A$988:A1063)</f>
        <v>75</v>
      </c>
      <c r="C1063" s="89" t="s">
        <v>1615</v>
      </c>
      <c r="D1063" s="163">
        <v>1967</v>
      </c>
      <c r="E1063" s="163"/>
      <c r="F1063" s="168" t="s">
        <v>1619</v>
      </c>
      <c r="G1063" s="163">
        <v>2</v>
      </c>
      <c r="H1063" s="163">
        <v>2</v>
      </c>
      <c r="I1063" s="164">
        <v>323</v>
      </c>
      <c r="J1063" s="164">
        <v>291.7</v>
      </c>
      <c r="K1063" s="164">
        <f>J1063</f>
        <v>291.7</v>
      </c>
      <c r="L1063" s="165">
        <v>16</v>
      </c>
      <c r="M1063" s="163" t="s">
        <v>268</v>
      </c>
      <c r="N1063" s="163" t="s">
        <v>269</v>
      </c>
      <c r="O1063" s="166" t="s">
        <v>271</v>
      </c>
      <c r="P1063" s="167">
        <v>2382311.33</v>
      </c>
      <c r="Q1063" s="167">
        <v>0</v>
      </c>
      <c r="R1063" s="167">
        <v>0</v>
      </c>
      <c r="S1063" s="167">
        <f t="shared" si="325"/>
        <v>2382311.33</v>
      </c>
      <c r="T1063" s="167">
        <f t="shared" si="320"/>
        <v>7375.5768730650161</v>
      </c>
      <c r="U1063" s="167">
        <v>7807.3294798761599</v>
      </c>
      <c r="V1063" s="149">
        <f t="shared" si="324"/>
        <v>431.75260681114378</v>
      </c>
      <c r="W1063" s="149">
        <f t="shared" si="326"/>
        <v>7807.3294798761599</v>
      </c>
      <c r="X1063" s="149">
        <v>0</v>
      </c>
      <c r="Y1063" s="368">
        <v>0</v>
      </c>
      <c r="Z1063" s="368">
        <v>0</v>
      </c>
      <c r="AA1063" s="368">
        <v>0</v>
      </c>
      <c r="AB1063" s="368">
        <v>0</v>
      </c>
      <c r="AC1063" s="368">
        <v>0</v>
      </c>
      <c r="AD1063" s="368">
        <v>0</v>
      </c>
      <c r="AE1063" s="368">
        <v>404.2</v>
      </c>
      <c r="AF1063" s="396">
        <f t="shared" si="328"/>
        <v>7807.3294798761599</v>
      </c>
      <c r="AG1063" s="368">
        <v>0</v>
      </c>
      <c r="AH1063" s="396">
        <v>0</v>
      </c>
      <c r="AI1063" s="368">
        <v>0</v>
      </c>
      <c r="AJ1063" s="396">
        <v>0</v>
      </c>
      <c r="AK1063" s="368">
        <v>0</v>
      </c>
      <c r="AL1063" s="368">
        <v>0</v>
      </c>
      <c r="AM1063" s="368">
        <v>0</v>
      </c>
      <c r="AN1063" s="368"/>
      <c r="AO1063" s="368">
        <v>0</v>
      </c>
    </row>
    <row r="1064" spans="1:41" s="152" customFormat="1" ht="36" customHeight="1" x14ac:dyDescent="0.9">
      <c r="B1064" s="382" t="s">
        <v>770</v>
      </c>
      <c r="C1064" s="388"/>
      <c r="D1064" s="384" t="s">
        <v>903</v>
      </c>
      <c r="E1064" s="163" t="s">
        <v>903</v>
      </c>
      <c r="F1064" s="384" t="s">
        <v>903</v>
      </c>
      <c r="G1064" s="384" t="s">
        <v>903</v>
      </c>
      <c r="H1064" s="163" t="s">
        <v>903</v>
      </c>
      <c r="I1064" s="386">
        <f>SUM(I1065:I1090)</f>
        <v>50994.9</v>
      </c>
      <c r="J1064" s="164">
        <f>SUM(J1065:J1090)</f>
        <v>44145.490000000005</v>
      </c>
      <c r="K1064" s="164">
        <f>SUM(K1065:K1090)</f>
        <v>40738.989999999991</v>
      </c>
      <c r="L1064" s="165">
        <f>SUM(L1065:L1090)</f>
        <v>2143</v>
      </c>
      <c r="M1064" s="163" t="s">
        <v>903</v>
      </c>
      <c r="N1064" s="163" t="s">
        <v>903</v>
      </c>
      <c r="O1064" s="166" t="s">
        <v>903</v>
      </c>
      <c r="P1064" s="386">
        <v>87295266.429999992</v>
      </c>
      <c r="Q1064" s="164">
        <f>SUM(Q1065:Q1090)</f>
        <v>0</v>
      </c>
      <c r="R1064" s="164">
        <f>SUM(R1065:R1090)</f>
        <v>0</v>
      </c>
      <c r="S1064" s="164">
        <f>SUM(S1065:S1090)</f>
        <v>87295266.429999992</v>
      </c>
      <c r="T1064" s="387">
        <f t="shared" si="320"/>
        <v>1711.8430750918228</v>
      </c>
      <c r="U1064" s="387">
        <f>MAX(U1065:U1090)</f>
        <v>7083.4196043248921</v>
      </c>
      <c r="V1064" s="149">
        <f t="shared" si="324"/>
        <v>5371.5765292330689</v>
      </c>
      <c r="W1064" s="149"/>
      <c r="X1064" s="149"/>
      <c r="Y1064" s="368"/>
      <c r="Z1064" s="368"/>
      <c r="AA1064" s="368"/>
      <c r="AB1064" s="368"/>
      <c r="AC1064" s="368"/>
      <c r="AD1064" s="368"/>
      <c r="AE1064" s="368"/>
      <c r="AF1064" s="368"/>
      <c r="AG1064" s="368"/>
      <c r="AH1064" s="368"/>
      <c r="AI1064" s="368"/>
      <c r="AJ1064" s="368"/>
      <c r="AK1064" s="368"/>
      <c r="AL1064" s="368"/>
      <c r="AM1064" s="368"/>
      <c r="AN1064" s="368"/>
      <c r="AO1064" s="368"/>
    </row>
    <row r="1065" spans="1:41" s="152" customFormat="1" ht="36" customHeight="1" x14ac:dyDescent="0.9">
      <c r="A1065" s="152">
        <v>1</v>
      </c>
      <c r="B1065" s="90">
        <f>SUBTOTAL(103,$A$988:A1065)</f>
        <v>76</v>
      </c>
      <c r="C1065" s="89" t="s">
        <v>429</v>
      </c>
      <c r="D1065" s="163">
        <v>1959</v>
      </c>
      <c r="E1065" s="163"/>
      <c r="F1065" s="168" t="s">
        <v>270</v>
      </c>
      <c r="G1065" s="163">
        <v>3</v>
      </c>
      <c r="H1065" s="163">
        <v>4</v>
      </c>
      <c r="I1065" s="164">
        <v>2095.6</v>
      </c>
      <c r="J1065" s="164">
        <v>1915.7</v>
      </c>
      <c r="K1065" s="164">
        <v>1915.7</v>
      </c>
      <c r="L1065" s="165">
        <v>69</v>
      </c>
      <c r="M1065" s="163" t="s">
        <v>268</v>
      </c>
      <c r="N1065" s="163" t="s">
        <v>272</v>
      </c>
      <c r="O1065" s="166" t="s">
        <v>329</v>
      </c>
      <c r="P1065" s="167">
        <v>4337224.8899999997</v>
      </c>
      <c r="Q1065" s="167">
        <v>0</v>
      </c>
      <c r="R1065" s="167">
        <v>0</v>
      </c>
      <c r="S1065" s="167">
        <f t="shared" ref="S1065:S1090" si="329">P1065-Q1065-R1065</f>
        <v>4337224.8899999997</v>
      </c>
      <c r="T1065" s="167">
        <f t="shared" si="320"/>
        <v>2069.6816615766365</v>
      </c>
      <c r="U1065" s="167">
        <v>2768.7470414201184</v>
      </c>
      <c r="V1065" s="149">
        <f t="shared" si="324"/>
        <v>699.06537984348188</v>
      </c>
      <c r="W1065" s="149">
        <f t="shared" ref="W1065:W1090" si="330">X1065+Y1065+Z1065+AA1065+AB1065+AD1065+AF1065+AH1065+AJ1065+AL1065+AN1065+AO1065</f>
        <v>2768.7470414201184</v>
      </c>
      <c r="X1065" s="149">
        <v>0</v>
      </c>
      <c r="Y1065" s="368">
        <v>0</v>
      </c>
      <c r="Z1065" s="368">
        <v>0</v>
      </c>
      <c r="AA1065" s="368">
        <v>0</v>
      </c>
      <c r="AB1065" s="368">
        <v>0</v>
      </c>
      <c r="AC1065" s="368">
        <v>0</v>
      </c>
      <c r="AD1065" s="368">
        <v>0</v>
      </c>
      <c r="AE1065" s="368">
        <v>930</v>
      </c>
      <c r="AF1065" s="396">
        <f t="shared" ref="AF1065:AF1067" si="331">6238.91*AE1065/I1065</f>
        <v>2768.7470414201184</v>
      </c>
      <c r="AG1065" s="368">
        <v>0</v>
      </c>
      <c r="AH1065" s="396">
        <v>0</v>
      </c>
      <c r="AI1065" s="368">
        <v>0</v>
      </c>
      <c r="AJ1065" s="396">
        <v>0</v>
      </c>
      <c r="AK1065" s="368">
        <v>0</v>
      </c>
      <c r="AL1065" s="368">
        <v>0</v>
      </c>
      <c r="AM1065" s="368">
        <v>0</v>
      </c>
      <c r="AN1065" s="368"/>
      <c r="AO1065" s="368">
        <v>0</v>
      </c>
    </row>
    <row r="1066" spans="1:41" s="152" customFormat="1" ht="36" customHeight="1" x14ac:dyDescent="0.9">
      <c r="A1066" s="152">
        <v>1</v>
      </c>
      <c r="B1066" s="90">
        <f>SUBTOTAL(103,$A$988:A1066)</f>
        <v>77</v>
      </c>
      <c r="C1066" s="89" t="s">
        <v>430</v>
      </c>
      <c r="D1066" s="163">
        <v>1989</v>
      </c>
      <c r="E1066" s="163"/>
      <c r="F1066" s="168" t="s">
        <v>270</v>
      </c>
      <c r="G1066" s="163">
        <v>5</v>
      </c>
      <c r="H1066" s="163">
        <v>3</v>
      </c>
      <c r="I1066" s="164">
        <v>2042.1</v>
      </c>
      <c r="J1066" s="164">
        <v>1708.9</v>
      </c>
      <c r="K1066" s="164">
        <v>1675.9</v>
      </c>
      <c r="L1066" s="165">
        <v>86</v>
      </c>
      <c r="M1066" s="163" t="s">
        <v>268</v>
      </c>
      <c r="N1066" s="163" t="s">
        <v>272</v>
      </c>
      <c r="O1066" s="166" t="s">
        <v>1004</v>
      </c>
      <c r="P1066" s="167">
        <v>2714283.9</v>
      </c>
      <c r="Q1066" s="167">
        <v>0</v>
      </c>
      <c r="R1066" s="167">
        <v>0</v>
      </c>
      <c r="S1066" s="167">
        <f t="shared" si="329"/>
        <v>2714283.9</v>
      </c>
      <c r="T1066" s="167">
        <f t="shared" si="320"/>
        <v>1329.1630674305861</v>
      </c>
      <c r="U1066" s="167">
        <v>1814.755663287792</v>
      </c>
      <c r="V1066" s="149">
        <f t="shared" si="324"/>
        <v>485.59259585720588</v>
      </c>
      <c r="W1066" s="149">
        <f t="shared" si="330"/>
        <v>1814.755663287792</v>
      </c>
      <c r="X1066" s="149">
        <v>0</v>
      </c>
      <c r="Y1066" s="368">
        <v>0</v>
      </c>
      <c r="Z1066" s="368">
        <v>0</v>
      </c>
      <c r="AA1066" s="368">
        <v>0</v>
      </c>
      <c r="AB1066" s="368">
        <v>0</v>
      </c>
      <c r="AC1066" s="368">
        <v>0</v>
      </c>
      <c r="AD1066" s="368">
        <v>0</v>
      </c>
      <c r="AE1066" s="368">
        <v>594</v>
      </c>
      <c r="AF1066" s="396">
        <f t="shared" si="331"/>
        <v>1814.755663287792</v>
      </c>
      <c r="AG1066" s="368">
        <v>0</v>
      </c>
      <c r="AH1066" s="396">
        <v>0</v>
      </c>
      <c r="AI1066" s="368">
        <v>0</v>
      </c>
      <c r="AJ1066" s="396">
        <v>0</v>
      </c>
      <c r="AK1066" s="368">
        <v>0</v>
      </c>
      <c r="AL1066" s="368">
        <v>0</v>
      </c>
      <c r="AM1066" s="368">
        <v>0</v>
      </c>
      <c r="AN1066" s="368"/>
      <c r="AO1066" s="368">
        <v>0</v>
      </c>
    </row>
    <row r="1067" spans="1:41" s="152" customFormat="1" ht="36" customHeight="1" x14ac:dyDescent="0.9">
      <c r="A1067" s="152">
        <v>1</v>
      </c>
      <c r="B1067" s="90">
        <f>SUBTOTAL(103,$A$988:A1067)</f>
        <v>78</v>
      </c>
      <c r="C1067" s="89" t="s">
        <v>431</v>
      </c>
      <c r="D1067" s="163">
        <v>1972</v>
      </c>
      <c r="E1067" s="163"/>
      <c r="F1067" s="168" t="s">
        <v>270</v>
      </c>
      <c r="G1067" s="163">
        <v>5</v>
      </c>
      <c r="H1067" s="163">
        <v>4</v>
      </c>
      <c r="I1067" s="164">
        <v>3577.12</v>
      </c>
      <c r="J1067" s="164">
        <v>3193.8</v>
      </c>
      <c r="K1067" s="164">
        <v>2940.98</v>
      </c>
      <c r="L1067" s="165">
        <v>152</v>
      </c>
      <c r="M1067" s="163" t="s">
        <v>268</v>
      </c>
      <c r="N1067" s="163" t="s">
        <v>272</v>
      </c>
      <c r="O1067" s="166" t="s">
        <v>332</v>
      </c>
      <c r="P1067" s="167">
        <v>5214319.6899999995</v>
      </c>
      <c r="Q1067" s="167">
        <v>0</v>
      </c>
      <c r="R1067" s="167">
        <v>0</v>
      </c>
      <c r="S1067" s="167">
        <f t="shared" si="329"/>
        <v>5214319.6899999995</v>
      </c>
      <c r="T1067" s="167">
        <f t="shared" si="320"/>
        <v>1457.6865439236033</v>
      </c>
      <c r="U1067" s="167">
        <v>1949.9209923066601</v>
      </c>
      <c r="V1067" s="149">
        <f t="shared" si="324"/>
        <v>492.23444838305682</v>
      </c>
      <c r="W1067" s="149">
        <f t="shared" si="330"/>
        <v>1949.9209923066601</v>
      </c>
      <c r="X1067" s="149">
        <v>0</v>
      </c>
      <c r="Y1067" s="368">
        <v>0</v>
      </c>
      <c r="Z1067" s="368">
        <v>0</v>
      </c>
      <c r="AA1067" s="368">
        <v>0</v>
      </c>
      <c r="AB1067" s="368">
        <v>0</v>
      </c>
      <c r="AC1067" s="368">
        <v>0</v>
      </c>
      <c r="AD1067" s="368">
        <v>0</v>
      </c>
      <c r="AE1067" s="368">
        <v>1118</v>
      </c>
      <c r="AF1067" s="396">
        <f t="shared" si="331"/>
        <v>1949.9209923066601</v>
      </c>
      <c r="AG1067" s="368">
        <v>0</v>
      </c>
      <c r="AH1067" s="396">
        <v>0</v>
      </c>
      <c r="AI1067" s="368">
        <v>0</v>
      </c>
      <c r="AJ1067" s="396">
        <v>0</v>
      </c>
      <c r="AK1067" s="368">
        <v>0</v>
      </c>
      <c r="AL1067" s="368">
        <v>0</v>
      </c>
      <c r="AM1067" s="368">
        <v>0</v>
      </c>
      <c r="AN1067" s="368"/>
      <c r="AO1067" s="368">
        <v>0</v>
      </c>
    </row>
    <row r="1068" spans="1:41" s="152" customFormat="1" ht="36" customHeight="1" x14ac:dyDescent="0.9">
      <c r="A1068" s="152">
        <v>1</v>
      </c>
      <c r="B1068" s="90">
        <f>SUBTOTAL(103,$A$988:A1068)</f>
        <v>79</v>
      </c>
      <c r="C1068" s="89" t="s">
        <v>432</v>
      </c>
      <c r="D1068" s="163">
        <v>1955</v>
      </c>
      <c r="E1068" s="163"/>
      <c r="F1068" s="168" t="s">
        <v>270</v>
      </c>
      <c r="G1068" s="163">
        <v>2</v>
      </c>
      <c r="H1068" s="163">
        <v>3</v>
      </c>
      <c r="I1068" s="164">
        <v>1501.5</v>
      </c>
      <c r="J1068" s="164">
        <v>1386.8</v>
      </c>
      <c r="K1068" s="164">
        <v>1250.54</v>
      </c>
      <c r="L1068" s="165">
        <v>57</v>
      </c>
      <c r="M1068" s="163" t="s">
        <v>268</v>
      </c>
      <c r="N1068" s="163" t="s">
        <v>272</v>
      </c>
      <c r="O1068" s="166" t="s">
        <v>332</v>
      </c>
      <c r="P1068" s="167">
        <v>5749950</v>
      </c>
      <c r="Q1068" s="167">
        <v>0</v>
      </c>
      <c r="R1068" s="167">
        <v>0</v>
      </c>
      <c r="S1068" s="167">
        <f t="shared" si="329"/>
        <v>5749950</v>
      </c>
      <c r="T1068" s="167">
        <f t="shared" si="320"/>
        <v>3829.4705294705295</v>
      </c>
      <c r="U1068" s="167">
        <v>5202.1678321678319</v>
      </c>
      <c r="V1068" s="149">
        <f t="shared" si="324"/>
        <v>1372.6973026973023</v>
      </c>
      <c r="W1068" s="149">
        <f t="shared" si="330"/>
        <v>5202.1678321678319</v>
      </c>
      <c r="X1068" s="149">
        <v>0</v>
      </c>
      <c r="Y1068" s="368">
        <v>0</v>
      </c>
      <c r="Z1068" s="368">
        <v>0</v>
      </c>
      <c r="AA1068" s="368">
        <v>0</v>
      </c>
      <c r="AB1068" s="368">
        <v>0</v>
      </c>
      <c r="AC1068" s="368">
        <v>0</v>
      </c>
      <c r="AD1068" s="368">
        <v>0</v>
      </c>
      <c r="AE1068" s="368">
        <v>0</v>
      </c>
      <c r="AF1068" s="396">
        <v>0</v>
      </c>
      <c r="AG1068" s="368">
        <v>0</v>
      </c>
      <c r="AH1068" s="396">
        <v>0</v>
      </c>
      <c r="AI1068" s="368">
        <v>1050</v>
      </c>
      <c r="AJ1068" s="397">
        <f>7439.1*AI1068/I1068</f>
        <v>5202.1678321678319</v>
      </c>
      <c r="AK1068" s="368">
        <v>0</v>
      </c>
      <c r="AL1068" s="368">
        <v>0</v>
      </c>
      <c r="AM1068" s="368">
        <v>0</v>
      </c>
      <c r="AN1068" s="368"/>
      <c r="AO1068" s="368">
        <v>0</v>
      </c>
    </row>
    <row r="1069" spans="1:41" s="152" customFormat="1" ht="36" customHeight="1" x14ac:dyDescent="0.9">
      <c r="A1069" s="152">
        <v>1</v>
      </c>
      <c r="B1069" s="90">
        <f>SUBTOTAL(103,$A$988:A1069)</f>
        <v>80</v>
      </c>
      <c r="C1069" s="89" t="s">
        <v>433</v>
      </c>
      <c r="D1069" s="163">
        <v>1961</v>
      </c>
      <c r="E1069" s="163"/>
      <c r="F1069" s="168" t="s">
        <v>270</v>
      </c>
      <c r="G1069" s="163">
        <v>2</v>
      </c>
      <c r="H1069" s="163">
        <v>1</v>
      </c>
      <c r="I1069" s="164">
        <v>646.49</v>
      </c>
      <c r="J1069" s="164">
        <v>588.49</v>
      </c>
      <c r="K1069" s="164">
        <v>588.49</v>
      </c>
      <c r="L1069" s="165">
        <v>29</v>
      </c>
      <c r="M1069" s="163" t="s">
        <v>268</v>
      </c>
      <c r="N1069" s="163" t="s">
        <v>269</v>
      </c>
      <c r="O1069" s="166" t="s">
        <v>271</v>
      </c>
      <c r="P1069" s="167">
        <v>3391530.1000000006</v>
      </c>
      <c r="Q1069" s="167">
        <v>0</v>
      </c>
      <c r="R1069" s="167">
        <v>0</v>
      </c>
      <c r="S1069" s="167">
        <f t="shared" si="329"/>
        <v>3391530.1000000006</v>
      </c>
      <c r="T1069" s="167">
        <f t="shared" si="320"/>
        <v>5246.0673792324715</v>
      </c>
      <c r="U1069" s="167">
        <v>7083.4196043248921</v>
      </c>
      <c r="V1069" s="149">
        <f t="shared" si="324"/>
        <v>1837.3522250924207</v>
      </c>
      <c r="W1069" s="149">
        <f t="shared" si="330"/>
        <v>7083.4196043248921</v>
      </c>
      <c r="X1069" s="149">
        <v>0</v>
      </c>
      <c r="Y1069" s="368">
        <v>0</v>
      </c>
      <c r="Z1069" s="368">
        <v>0</v>
      </c>
      <c r="AA1069" s="368">
        <v>0</v>
      </c>
      <c r="AB1069" s="368">
        <v>0</v>
      </c>
      <c r="AC1069" s="368">
        <v>0</v>
      </c>
      <c r="AD1069" s="368">
        <v>0</v>
      </c>
      <c r="AE1069" s="368">
        <v>734</v>
      </c>
      <c r="AF1069" s="396">
        <f t="shared" ref="AF1069:AF1073" si="332">6238.91*AE1069/I1069</f>
        <v>7083.4196043248921</v>
      </c>
      <c r="AG1069" s="368">
        <v>0</v>
      </c>
      <c r="AH1069" s="396">
        <v>0</v>
      </c>
      <c r="AI1069" s="368">
        <v>0</v>
      </c>
      <c r="AJ1069" s="396">
        <v>0</v>
      </c>
      <c r="AK1069" s="368">
        <v>0</v>
      </c>
      <c r="AL1069" s="368">
        <v>0</v>
      </c>
      <c r="AM1069" s="368">
        <v>0</v>
      </c>
      <c r="AN1069" s="368"/>
      <c r="AO1069" s="368">
        <v>0</v>
      </c>
    </row>
    <row r="1070" spans="1:41" s="152" customFormat="1" ht="36" customHeight="1" x14ac:dyDescent="0.9">
      <c r="A1070" s="152">
        <v>1</v>
      </c>
      <c r="B1070" s="90">
        <f>SUBTOTAL(103,$A$988:A1070)</f>
        <v>81</v>
      </c>
      <c r="C1070" s="89" t="s">
        <v>434</v>
      </c>
      <c r="D1070" s="163">
        <v>1969</v>
      </c>
      <c r="E1070" s="163"/>
      <c r="F1070" s="168" t="s">
        <v>270</v>
      </c>
      <c r="G1070" s="163">
        <v>5</v>
      </c>
      <c r="H1070" s="163">
        <v>6</v>
      </c>
      <c r="I1070" s="164">
        <v>4890.1099999999997</v>
      </c>
      <c r="J1070" s="164">
        <v>4432.68</v>
      </c>
      <c r="K1070" s="164">
        <v>4177.2300000000005</v>
      </c>
      <c r="L1070" s="165">
        <v>212</v>
      </c>
      <c r="M1070" s="163" t="s">
        <v>268</v>
      </c>
      <c r="N1070" s="163" t="s">
        <v>272</v>
      </c>
      <c r="O1070" s="166" t="s">
        <v>325</v>
      </c>
      <c r="P1070" s="167">
        <v>8090003.5300000003</v>
      </c>
      <c r="Q1070" s="167">
        <v>0</v>
      </c>
      <c r="R1070" s="167">
        <v>0</v>
      </c>
      <c r="S1070" s="167">
        <f t="shared" si="329"/>
        <v>8090003.5300000003</v>
      </c>
      <c r="T1070" s="167">
        <f t="shared" si="320"/>
        <v>1654.3602352503319</v>
      </c>
      <c r="U1070" s="167">
        <v>2186.7589358930577</v>
      </c>
      <c r="V1070" s="149">
        <f t="shared" si="324"/>
        <v>532.39870064272577</v>
      </c>
      <c r="W1070" s="149">
        <f t="shared" si="330"/>
        <v>2186.7589358930577</v>
      </c>
      <c r="X1070" s="149">
        <v>0</v>
      </c>
      <c r="Y1070" s="368">
        <v>0</v>
      </c>
      <c r="Z1070" s="368">
        <v>0</v>
      </c>
      <c r="AA1070" s="368">
        <v>0</v>
      </c>
      <c r="AB1070" s="368">
        <v>0</v>
      </c>
      <c r="AC1070" s="368">
        <v>0</v>
      </c>
      <c r="AD1070" s="368">
        <v>0</v>
      </c>
      <c r="AE1070" s="368">
        <v>1714</v>
      </c>
      <c r="AF1070" s="396">
        <f t="shared" si="332"/>
        <v>2186.7589358930577</v>
      </c>
      <c r="AG1070" s="368">
        <v>0</v>
      </c>
      <c r="AH1070" s="396">
        <v>0</v>
      </c>
      <c r="AI1070" s="368">
        <v>0</v>
      </c>
      <c r="AJ1070" s="396">
        <v>0</v>
      </c>
      <c r="AK1070" s="368">
        <v>0</v>
      </c>
      <c r="AL1070" s="368">
        <v>0</v>
      </c>
      <c r="AM1070" s="368">
        <v>0</v>
      </c>
      <c r="AN1070" s="368"/>
      <c r="AO1070" s="368">
        <v>0</v>
      </c>
    </row>
    <row r="1071" spans="1:41" s="152" customFormat="1" ht="36" customHeight="1" x14ac:dyDescent="0.9">
      <c r="A1071" s="152">
        <v>1</v>
      </c>
      <c r="B1071" s="90">
        <f>SUBTOTAL(103,$A$988:A1071)</f>
        <v>82</v>
      </c>
      <c r="C1071" s="89" t="s">
        <v>435</v>
      </c>
      <c r="D1071" s="163">
        <v>1961</v>
      </c>
      <c r="E1071" s="163"/>
      <c r="F1071" s="168" t="s">
        <v>270</v>
      </c>
      <c r="G1071" s="163">
        <v>2</v>
      </c>
      <c r="H1071" s="163">
        <v>2</v>
      </c>
      <c r="I1071" s="164">
        <v>824.68999999999994</v>
      </c>
      <c r="J1071" s="164">
        <v>778.39</v>
      </c>
      <c r="K1071" s="164">
        <v>728.73</v>
      </c>
      <c r="L1071" s="165">
        <v>49</v>
      </c>
      <c r="M1071" s="163" t="s">
        <v>268</v>
      </c>
      <c r="N1071" s="163" t="s">
        <v>272</v>
      </c>
      <c r="O1071" s="166" t="s">
        <v>329</v>
      </c>
      <c r="P1071" s="167">
        <v>2744983.73</v>
      </c>
      <c r="Q1071" s="167">
        <v>0</v>
      </c>
      <c r="R1071" s="167">
        <v>0</v>
      </c>
      <c r="S1071" s="167">
        <f t="shared" si="329"/>
        <v>2744983.73</v>
      </c>
      <c r="T1071" s="167">
        <f t="shared" si="320"/>
        <v>3328.5037165480367</v>
      </c>
      <c r="U1071" s="167">
        <v>4539.0946901259867</v>
      </c>
      <c r="V1071" s="149">
        <f t="shared" si="324"/>
        <v>1210.5909735779501</v>
      </c>
      <c r="W1071" s="149">
        <f t="shared" si="330"/>
        <v>4539.0946901259867</v>
      </c>
      <c r="X1071" s="149">
        <v>0</v>
      </c>
      <c r="Y1071" s="368">
        <v>0</v>
      </c>
      <c r="Z1071" s="368">
        <v>0</v>
      </c>
      <c r="AA1071" s="368">
        <v>0</v>
      </c>
      <c r="AB1071" s="368">
        <v>0</v>
      </c>
      <c r="AC1071" s="368">
        <v>0</v>
      </c>
      <c r="AD1071" s="368">
        <v>0</v>
      </c>
      <c r="AE1071" s="368">
        <v>600</v>
      </c>
      <c r="AF1071" s="396">
        <f t="shared" si="332"/>
        <v>4539.0946901259867</v>
      </c>
      <c r="AG1071" s="368">
        <v>0</v>
      </c>
      <c r="AH1071" s="396">
        <v>0</v>
      </c>
      <c r="AI1071" s="368">
        <v>0</v>
      </c>
      <c r="AJ1071" s="396">
        <v>0</v>
      </c>
      <c r="AK1071" s="368">
        <v>0</v>
      </c>
      <c r="AL1071" s="368">
        <v>0</v>
      </c>
      <c r="AM1071" s="368">
        <v>0</v>
      </c>
      <c r="AN1071" s="368"/>
      <c r="AO1071" s="368">
        <v>0</v>
      </c>
    </row>
    <row r="1072" spans="1:41" s="152" customFormat="1" ht="36" customHeight="1" x14ac:dyDescent="0.9">
      <c r="A1072" s="152">
        <v>1</v>
      </c>
      <c r="B1072" s="90">
        <f>SUBTOTAL(103,$A$988:A1072)</f>
        <v>83</v>
      </c>
      <c r="C1072" s="89" t="s">
        <v>1725</v>
      </c>
      <c r="D1072" s="163">
        <v>1980</v>
      </c>
      <c r="E1072" s="163"/>
      <c r="F1072" s="168" t="s">
        <v>270</v>
      </c>
      <c r="G1072" s="163">
        <v>5</v>
      </c>
      <c r="H1072" s="163">
        <v>2</v>
      </c>
      <c r="I1072" s="164">
        <v>1589.4</v>
      </c>
      <c r="J1072" s="164">
        <v>1176.4000000000001</v>
      </c>
      <c r="K1072" s="164">
        <v>1117.8000000000002</v>
      </c>
      <c r="L1072" s="165">
        <v>65</v>
      </c>
      <c r="M1072" s="163" t="s">
        <v>268</v>
      </c>
      <c r="N1072" s="163" t="s">
        <v>272</v>
      </c>
      <c r="O1072" s="166" t="s">
        <v>329</v>
      </c>
      <c r="P1072" s="167">
        <v>1568740.5100000002</v>
      </c>
      <c r="Q1072" s="167">
        <v>0</v>
      </c>
      <c r="R1072" s="167">
        <v>0</v>
      </c>
      <c r="S1072" s="167">
        <f t="shared" si="329"/>
        <v>1568740.5100000002</v>
      </c>
      <c r="T1072" s="167">
        <f t="shared" si="320"/>
        <v>987.00170504592938</v>
      </c>
      <c r="U1072" s="167">
        <v>1373.8634075751854</v>
      </c>
      <c r="V1072" s="149">
        <f t="shared" si="324"/>
        <v>386.86170252925604</v>
      </c>
      <c r="W1072" s="149">
        <f t="shared" si="330"/>
        <v>1373.8634075751854</v>
      </c>
      <c r="X1072" s="149">
        <v>0</v>
      </c>
      <c r="Y1072" s="368">
        <v>0</v>
      </c>
      <c r="Z1072" s="368">
        <v>0</v>
      </c>
      <c r="AA1072" s="368">
        <v>0</v>
      </c>
      <c r="AB1072" s="368">
        <v>0</v>
      </c>
      <c r="AC1072" s="368">
        <v>0</v>
      </c>
      <c r="AD1072" s="368">
        <v>0</v>
      </c>
      <c r="AE1072" s="368">
        <v>350</v>
      </c>
      <c r="AF1072" s="396">
        <f t="shared" si="332"/>
        <v>1373.8634075751854</v>
      </c>
      <c r="AG1072" s="368">
        <v>0</v>
      </c>
      <c r="AH1072" s="396">
        <v>0</v>
      </c>
      <c r="AI1072" s="368">
        <v>0</v>
      </c>
      <c r="AJ1072" s="396">
        <v>0</v>
      </c>
      <c r="AK1072" s="368">
        <v>0</v>
      </c>
      <c r="AL1072" s="368">
        <v>0</v>
      </c>
      <c r="AM1072" s="368">
        <v>0</v>
      </c>
      <c r="AN1072" s="368"/>
      <c r="AO1072" s="368">
        <v>0</v>
      </c>
    </row>
    <row r="1073" spans="1:41" s="152" customFormat="1" ht="36" customHeight="1" x14ac:dyDescent="0.9">
      <c r="A1073" s="152">
        <v>1</v>
      </c>
      <c r="B1073" s="90">
        <f>SUBTOTAL(103,$A$988:A1073)</f>
        <v>84</v>
      </c>
      <c r="C1073" s="89" t="s">
        <v>206</v>
      </c>
      <c r="D1073" s="163">
        <v>1983</v>
      </c>
      <c r="E1073" s="163"/>
      <c r="F1073" s="168" t="s">
        <v>270</v>
      </c>
      <c r="G1073" s="163">
        <v>5</v>
      </c>
      <c r="H1073" s="163">
        <v>4</v>
      </c>
      <c r="I1073" s="164">
        <v>3097.1</v>
      </c>
      <c r="J1073" s="164">
        <v>2810.6</v>
      </c>
      <c r="K1073" s="164">
        <v>2810.6</v>
      </c>
      <c r="L1073" s="165">
        <v>127</v>
      </c>
      <c r="M1073" s="163" t="s">
        <v>268</v>
      </c>
      <c r="N1073" s="163" t="s">
        <v>272</v>
      </c>
      <c r="O1073" s="166" t="s">
        <v>1004</v>
      </c>
      <c r="P1073" s="167">
        <v>4671497.92</v>
      </c>
      <c r="Q1073" s="167">
        <v>0</v>
      </c>
      <c r="R1073" s="167">
        <v>0</v>
      </c>
      <c r="S1073" s="167">
        <f t="shared" si="329"/>
        <v>4671497.92</v>
      </c>
      <c r="T1073" s="167">
        <f t="shared" si="320"/>
        <v>1508.3458461141067</v>
      </c>
      <c r="U1073" s="167">
        <v>2012.4216492848147</v>
      </c>
      <c r="V1073" s="149">
        <f t="shared" si="324"/>
        <v>504.07580317070801</v>
      </c>
      <c r="W1073" s="149">
        <f t="shared" si="330"/>
        <v>2012.4216492848147</v>
      </c>
      <c r="X1073" s="149">
        <v>0</v>
      </c>
      <c r="Y1073" s="368">
        <v>0</v>
      </c>
      <c r="Z1073" s="368">
        <v>0</v>
      </c>
      <c r="AA1073" s="368">
        <v>0</v>
      </c>
      <c r="AB1073" s="368">
        <v>0</v>
      </c>
      <c r="AC1073" s="368">
        <v>0</v>
      </c>
      <c r="AD1073" s="368">
        <v>0</v>
      </c>
      <c r="AE1073" s="368">
        <v>999</v>
      </c>
      <c r="AF1073" s="396">
        <f t="shared" si="332"/>
        <v>2012.4216492848147</v>
      </c>
      <c r="AG1073" s="368">
        <v>0</v>
      </c>
      <c r="AH1073" s="396">
        <v>0</v>
      </c>
      <c r="AI1073" s="368">
        <v>0</v>
      </c>
      <c r="AJ1073" s="396">
        <v>0</v>
      </c>
      <c r="AK1073" s="368">
        <v>0</v>
      </c>
      <c r="AL1073" s="368">
        <v>0</v>
      </c>
      <c r="AM1073" s="368">
        <v>0</v>
      </c>
      <c r="AN1073" s="368"/>
      <c r="AO1073" s="368">
        <v>0</v>
      </c>
    </row>
    <row r="1074" spans="1:41" s="152" customFormat="1" ht="36" customHeight="1" x14ac:dyDescent="0.9">
      <c r="A1074" s="152">
        <v>1</v>
      </c>
      <c r="B1074" s="90">
        <f>SUBTOTAL(103,$A$988:A1074)</f>
        <v>85</v>
      </c>
      <c r="C1074" s="89" t="s">
        <v>207</v>
      </c>
      <c r="D1074" s="163">
        <v>1963</v>
      </c>
      <c r="E1074" s="163"/>
      <c r="F1074" s="168" t="s">
        <v>270</v>
      </c>
      <c r="G1074" s="163">
        <v>2</v>
      </c>
      <c r="H1074" s="163">
        <v>2</v>
      </c>
      <c r="I1074" s="164">
        <v>490.8</v>
      </c>
      <c r="J1074" s="164">
        <v>442.2</v>
      </c>
      <c r="K1074" s="164">
        <v>442.2</v>
      </c>
      <c r="L1074" s="165">
        <v>19</v>
      </c>
      <c r="M1074" s="163" t="s">
        <v>268</v>
      </c>
      <c r="N1074" s="163" t="s">
        <v>272</v>
      </c>
      <c r="O1074" s="166" t="s">
        <v>330</v>
      </c>
      <c r="P1074" s="167">
        <v>457907</v>
      </c>
      <c r="Q1074" s="167">
        <v>0</v>
      </c>
      <c r="R1074" s="167">
        <v>0</v>
      </c>
      <c r="S1074" s="167">
        <f t="shared" si="329"/>
        <v>457907</v>
      </c>
      <c r="T1074" s="167">
        <f t="shared" si="320"/>
        <v>932.98084759576204</v>
      </c>
      <c r="U1074" s="167">
        <v>932.98084759576204</v>
      </c>
      <c r="V1074" s="149">
        <f t="shared" si="324"/>
        <v>0</v>
      </c>
      <c r="W1074" s="149">
        <f t="shared" ref="W1074:W1076" si="333">T1074</f>
        <v>932.98084759576204</v>
      </c>
      <c r="X1074" s="149">
        <v>0</v>
      </c>
      <c r="Y1074" s="368">
        <v>0</v>
      </c>
      <c r="Z1074" s="368">
        <v>0</v>
      </c>
      <c r="AA1074" s="368">
        <v>0</v>
      </c>
      <c r="AB1074" s="368">
        <v>810.46</v>
      </c>
      <c r="AC1074" s="368">
        <v>0</v>
      </c>
      <c r="AD1074" s="368">
        <v>0</v>
      </c>
      <c r="AE1074" s="368">
        <v>0</v>
      </c>
      <c r="AF1074" s="396">
        <v>0</v>
      </c>
      <c r="AG1074" s="368">
        <v>0</v>
      </c>
      <c r="AH1074" s="396">
        <v>0</v>
      </c>
      <c r="AI1074" s="368">
        <v>0</v>
      </c>
      <c r="AJ1074" s="396">
        <v>0</v>
      </c>
      <c r="AK1074" s="368">
        <v>0</v>
      </c>
      <c r="AL1074" s="368">
        <v>0</v>
      </c>
      <c r="AM1074" s="368">
        <v>0</v>
      </c>
      <c r="AN1074" s="368"/>
      <c r="AO1074" s="368">
        <v>0</v>
      </c>
    </row>
    <row r="1075" spans="1:41" s="152" customFormat="1" ht="36" customHeight="1" x14ac:dyDescent="0.9">
      <c r="A1075" s="152">
        <v>1</v>
      </c>
      <c r="B1075" s="90">
        <f>SUBTOTAL(103,$A$988:A1075)</f>
        <v>86</v>
      </c>
      <c r="C1075" s="89" t="s">
        <v>208</v>
      </c>
      <c r="D1075" s="163">
        <v>1969</v>
      </c>
      <c r="E1075" s="163"/>
      <c r="F1075" s="168" t="s">
        <v>270</v>
      </c>
      <c r="G1075" s="163">
        <v>2</v>
      </c>
      <c r="H1075" s="163">
        <v>2</v>
      </c>
      <c r="I1075" s="164">
        <v>640.40000000000009</v>
      </c>
      <c r="J1075" s="164">
        <v>589.20000000000005</v>
      </c>
      <c r="K1075" s="164">
        <v>537.5</v>
      </c>
      <c r="L1075" s="165">
        <v>31</v>
      </c>
      <c r="M1075" s="163" t="s">
        <v>268</v>
      </c>
      <c r="N1075" s="163" t="s">
        <v>272</v>
      </c>
      <c r="O1075" s="166" t="s">
        <v>330</v>
      </c>
      <c r="P1075" s="167">
        <v>632281</v>
      </c>
      <c r="Q1075" s="167">
        <v>0</v>
      </c>
      <c r="R1075" s="167">
        <v>0</v>
      </c>
      <c r="S1075" s="167">
        <f t="shared" si="329"/>
        <v>632281</v>
      </c>
      <c r="T1075" s="167">
        <f t="shared" si="320"/>
        <v>987.32198625858825</v>
      </c>
      <c r="U1075" s="167">
        <v>987.32198625858825</v>
      </c>
      <c r="V1075" s="149">
        <f t="shared" si="324"/>
        <v>0</v>
      </c>
      <c r="W1075" s="149">
        <f t="shared" si="333"/>
        <v>987.32198625858825</v>
      </c>
      <c r="X1075" s="149">
        <v>0</v>
      </c>
      <c r="Y1075" s="368">
        <v>0</v>
      </c>
      <c r="Z1075" s="368">
        <v>0</v>
      </c>
      <c r="AA1075" s="368">
        <v>0</v>
      </c>
      <c r="AB1075" s="368">
        <v>810.46</v>
      </c>
      <c r="AC1075" s="368">
        <v>0</v>
      </c>
      <c r="AD1075" s="368">
        <v>0</v>
      </c>
      <c r="AE1075" s="368">
        <v>0</v>
      </c>
      <c r="AF1075" s="396">
        <v>0</v>
      </c>
      <c r="AG1075" s="368">
        <v>0</v>
      </c>
      <c r="AH1075" s="396">
        <v>0</v>
      </c>
      <c r="AI1075" s="368">
        <v>0</v>
      </c>
      <c r="AJ1075" s="396">
        <v>0</v>
      </c>
      <c r="AK1075" s="368">
        <v>0</v>
      </c>
      <c r="AL1075" s="368">
        <v>0</v>
      </c>
      <c r="AM1075" s="368">
        <v>0</v>
      </c>
      <c r="AN1075" s="368"/>
      <c r="AO1075" s="368">
        <v>0</v>
      </c>
    </row>
    <row r="1076" spans="1:41" s="152" customFormat="1" ht="36" customHeight="1" x14ac:dyDescent="0.9">
      <c r="A1076" s="152">
        <v>1</v>
      </c>
      <c r="B1076" s="90">
        <f>SUBTOTAL(103,$A$988:A1076)</f>
        <v>87</v>
      </c>
      <c r="C1076" s="89" t="s">
        <v>209</v>
      </c>
      <c r="D1076" s="163">
        <v>1966</v>
      </c>
      <c r="E1076" s="163"/>
      <c r="F1076" s="168" t="s">
        <v>270</v>
      </c>
      <c r="G1076" s="163">
        <v>2</v>
      </c>
      <c r="H1076" s="163">
        <v>2</v>
      </c>
      <c r="I1076" s="164">
        <v>781.6</v>
      </c>
      <c r="J1076" s="164">
        <v>719.9</v>
      </c>
      <c r="K1076" s="164">
        <v>670.3</v>
      </c>
      <c r="L1076" s="165">
        <v>25</v>
      </c>
      <c r="M1076" s="163" t="s">
        <v>268</v>
      </c>
      <c r="N1076" s="163" t="s">
        <v>272</v>
      </c>
      <c r="O1076" s="166" t="s">
        <v>330</v>
      </c>
      <c r="P1076" s="167">
        <v>731529</v>
      </c>
      <c r="Q1076" s="167">
        <v>0</v>
      </c>
      <c r="R1076" s="167">
        <v>0</v>
      </c>
      <c r="S1076" s="167">
        <f t="shared" si="329"/>
        <v>731529</v>
      </c>
      <c r="T1076" s="167">
        <f t="shared" si="320"/>
        <v>935.93781985670421</v>
      </c>
      <c r="U1076" s="167">
        <v>935.93781985670421</v>
      </c>
      <c r="V1076" s="149">
        <f t="shared" si="324"/>
        <v>0</v>
      </c>
      <c r="W1076" s="149">
        <f t="shared" si="333"/>
        <v>935.93781985670421</v>
      </c>
      <c r="X1076" s="149">
        <v>0</v>
      </c>
      <c r="Y1076" s="368">
        <v>0</v>
      </c>
      <c r="Z1076" s="368">
        <v>0</v>
      </c>
      <c r="AA1076" s="368">
        <v>0</v>
      </c>
      <c r="AB1076" s="368">
        <v>810.46</v>
      </c>
      <c r="AC1076" s="368">
        <v>0</v>
      </c>
      <c r="AD1076" s="368">
        <v>0</v>
      </c>
      <c r="AE1076" s="368">
        <v>0</v>
      </c>
      <c r="AF1076" s="396">
        <v>0</v>
      </c>
      <c r="AG1076" s="368">
        <v>0</v>
      </c>
      <c r="AH1076" s="396">
        <v>0</v>
      </c>
      <c r="AI1076" s="368">
        <v>0</v>
      </c>
      <c r="AJ1076" s="396">
        <v>0</v>
      </c>
      <c r="AK1076" s="368">
        <v>0</v>
      </c>
      <c r="AL1076" s="368">
        <v>0</v>
      </c>
      <c r="AM1076" s="368">
        <v>0</v>
      </c>
      <c r="AN1076" s="368"/>
      <c r="AO1076" s="368">
        <v>0</v>
      </c>
    </row>
    <row r="1077" spans="1:41" s="152" customFormat="1" ht="36" customHeight="1" x14ac:dyDescent="0.9">
      <c r="A1077" s="152">
        <v>1</v>
      </c>
      <c r="B1077" s="90">
        <f>SUBTOTAL(103,$A$988:A1077)</f>
        <v>88</v>
      </c>
      <c r="C1077" s="89" t="s">
        <v>436</v>
      </c>
      <c r="D1077" s="163">
        <v>1963</v>
      </c>
      <c r="E1077" s="163"/>
      <c r="F1077" s="168" t="s">
        <v>270</v>
      </c>
      <c r="G1077" s="163">
        <v>4</v>
      </c>
      <c r="H1077" s="163">
        <v>3</v>
      </c>
      <c r="I1077" s="164">
        <v>2141.94</v>
      </c>
      <c r="J1077" s="164">
        <v>1753.08</v>
      </c>
      <c r="K1077" s="164">
        <v>1544.6799999999998</v>
      </c>
      <c r="L1077" s="165">
        <v>61</v>
      </c>
      <c r="M1077" s="163" t="s">
        <v>268</v>
      </c>
      <c r="N1077" s="163" t="s">
        <v>272</v>
      </c>
      <c r="O1077" s="166" t="s">
        <v>1004</v>
      </c>
      <c r="P1077" s="167">
        <v>4760772.24</v>
      </c>
      <c r="Q1077" s="167">
        <v>0</v>
      </c>
      <c r="R1077" s="167">
        <v>0</v>
      </c>
      <c r="S1077" s="167">
        <f t="shared" si="329"/>
        <v>4760772.24</v>
      </c>
      <c r="T1077" s="167">
        <f t="shared" si="320"/>
        <v>2222.6450040617383</v>
      </c>
      <c r="U1077" s="167">
        <v>2982.6436968355788</v>
      </c>
      <c r="V1077" s="149">
        <f t="shared" si="324"/>
        <v>759.9986927738405</v>
      </c>
      <c r="W1077" s="149">
        <f t="shared" si="330"/>
        <v>2982.6436968355788</v>
      </c>
      <c r="X1077" s="149">
        <v>0</v>
      </c>
      <c r="Y1077" s="368">
        <v>0</v>
      </c>
      <c r="Z1077" s="368">
        <v>0</v>
      </c>
      <c r="AA1077" s="368">
        <v>0</v>
      </c>
      <c r="AB1077" s="368">
        <v>0</v>
      </c>
      <c r="AC1077" s="368">
        <v>0</v>
      </c>
      <c r="AD1077" s="368">
        <v>0</v>
      </c>
      <c r="AE1077" s="368">
        <v>1024</v>
      </c>
      <c r="AF1077" s="396">
        <f>6238.91*AE1077/I1077</f>
        <v>2982.6436968355788</v>
      </c>
      <c r="AG1077" s="368">
        <v>0</v>
      </c>
      <c r="AH1077" s="396">
        <v>0</v>
      </c>
      <c r="AI1077" s="368">
        <v>0</v>
      </c>
      <c r="AJ1077" s="396">
        <v>0</v>
      </c>
      <c r="AK1077" s="368">
        <v>0</v>
      </c>
      <c r="AL1077" s="368">
        <v>0</v>
      </c>
      <c r="AM1077" s="368">
        <v>0</v>
      </c>
      <c r="AN1077" s="368"/>
      <c r="AO1077" s="368">
        <v>0</v>
      </c>
    </row>
    <row r="1078" spans="1:41" s="152" customFormat="1" ht="36" customHeight="1" x14ac:dyDescent="0.9">
      <c r="A1078" s="152">
        <v>1</v>
      </c>
      <c r="B1078" s="90">
        <f>SUBTOTAL(103,$A$988:A1078)</f>
        <v>89</v>
      </c>
      <c r="C1078" s="89" t="s">
        <v>437</v>
      </c>
      <c r="D1078" s="163">
        <v>1974</v>
      </c>
      <c r="E1078" s="163"/>
      <c r="F1078" s="168" t="s">
        <v>270</v>
      </c>
      <c r="G1078" s="163">
        <v>9</v>
      </c>
      <c r="H1078" s="163">
        <v>2</v>
      </c>
      <c r="I1078" s="164">
        <v>5409.4</v>
      </c>
      <c r="J1078" s="164">
        <v>4377.3999999999996</v>
      </c>
      <c r="K1078" s="164">
        <v>4227.7</v>
      </c>
      <c r="L1078" s="165">
        <v>190</v>
      </c>
      <c r="M1078" s="163" t="s">
        <v>268</v>
      </c>
      <c r="N1078" s="163" t="s">
        <v>272</v>
      </c>
      <c r="O1078" s="166" t="s">
        <v>1004</v>
      </c>
      <c r="P1078" s="167">
        <v>4331631.53</v>
      </c>
      <c r="Q1078" s="167">
        <v>0</v>
      </c>
      <c r="R1078" s="167">
        <v>0</v>
      </c>
      <c r="S1078" s="167">
        <f t="shared" si="329"/>
        <v>4331631.53</v>
      </c>
      <c r="T1078" s="167">
        <f t="shared" si="320"/>
        <v>800.76007135726707</v>
      </c>
      <c r="U1078" s="167">
        <v>908.71446001404968</v>
      </c>
      <c r="V1078" s="149">
        <f t="shared" si="324"/>
        <v>107.95438865678261</v>
      </c>
      <c r="W1078" s="149">
        <f t="shared" si="330"/>
        <v>908.71446001404968</v>
      </c>
      <c r="X1078" s="149">
        <v>0</v>
      </c>
      <c r="Y1078" s="368">
        <v>0</v>
      </c>
      <c r="Z1078" s="368">
        <v>0</v>
      </c>
      <c r="AA1078" s="368">
        <v>0</v>
      </c>
      <c r="AB1078" s="368">
        <v>0</v>
      </c>
      <c r="AC1078" s="368">
        <v>2</v>
      </c>
      <c r="AD1078" s="396">
        <f>2457800*AC1078/I1078</f>
        <v>908.71446001404968</v>
      </c>
      <c r="AE1078" s="368">
        <v>0</v>
      </c>
      <c r="AF1078" s="396">
        <v>0</v>
      </c>
      <c r="AG1078" s="368">
        <v>0</v>
      </c>
      <c r="AH1078" s="396">
        <v>0</v>
      </c>
      <c r="AI1078" s="368">
        <v>0</v>
      </c>
      <c r="AJ1078" s="396">
        <v>0</v>
      </c>
      <c r="AK1078" s="368">
        <v>0</v>
      </c>
      <c r="AL1078" s="368">
        <v>0</v>
      </c>
      <c r="AM1078" s="368">
        <v>0</v>
      </c>
      <c r="AN1078" s="368"/>
      <c r="AO1078" s="368">
        <v>0</v>
      </c>
    </row>
    <row r="1079" spans="1:41" s="152" customFormat="1" ht="36" customHeight="1" x14ac:dyDescent="0.9">
      <c r="A1079" s="152">
        <v>1</v>
      </c>
      <c r="B1079" s="90">
        <f>SUBTOTAL(103,$A$988:A1079)</f>
        <v>90</v>
      </c>
      <c r="C1079" s="89" t="s">
        <v>438</v>
      </c>
      <c r="D1079" s="163">
        <v>1958</v>
      </c>
      <c r="E1079" s="163"/>
      <c r="F1079" s="168" t="s">
        <v>270</v>
      </c>
      <c r="G1079" s="163">
        <v>2</v>
      </c>
      <c r="H1079" s="163">
        <v>2</v>
      </c>
      <c r="I1079" s="164">
        <v>717.8</v>
      </c>
      <c r="J1079" s="164">
        <v>649.4</v>
      </c>
      <c r="K1079" s="164">
        <v>507.29999999999995</v>
      </c>
      <c r="L1079" s="165">
        <v>47</v>
      </c>
      <c r="M1079" s="163" t="s">
        <v>268</v>
      </c>
      <c r="N1079" s="163" t="s">
        <v>272</v>
      </c>
      <c r="O1079" s="166" t="s">
        <v>329</v>
      </c>
      <c r="P1079" s="167">
        <v>2789948.7</v>
      </c>
      <c r="Q1079" s="167">
        <v>0</v>
      </c>
      <c r="R1079" s="167">
        <v>0</v>
      </c>
      <c r="S1079" s="167">
        <f t="shared" si="329"/>
        <v>2789948.7</v>
      </c>
      <c r="T1079" s="167">
        <f t="shared" si="320"/>
        <v>3886.8050989133467</v>
      </c>
      <c r="U1079" s="167">
        <v>5215.026469768738</v>
      </c>
      <c r="V1079" s="149">
        <f t="shared" si="324"/>
        <v>1328.2213708553913</v>
      </c>
      <c r="W1079" s="149">
        <f t="shared" si="330"/>
        <v>5215.026469768738</v>
      </c>
      <c r="X1079" s="149">
        <v>0</v>
      </c>
      <c r="Y1079" s="368">
        <v>0</v>
      </c>
      <c r="Z1079" s="368">
        <v>0</v>
      </c>
      <c r="AA1079" s="368">
        <v>0</v>
      </c>
      <c r="AB1079" s="368">
        <v>0</v>
      </c>
      <c r="AC1079" s="368">
        <v>0</v>
      </c>
      <c r="AD1079" s="368">
        <v>0</v>
      </c>
      <c r="AE1079" s="368">
        <v>600</v>
      </c>
      <c r="AF1079" s="396">
        <f t="shared" ref="AF1079:AF1089" si="334">6238.91*AE1079/I1079</f>
        <v>5215.026469768738</v>
      </c>
      <c r="AG1079" s="368">
        <v>0</v>
      </c>
      <c r="AH1079" s="396">
        <v>0</v>
      </c>
      <c r="AI1079" s="368">
        <v>0</v>
      </c>
      <c r="AJ1079" s="396">
        <v>0</v>
      </c>
      <c r="AK1079" s="368">
        <v>0</v>
      </c>
      <c r="AL1079" s="368">
        <v>0</v>
      </c>
      <c r="AM1079" s="368">
        <v>0</v>
      </c>
      <c r="AN1079" s="368"/>
      <c r="AO1079" s="368">
        <v>0</v>
      </c>
    </row>
    <row r="1080" spans="1:41" s="152" customFormat="1" ht="36" customHeight="1" x14ac:dyDescent="0.9">
      <c r="A1080" s="152">
        <v>1</v>
      </c>
      <c r="B1080" s="90">
        <f>SUBTOTAL(103,$A$988:A1080)</f>
        <v>91</v>
      </c>
      <c r="C1080" s="89" t="s">
        <v>439</v>
      </c>
      <c r="D1080" s="163">
        <v>1956</v>
      </c>
      <c r="E1080" s="163"/>
      <c r="F1080" s="168" t="s">
        <v>328</v>
      </c>
      <c r="G1080" s="163">
        <v>2</v>
      </c>
      <c r="H1080" s="163">
        <v>3</v>
      </c>
      <c r="I1080" s="164">
        <v>1239.2</v>
      </c>
      <c r="J1080" s="164">
        <v>932.1</v>
      </c>
      <c r="K1080" s="164">
        <v>643.79999999999995</v>
      </c>
      <c r="L1080" s="165">
        <v>44</v>
      </c>
      <c r="M1080" s="163" t="s">
        <v>268</v>
      </c>
      <c r="N1080" s="163" t="s">
        <v>272</v>
      </c>
      <c r="O1080" s="166" t="s">
        <v>325</v>
      </c>
      <c r="P1080" s="167">
        <v>3242314.75</v>
      </c>
      <c r="Q1080" s="167">
        <v>0</v>
      </c>
      <c r="R1080" s="167">
        <v>0</v>
      </c>
      <c r="S1080" s="167">
        <f t="shared" si="329"/>
        <v>3242314.75</v>
      </c>
      <c r="T1080" s="167">
        <f t="shared" si="320"/>
        <v>2616.4579970948998</v>
      </c>
      <c r="U1080" s="167">
        <v>3760.8665025823107</v>
      </c>
      <c r="V1080" s="149">
        <f t="shared" si="324"/>
        <v>1144.4085054874108</v>
      </c>
      <c r="W1080" s="149">
        <f t="shared" si="330"/>
        <v>3760.8665025823107</v>
      </c>
      <c r="X1080" s="149">
        <v>0</v>
      </c>
      <c r="Y1080" s="368">
        <v>0</v>
      </c>
      <c r="Z1080" s="368">
        <v>0</v>
      </c>
      <c r="AA1080" s="368">
        <v>0</v>
      </c>
      <c r="AB1080" s="368">
        <v>0</v>
      </c>
      <c r="AC1080" s="368">
        <v>0</v>
      </c>
      <c r="AD1080" s="368">
        <v>0</v>
      </c>
      <c r="AE1080" s="368">
        <v>747</v>
      </c>
      <c r="AF1080" s="396">
        <f t="shared" si="334"/>
        <v>3760.8665025823107</v>
      </c>
      <c r="AG1080" s="368">
        <v>0</v>
      </c>
      <c r="AH1080" s="396">
        <v>0</v>
      </c>
      <c r="AI1080" s="368">
        <v>0</v>
      </c>
      <c r="AJ1080" s="396">
        <v>0</v>
      </c>
      <c r="AK1080" s="368">
        <v>0</v>
      </c>
      <c r="AL1080" s="368">
        <v>0</v>
      </c>
      <c r="AM1080" s="368">
        <v>0</v>
      </c>
      <c r="AN1080" s="368"/>
      <c r="AO1080" s="368">
        <v>0</v>
      </c>
    </row>
    <row r="1081" spans="1:41" s="152" customFormat="1" ht="36" customHeight="1" x14ac:dyDescent="0.9">
      <c r="A1081" s="152">
        <v>1</v>
      </c>
      <c r="B1081" s="90">
        <f>SUBTOTAL(103,$A$988:A1081)</f>
        <v>92</v>
      </c>
      <c r="C1081" s="89" t="s">
        <v>440</v>
      </c>
      <c r="D1081" s="163">
        <v>1968</v>
      </c>
      <c r="E1081" s="163"/>
      <c r="F1081" s="168" t="s">
        <v>270</v>
      </c>
      <c r="G1081" s="163">
        <v>3</v>
      </c>
      <c r="H1081" s="163">
        <v>2</v>
      </c>
      <c r="I1081" s="164">
        <v>1032.5</v>
      </c>
      <c r="J1081" s="164">
        <v>644</v>
      </c>
      <c r="K1081" s="164">
        <v>445.9</v>
      </c>
      <c r="L1081" s="165">
        <v>76</v>
      </c>
      <c r="M1081" s="163" t="s">
        <v>268</v>
      </c>
      <c r="N1081" s="163" t="s">
        <v>272</v>
      </c>
      <c r="O1081" s="166" t="s">
        <v>332</v>
      </c>
      <c r="P1081" s="167">
        <v>2210461.9000000004</v>
      </c>
      <c r="Q1081" s="167">
        <v>0</v>
      </c>
      <c r="R1081" s="167">
        <v>0</v>
      </c>
      <c r="S1081" s="167">
        <f t="shared" si="329"/>
        <v>2210461.9000000004</v>
      </c>
      <c r="T1081" s="167">
        <f t="shared" si="320"/>
        <v>2140.8831961259084</v>
      </c>
      <c r="U1081" s="167">
        <v>2918.540949152542</v>
      </c>
      <c r="V1081" s="149">
        <f t="shared" si="324"/>
        <v>777.6577530266336</v>
      </c>
      <c r="W1081" s="149">
        <f t="shared" si="330"/>
        <v>2918.540949152542</v>
      </c>
      <c r="X1081" s="149">
        <v>0</v>
      </c>
      <c r="Y1081" s="368">
        <v>0</v>
      </c>
      <c r="Z1081" s="368">
        <v>0</v>
      </c>
      <c r="AA1081" s="368">
        <v>0</v>
      </c>
      <c r="AB1081" s="368">
        <v>0</v>
      </c>
      <c r="AC1081" s="368">
        <v>0</v>
      </c>
      <c r="AD1081" s="368">
        <v>0</v>
      </c>
      <c r="AE1081" s="368">
        <v>483</v>
      </c>
      <c r="AF1081" s="396">
        <f t="shared" si="334"/>
        <v>2918.540949152542</v>
      </c>
      <c r="AG1081" s="368">
        <v>0</v>
      </c>
      <c r="AH1081" s="396">
        <v>0</v>
      </c>
      <c r="AI1081" s="368">
        <v>0</v>
      </c>
      <c r="AJ1081" s="396">
        <v>0</v>
      </c>
      <c r="AK1081" s="368">
        <v>0</v>
      </c>
      <c r="AL1081" s="368">
        <v>0</v>
      </c>
      <c r="AM1081" s="368">
        <v>0</v>
      </c>
      <c r="AN1081" s="368"/>
      <c r="AO1081" s="368">
        <v>0</v>
      </c>
    </row>
    <row r="1082" spans="1:41" s="152" customFormat="1" ht="36" customHeight="1" x14ac:dyDescent="0.9">
      <c r="A1082" s="152">
        <v>1</v>
      </c>
      <c r="B1082" s="90">
        <f>SUBTOTAL(103,$A$988:A1082)</f>
        <v>93</v>
      </c>
      <c r="C1082" s="89" t="s">
        <v>441</v>
      </c>
      <c r="D1082" s="163">
        <v>1969</v>
      </c>
      <c r="E1082" s="163"/>
      <c r="F1082" s="168" t="s">
        <v>270</v>
      </c>
      <c r="G1082" s="163">
        <v>5</v>
      </c>
      <c r="H1082" s="163">
        <v>6</v>
      </c>
      <c r="I1082" s="164">
        <v>5048.3000000000011</v>
      </c>
      <c r="J1082" s="164">
        <v>4487.6000000000004</v>
      </c>
      <c r="K1082" s="164">
        <v>3957.13</v>
      </c>
      <c r="L1082" s="165">
        <v>204</v>
      </c>
      <c r="M1082" s="163" t="s">
        <v>268</v>
      </c>
      <c r="N1082" s="163" t="s">
        <v>272</v>
      </c>
      <c r="O1082" s="166" t="s">
        <v>332</v>
      </c>
      <c r="P1082" s="167">
        <v>7557284.3099999996</v>
      </c>
      <c r="Q1082" s="167">
        <v>0</v>
      </c>
      <c r="R1082" s="167">
        <v>0</v>
      </c>
      <c r="S1082" s="167">
        <f t="shared" si="329"/>
        <v>7557284.3099999996</v>
      </c>
      <c r="T1082" s="167">
        <f t="shared" si="320"/>
        <v>1496.9958817819856</v>
      </c>
      <c r="U1082" s="167">
        <v>1855.0014678208502</v>
      </c>
      <c r="V1082" s="149">
        <f t="shared" si="324"/>
        <v>358.00558603886452</v>
      </c>
      <c r="W1082" s="149">
        <f t="shared" si="330"/>
        <v>1855.0014678208502</v>
      </c>
      <c r="X1082" s="149">
        <v>0</v>
      </c>
      <c r="Y1082" s="368">
        <v>0</v>
      </c>
      <c r="Z1082" s="368">
        <v>0</v>
      </c>
      <c r="AA1082" s="368">
        <v>0</v>
      </c>
      <c r="AB1082" s="368">
        <v>0</v>
      </c>
      <c r="AC1082" s="368">
        <v>0</v>
      </c>
      <c r="AD1082" s="368">
        <v>0</v>
      </c>
      <c r="AE1082" s="368">
        <v>1501</v>
      </c>
      <c r="AF1082" s="396">
        <f t="shared" si="334"/>
        <v>1855.0014678208502</v>
      </c>
      <c r="AG1082" s="368">
        <v>0</v>
      </c>
      <c r="AH1082" s="396">
        <v>0</v>
      </c>
      <c r="AI1082" s="368">
        <v>0</v>
      </c>
      <c r="AJ1082" s="396">
        <v>0</v>
      </c>
      <c r="AK1082" s="368">
        <v>0</v>
      </c>
      <c r="AL1082" s="368">
        <v>0</v>
      </c>
      <c r="AM1082" s="368">
        <v>0</v>
      </c>
      <c r="AN1082" s="368"/>
      <c r="AO1082" s="368">
        <v>0</v>
      </c>
    </row>
    <row r="1083" spans="1:41" s="152" customFormat="1" ht="36" customHeight="1" x14ac:dyDescent="0.9">
      <c r="A1083" s="152">
        <v>1</v>
      </c>
      <c r="B1083" s="90">
        <f>SUBTOTAL(103,$A$988:A1083)</f>
        <v>94</v>
      </c>
      <c r="C1083" s="89" t="s">
        <v>442</v>
      </c>
      <c r="D1083" s="163">
        <v>1943</v>
      </c>
      <c r="E1083" s="163"/>
      <c r="F1083" s="168" t="s">
        <v>270</v>
      </c>
      <c r="G1083" s="163">
        <v>2</v>
      </c>
      <c r="H1083" s="163">
        <v>2</v>
      </c>
      <c r="I1083" s="164">
        <v>715.9</v>
      </c>
      <c r="J1083" s="164">
        <v>646.9</v>
      </c>
      <c r="K1083" s="164">
        <v>547.55999999999995</v>
      </c>
      <c r="L1083" s="165">
        <v>35</v>
      </c>
      <c r="M1083" s="163" t="s">
        <v>268</v>
      </c>
      <c r="N1083" s="163" t="s">
        <v>272</v>
      </c>
      <c r="O1083" s="166" t="s">
        <v>329</v>
      </c>
      <c r="P1083" s="167">
        <v>3073377.74</v>
      </c>
      <c r="Q1083" s="167">
        <v>0</v>
      </c>
      <c r="R1083" s="167">
        <v>0</v>
      </c>
      <c r="S1083" s="167">
        <f t="shared" si="329"/>
        <v>3073377.74</v>
      </c>
      <c r="T1083" s="167">
        <f t="shared" si="320"/>
        <v>4293.0265958932814</v>
      </c>
      <c r="U1083" s="167">
        <v>5228.8671602179074</v>
      </c>
      <c r="V1083" s="149">
        <f t="shared" si="324"/>
        <v>935.84056432462603</v>
      </c>
      <c r="W1083" s="149">
        <f t="shared" si="330"/>
        <v>5228.8671602179074</v>
      </c>
      <c r="X1083" s="149">
        <v>0</v>
      </c>
      <c r="Y1083" s="368">
        <v>0</v>
      </c>
      <c r="Z1083" s="368">
        <v>0</v>
      </c>
      <c r="AA1083" s="368">
        <v>0</v>
      </c>
      <c r="AB1083" s="368">
        <v>0</v>
      </c>
      <c r="AC1083" s="368">
        <v>0</v>
      </c>
      <c r="AD1083" s="368">
        <v>0</v>
      </c>
      <c r="AE1083" s="368">
        <v>600</v>
      </c>
      <c r="AF1083" s="396">
        <f t="shared" si="334"/>
        <v>5228.8671602179074</v>
      </c>
      <c r="AG1083" s="368">
        <v>0</v>
      </c>
      <c r="AH1083" s="396">
        <v>0</v>
      </c>
      <c r="AI1083" s="368">
        <v>0</v>
      </c>
      <c r="AJ1083" s="396">
        <v>0</v>
      </c>
      <c r="AK1083" s="368">
        <v>0</v>
      </c>
      <c r="AL1083" s="368">
        <v>0</v>
      </c>
      <c r="AM1083" s="368">
        <v>0</v>
      </c>
      <c r="AN1083" s="368"/>
      <c r="AO1083" s="368">
        <v>0</v>
      </c>
    </row>
    <row r="1084" spans="1:41" s="152" customFormat="1" ht="36" customHeight="1" x14ac:dyDescent="0.9">
      <c r="A1084" s="152">
        <v>1</v>
      </c>
      <c r="B1084" s="90">
        <f>SUBTOTAL(103,$A$988:A1084)</f>
        <v>95</v>
      </c>
      <c r="C1084" s="89" t="s">
        <v>443</v>
      </c>
      <c r="D1084" s="163">
        <v>1917</v>
      </c>
      <c r="E1084" s="163"/>
      <c r="F1084" s="168" t="s">
        <v>334</v>
      </c>
      <c r="G1084" s="163">
        <v>2</v>
      </c>
      <c r="H1084" s="163">
        <v>2</v>
      </c>
      <c r="I1084" s="164">
        <v>643.4</v>
      </c>
      <c r="J1084" s="164">
        <v>521.79999999999995</v>
      </c>
      <c r="K1084" s="164">
        <v>423.09999999999997</v>
      </c>
      <c r="L1084" s="165">
        <v>21</v>
      </c>
      <c r="M1084" s="163" t="s">
        <v>268</v>
      </c>
      <c r="N1084" s="163" t="s">
        <v>272</v>
      </c>
      <c r="O1084" s="166" t="s">
        <v>325</v>
      </c>
      <c r="P1084" s="167">
        <v>1665415</v>
      </c>
      <c r="Q1084" s="167">
        <v>0</v>
      </c>
      <c r="R1084" s="167">
        <v>0</v>
      </c>
      <c r="S1084" s="167">
        <f t="shared" si="329"/>
        <v>1665415</v>
      </c>
      <c r="T1084" s="167">
        <f t="shared" si="320"/>
        <v>2588.4597451041345</v>
      </c>
      <c r="U1084" s="167">
        <v>3578.1128225054399</v>
      </c>
      <c r="V1084" s="149">
        <f t="shared" si="324"/>
        <v>989.65307740130538</v>
      </c>
      <c r="W1084" s="149">
        <f t="shared" si="330"/>
        <v>3578.1128225054399</v>
      </c>
      <c r="X1084" s="149">
        <v>0</v>
      </c>
      <c r="Y1084" s="368">
        <v>0</v>
      </c>
      <c r="Z1084" s="368">
        <v>0</v>
      </c>
      <c r="AA1084" s="368">
        <v>0</v>
      </c>
      <c r="AB1084" s="368">
        <v>0</v>
      </c>
      <c r="AC1084" s="368">
        <v>0</v>
      </c>
      <c r="AD1084" s="368">
        <v>0</v>
      </c>
      <c r="AE1084" s="368">
        <v>369</v>
      </c>
      <c r="AF1084" s="396">
        <f t="shared" si="334"/>
        <v>3578.1128225054399</v>
      </c>
      <c r="AG1084" s="368">
        <v>0</v>
      </c>
      <c r="AH1084" s="396">
        <v>0</v>
      </c>
      <c r="AI1084" s="368">
        <v>0</v>
      </c>
      <c r="AJ1084" s="396">
        <v>0</v>
      </c>
      <c r="AK1084" s="368">
        <v>0</v>
      </c>
      <c r="AL1084" s="368">
        <v>0</v>
      </c>
      <c r="AM1084" s="368">
        <v>0</v>
      </c>
      <c r="AN1084" s="368"/>
      <c r="AO1084" s="368">
        <v>0</v>
      </c>
    </row>
    <row r="1085" spans="1:41" s="152" customFormat="1" ht="36" customHeight="1" x14ac:dyDescent="0.9">
      <c r="A1085" s="152">
        <v>1</v>
      </c>
      <c r="B1085" s="90">
        <f>SUBTOTAL(103,$A$988:A1085)</f>
        <v>96</v>
      </c>
      <c r="C1085" s="89" t="s">
        <v>211</v>
      </c>
      <c r="D1085" s="163">
        <v>1967</v>
      </c>
      <c r="E1085" s="163"/>
      <c r="F1085" s="168" t="s">
        <v>270</v>
      </c>
      <c r="G1085" s="163">
        <v>2</v>
      </c>
      <c r="H1085" s="163">
        <v>2</v>
      </c>
      <c r="I1085" s="164">
        <v>678.4</v>
      </c>
      <c r="J1085" s="164">
        <v>629.79999999999995</v>
      </c>
      <c r="K1085" s="164">
        <v>589.79999999999995</v>
      </c>
      <c r="L1085" s="165">
        <v>37</v>
      </c>
      <c r="M1085" s="163" t="s">
        <v>268</v>
      </c>
      <c r="N1085" s="163" t="s">
        <v>272</v>
      </c>
      <c r="O1085" s="166" t="s">
        <v>331</v>
      </c>
      <c r="P1085" s="167">
        <v>2384110.7700000005</v>
      </c>
      <c r="Q1085" s="167">
        <v>0</v>
      </c>
      <c r="R1085" s="167">
        <v>0</v>
      </c>
      <c r="S1085" s="167">
        <f t="shared" si="329"/>
        <v>2384110.7700000005</v>
      </c>
      <c r="T1085" s="167">
        <f t="shared" si="320"/>
        <v>3514.3142246462271</v>
      </c>
      <c r="U1085" s="167">
        <v>4828.1659050707549</v>
      </c>
      <c r="V1085" s="149">
        <f t="shared" si="324"/>
        <v>1313.8516804245278</v>
      </c>
      <c r="W1085" s="149">
        <f t="shared" si="330"/>
        <v>4828.1659050707549</v>
      </c>
      <c r="X1085" s="149">
        <v>0</v>
      </c>
      <c r="Y1085" s="368">
        <v>0</v>
      </c>
      <c r="Z1085" s="368">
        <v>0</v>
      </c>
      <c r="AA1085" s="368">
        <v>0</v>
      </c>
      <c r="AB1085" s="368">
        <v>0</v>
      </c>
      <c r="AC1085" s="368">
        <v>0</v>
      </c>
      <c r="AD1085" s="368">
        <v>0</v>
      </c>
      <c r="AE1085" s="368">
        <v>525</v>
      </c>
      <c r="AF1085" s="396">
        <f t="shared" si="334"/>
        <v>4828.1659050707549</v>
      </c>
      <c r="AG1085" s="368">
        <v>0</v>
      </c>
      <c r="AH1085" s="396">
        <v>0</v>
      </c>
      <c r="AI1085" s="368">
        <v>0</v>
      </c>
      <c r="AJ1085" s="396">
        <v>0</v>
      </c>
      <c r="AK1085" s="368">
        <v>0</v>
      </c>
      <c r="AL1085" s="368">
        <v>0</v>
      </c>
      <c r="AM1085" s="368">
        <v>0</v>
      </c>
      <c r="AN1085" s="368"/>
      <c r="AO1085" s="368">
        <v>0</v>
      </c>
    </row>
    <row r="1086" spans="1:41" s="152" customFormat="1" ht="36" customHeight="1" x14ac:dyDescent="0.9">
      <c r="A1086" s="152">
        <v>1</v>
      </c>
      <c r="B1086" s="90">
        <f>SUBTOTAL(103,$A$988:A1086)</f>
        <v>97</v>
      </c>
      <c r="C1086" s="89" t="s">
        <v>210</v>
      </c>
      <c r="D1086" s="163">
        <v>1975</v>
      </c>
      <c r="E1086" s="163"/>
      <c r="F1086" s="168" t="s">
        <v>270</v>
      </c>
      <c r="G1086" s="163">
        <v>2</v>
      </c>
      <c r="H1086" s="163">
        <v>2</v>
      </c>
      <c r="I1086" s="164">
        <v>817.4</v>
      </c>
      <c r="J1086" s="164">
        <v>756.3</v>
      </c>
      <c r="K1086" s="164">
        <v>652</v>
      </c>
      <c r="L1086" s="165">
        <v>43</v>
      </c>
      <c r="M1086" s="163" t="s">
        <v>268</v>
      </c>
      <c r="N1086" s="163" t="s">
        <v>272</v>
      </c>
      <c r="O1086" s="166" t="s">
        <v>331</v>
      </c>
      <c r="P1086" s="167">
        <v>2817533.3499999996</v>
      </c>
      <c r="Q1086" s="167">
        <v>0</v>
      </c>
      <c r="R1086" s="167">
        <v>0</v>
      </c>
      <c r="S1086" s="167">
        <f t="shared" si="329"/>
        <v>2817533.3499999996</v>
      </c>
      <c r="T1086" s="167">
        <f t="shared" si="320"/>
        <v>3446.9456202593587</v>
      </c>
      <c r="U1086" s="167">
        <v>4686.4334964521649</v>
      </c>
      <c r="V1086" s="149">
        <f t="shared" si="324"/>
        <v>1239.4878761928062</v>
      </c>
      <c r="W1086" s="149">
        <f t="shared" si="330"/>
        <v>4686.4334964521649</v>
      </c>
      <c r="X1086" s="149">
        <v>0</v>
      </c>
      <c r="Y1086" s="368">
        <v>0</v>
      </c>
      <c r="Z1086" s="368">
        <v>0</v>
      </c>
      <c r="AA1086" s="368">
        <v>0</v>
      </c>
      <c r="AB1086" s="368">
        <v>0</v>
      </c>
      <c r="AC1086" s="368">
        <v>0</v>
      </c>
      <c r="AD1086" s="368">
        <v>0</v>
      </c>
      <c r="AE1086" s="368">
        <v>614</v>
      </c>
      <c r="AF1086" s="396">
        <f t="shared" si="334"/>
        <v>4686.4334964521649</v>
      </c>
      <c r="AG1086" s="368">
        <v>0</v>
      </c>
      <c r="AH1086" s="396">
        <v>0</v>
      </c>
      <c r="AI1086" s="368">
        <v>0</v>
      </c>
      <c r="AJ1086" s="396">
        <v>0</v>
      </c>
      <c r="AK1086" s="368">
        <v>0</v>
      </c>
      <c r="AL1086" s="368">
        <v>0</v>
      </c>
      <c r="AM1086" s="368">
        <v>0</v>
      </c>
      <c r="AN1086" s="368"/>
      <c r="AO1086" s="368">
        <v>0</v>
      </c>
    </row>
    <row r="1087" spans="1:41" s="152" customFormat="1" ht="36" customHeight="1" x14ac:dyDescent="0.9">
      <c r="A1087" s="152">
        <v>1</v>
      </c>
      <c r="B1087" s="90">
        <f>SUBTOTAL(103,$A$988:A1087)</f>
        <v>98</v>
      </c>
      <c r="C1087" s="89" t="s">
        <v>445</v>
      </c>
      <c r="D1087" s="163">
        <v>1950</v>
      </c>
      <c r="E1087" s="163"/>
      <c r="F1087" s="168" t="s">
        <v>270</v>
      </c>
      <c r="G1087" s="163">
        <v>2</v>
      </c>
      <c r="H1087" s="163">
        <v>1</v>
      </c>
      <c r="I1087" s="164">
        <v>411.15</v>
      </c>
      <c r="J1087" s="164">
        <v>369.45</v>
      </c>
      <c r="K1087" s="164">
        <v>369.45</v>
      </c>
      <c r="L1087" s="165">
        <v>17</v>
      </c>
      <c r="M1087" s="163" t="s">
        <v>268</v>
      </c>
      <c r="N1087" s="163" t="s">
        <v>272</v>
      </c>
      <c r="O1087" s="166" t="s">
        <v>325</v>
      </c>
      <c r="P1087" s="167">
        <v>1660239.97</v>
      </c>
      <c r="Q1087" s="167">
        <v>0</v>
      </c>
      <c r="R1087" s="167">
        <v>0</v>
      </c>
      <c r="S1087" s="167">
        <f t="shared" si="329"/>
        <v>1660239.97</v>
      </c>
      <c r="T1087" s="167">
        <f t="shared" si="320"/>
        <v>4038.0395719323851</v>
      </c>
      <c r="U1087" s="167">
        <v>5614.4878997932628</v>
      </c>
      <c r="V1087" s="149">
        <f t="shared" si="324"/>
        <v>1576.4483278608777</v>
      </c>
      <c r="W1087" s="149">
        <f t="shared" si="330"/>
        <v>5614.4878997932628</v>
      </c>
      <c r="X1087" s="149">
        <v>0</v>
      </c>
      <c r="Y1087" s="368">
        <v>0</v>
      </c>
      <c r="Z1087" s="368">
        <v>0</v>
      </c>
      <c r="AA1087" s="368">
        <v>0</v>
      </c>
      <c r="AB1087" s="368">
        <v>0</v>
      </c>
      <c r="AC1087" s="368">
        <v>0</v>
      </c>
      <c r="AD1087" s="368">
        <v>0</v>
      </c>
      <c r="AE1087" s="368">
        <v>370</v>
      </c>
      <c r="AF1087" s="396">
        <f t="shared" si="334"/>
        <v>5614.4878997932628</v>
      </c>
      <c r="AG1087" s="368">
        <v>0</v>
      </c>
      <c r="AH1087" s="396">
        <v>0</v>
      </c>
      <c r="AI1087" s="368">
        <v>0</v>
      </c>
      <c r="AJ1087" s="396">
        <v>0</v>
      </c>
      <c r="AK1087" s="368">
        <v>0</v>
      </c>
      <c r="AL1087" s="368">
        <v>0</v>
      </c>
      <c r="AM1087" s="368">
        <v>0</v>
      </c>
      <c r="AN1087" s="368"/>
      <c r="AO1087" s="368">
        <v>0</v>
      </c>
    </row>
    <row r="1088" spans="1:41" s="152" customFormat="1" ht="36" customHeight="1" x14ac:dyDescent="0.9">
      <c r="A1088" s="152">
        <v>1</v>
      </c>
      <c r="B1088" s="90">
        <f>SUBTOTAL(103,$A$988:A1088)</f>
        <v>99</v>
      </c>
      <c r="C1088" s="89" t="s">
        <v>446</v>
      </c>
      <c r="D1088" s="163">
        <v>1966</v>
      </c>
      <c r="E1088" s="163"/>
      <c r="F1088" s="168" t="s">
        <v>270</v>
      </c>
      <c r="G1088" s="163">
        <v>2</v>
      </c>
      <c r="H1088" s="163">
        <v>2</v>
      </c>
      <c r="I1088" s="164">
        <v>667.6</v>
      </c>
      <c r="J1088" s="164">
        <v>626.5</v>
      </c>
      <c r="K1088" s="164">
        <v>586.70000000000005</v>
      </c>
      <c r="L1088" s="165">
        <v>37</v>
      </c>
      <c r="M1088" s="163" t="s">
        <v>268</v>
      </c>
      <c r="N1088" s="163" t="s">
        <v>272</v>
      </c>
      <c r="O1088" s="166" t="s">
        <v>331</v>
      </c>
      <c r="P1088" s="167">
        <v>2407235.63</v>
      </c>
      <c r="Q1088" s="167">
        <v>0</v>
      </c>
      <c r="R1088" s="167">
        <v>0</v>
      </c>
      <c r="S1088" s="167">
        <f t="shared" si="329"/>
        <v>2407235.63</v>
      </c>
      <c r="T1088" s="167">
        <f t="shared" si="320"/>
        <v>3605.8053175554223</v>
      </c>
      <c r="U1088" s="167">
        <v>4952.9992510485317</v>
      </c>
      <c r="V1088" s="149">
        <f t="shared" si="324"/>
        <v>1347.1939334931094</v>
      </c>
      <c r="W1088" s="149">
        <f t="shared" si="330"/>
        <v>4952.9992510485317</v>
      </c>
      <c r="X1088" s="149">
        <v>0</v>
      </c>
      <c r="Y1088" s="368">
        <v>0</v>
      </c>
      <c r="Z1088" s="368">
        <v>0</v>
      </c>
      <c r="AA1088" s="368">
        <v>0</v>
      </c>
      <c r="AB1088" s="368">
        <v>0</v>
      </c>
      <c r="AC1088" s="368">
        <v>0</v>
      </c>
      <c r="AD1088" s="368">
        <v>0</v>
      </c>
      <c r="AE1088" s="368">
        <v>530</v>
      </c>
      <c r="AF1088" s="396">
        <f t="shared" si="334"/>
        <v>4952.9992510485317</v>
      </c>
      <c r="AG1088" s="368">
        <v>0</v>
      </c>
      <c r="AH1088" s="396">
        <v>0</v>
      </c>
      <c r="AI1088" s="368">
        <v>0</v>
      </c>
      <c r="AJ1088" s="396">
        <v>0</v>
      </c>
      <c r="AK1088" s="368">
        <v>0</v>
      </c>
      <c r="AL1088" s="368">
        <v>0</v>
      </c>
      <c r="AM1088" s="368">
        <v>0</v>
      </c>
      <c r="AN1088" s="368"/>
      <c r="AO1088" s="368">
        <v>0</v>
      </c>
    </row>
    <row r="1089" spans="1:41" s="152" customFormat="1" ht="36" customHeight="1" x14ac:dyDescent="0.9">
      <c r="A1089" s="152">
        <v>1</v>
      </c>
      <c r="B1089" s="90">
        <f>SUBTOTAL(103,$A$988:A1089)</f>
        <v>100</v>
      </c>
      <c r="C1089" s="89" t="s">
        <v>447</v>
      </c>
      <c r="D1089" s="163">
        <v>1977</v>
      </c>
      <c r="E1089" s="163"/>
      <c r="F1089" s="168" t="s">
        <v>270</v>
      </c>
      <c r="G1089" s="163">
        <v>9</v>
      </c>
      <c r="H1089" s="163">
        <v>1</v>
      </c>
      <c r="I1089" s="164">
        <v>2576</v>
      </c>
      <c r="J1089" s="164">
        <v>2212.6999999999998</v>
      </c>
      <c r="K1089" s="164">
        <v>2123.6999999999998</v>
      </c>
      <c r="L1089" s="165">
        <v>106</v>
      </c>
      <c r="M1089" s="163" t="s">
        <v>268</v>
      </c>
      <c r="N1089" s="163" t="s">
        <v>272</v>
      </c>
      <c r="O1089" s="166" t="s">
        <v>331</v>
      </c>
      <c r="P1089" s="167">
        <v>1790689.27</v>
      </c>
      <c r="Q1089" s="167">
        <v>0</v>
      </c>
      <c r="R1089" s="167">
        <v>0</v>
      </c>
      <c r="S1089" s="167">
        <f t="shared" si="329"/>
        <v>1790689.27</v>
      </c>
      <c r="T1089" s="167">
        <f t="shared" si="320"/>
        <v>695.14335015527956</v>
      </c>
      <c r="U1089" s="167">
        <v>959.08709627329188</v>
      </c>
      <c r="V1089" s="149">
        <f t="shared" si="324"/>
        <v>263.94374611801231</v>
      </c>
      <c r="W1089" s="149">
        <f t="shared" si="330"/>
        <v>959.08709627329188</v>
      </c>
      <c r="X1089" s="149">
        <v>0</v>
      </c>
      <c r="Y1089" s="368">
        <v>0</v>
      </c>
      <c r="Z1089" s="368">
        <v>0</v>
      </c>
      <c r="AA1089" s="368">
        <v>0</v>
      </c>
      <c r="AB1089" s="368">
        <v>0</v>
      </c>
      <c r="AC1089" s="368">
        <v>0</v>
      </c>
      <c r="AD1089" s="368">
        <v>0</v>
      </c>
      <c r="AE1089" s="368">
        <v>396</v>
      </c>
      <c r="AF1089" s="396">
        <f t="shared" si="334"/>
        <v>959.08709627329188</v>
      </c>
      <c r="AG1089" s="368">
        <v>0</v>
      </c>
      <c r="AH1089" s="396">
        <v>0</v>
      </c>
      <c r="AI1089" s="368">
        <v>0</v>
      </c>
      <c r="AJ1089" s="396">
        <v>0</v>
      </c>
      <c r="AK1089" s="368">
        <v>0</v>
      </c>
      <c r="AL1089" s="368">
        <v>0</v>
      </c>
      <c r="AM1089" s="368">
        <v>0</v>
      </c>
      <c r="AN1089" s="368"/>
      <c r="AO1089" s="368">
        <v>0</v>
      </c>
    </row>
    <row r="1090" spans="1:41" s="152" customFormat="1" ht="36" customHeight="1" x14ac:dyDescent="0.9">
      <c r="A1090" s="152">
        <v>1</v>
      </c>
      <c r="B1090" s="90">
        <f>SUBTOTAL(103,$A$988:A1090)</f>
        <v>101</v>
      </c>
      <c r="C1090" s="89" t="s">
        <v>827</v>
      </c>
      <c r="D1090" s="163">
        <v>1988</v>
      </c>
      <c r="E1090" s="163"/>
      <c r="F1090" s="168" t="s">
        <v>270</v>
      </c>
      <c r="G1090" s="163">
        <v>9</v>
      </c>
      <c r="H1090" s="163">
        <v>3</v>
      </c>
      <c r="I1090" s="164">
        <v>6719</v>
      </c>
      <c r="J1090" s="164">
        <v>5795.4</v>
      </c>
      <c r="K1090" s="164">
        <v>5264.2</v>
      </c>
      <c r="L1090" s="165">
        <v>304</v>
      </c>
      <c r="M1090" s="163" t="s">
        <v>268</v>
      </c>
      <c r="N1090" s="163" t="s">
        <v>272</v>
      </c>
      <c r="O1090" s="166" t="s">
        <v>1001</v>
      </c>
      <c r="P1090" s="167">
        <v>6300000</v>
      </c>
      <c r="Q1090" s="167">
        <v>0</v>
      </c>
      <c r="R1090" s="167">
        <v>0</v>
      </c>
      <c r="S1090" s="167">
        <f t="shared" si="329"/>
        <v>6300000</v>
      </c>
      <c r="T1090" s="167">
        <f t="shared" si="320"/>
        <v>937.63952969191848</v>
      </c>
      <c r="U1090" s="167">
        <v>1097.3954457508557</v>
      </c>
      <c r="V1090" s="149">
        <f t="shared" si="324"/>
        <v>159.75591605893726</v>
      </c>
      <c r="W1090" s="149">
        <f t="shared" si="330"/>
        <v>1097.3954457508557</v>
      </c>
      <c r="X1090" s="149">
        <v>0</v>
      </c>
      <c r="Y1090" s="368">
        <v>0</v>
      </c>
      <c r="Z1090" s="368">
        <v>0</v>
      </c>
      <c r="AA1090" s="368">
        <v>0</v>
      </c>
      <c r="AB1090" s="368">
        <v>0</v>
      </c>
      <c r="AC1090" s="368">
        <v>3</v>
      </c>
      <c r="AD1090" s="396">
        <f>2457800*AC1090/I1090</f>
        <v>1097.3954457508557</v>
      </c>
      <c r="AE1090" s="368">
        <v>0</v>
      </c>
      <c r="AF1090" s="396">
        <v>0</v>
      </c>
      <c r="AG1090" s="368">
        <v>0</v>
      </c>
      <c r="AH1090" s="396">
        <v>0</v>
      </c>
      <c r="AI1090" s="368">
        <v>0</v>
      </c>
      <c r="AJ1090" s="396">
        <v>0</v>
      </c>
      <c r="AK1090" s="368">
        <v>0</v>
      </c>
      <c r="AL1090" s="368">
        <v>0</v>
      </c>
      <c r="AM1090" s="368">
        <v>0</v>
      </c>
      <c r="AN1090" s="368"/>
      <c r="AO1090" s="368">
        <v>0</v>
      </c>
    </row>
    <row r="1091" spans="1:41" s="152" customFormat="1" ht="36" customHeight="1" x14ac:dyDescent="0.9">
      <c r="B1091" s="382" t="s">
        <v>794</v>
      </c>
      <c r="C1091" s="382"/>
      <c r="D1091" s="384" t="s">
        <v>903</v>
      </c>
      <c r="E1091" s="163" t="s">
        <v>903</v>
      </c>
      <c r="F1091" s="384" t="s">
        <v>903</v>
      </c>
      <c r="G1091" s="384" t="s">
        <v>903</v>
      </c>
      <c r="H1091" s="163" t="s">
        <v>903</v>
      </c>
      <c r="I1091" s="386">
        <f>SUM(I1092:I1102)</f>
        <v>28484.610000000004</v>
      </c>
      <c r="J1091" s="164">
        <f>SUM(J1092:J1102)</f>
        <v>20082.5</v>
      </c>
      <c r="K1091" s="164">
        <f>SUM(K1092:K1102)</f>
        <v>19493.600000000002</v>
      </c>
      <c r="L1091" s="165">
        <f>SUM(L1092:L1102)</f>
        <v>850</v>
      </c>
      <c r="M1091" s="163" t="s">
        <v>903</v>
      </c>
      <c r="N1091" s="163" t="s">
        <v>903</v>
      </c>
      <c r="O1091" s="166" t="s">
        <v>903</v>
      </c>
      <c r="P1091" s="386">
        <v>45011140.729999997</v>
      </c>
      <c r="Q1091" s="164">
        <f>SUM(Q1092:Q1102)</f>
        <v>0</v>
      </c>
      <c r="R1091" s="164">
        <f>SUM(R1092:R1102)</f>
        <v>0</v>
      </c>
      <c r="S1091" s="164">
        <f>SUM(S1092:S1102)</f>
        <v>45011140.729999997</v>
      </c>
      <c r="T1091" s="387">
        <f t="shared" si="320"/>
        <v>1580.1915746783961</v>
      </c>
      <c r="U1091" s="387">
        <f>MAX(U1092:U1102)</f>
        <v>8661.3065976714097</v>
      </c>
      <c r="V1091" s="149">
        <f t="shared" si="324"/>
        <v>7081.1150229930136</v>
      </c>
      <c r="W1091" s="149"/>
      <c r="X1091" s="149"/>
      <c r="Y1091" s="368"/>
      <c r="Z1091" s="368"/>
      <c r="AA1091" s="368"/>
      <c r="AB1091" s="368"/>
      <c r="AC1091" s="368"/>
      <c r="AD1091" s="368"/>
      <c r="AE1091" s="368"/>
      <c r="AF1091" s="368"/>
      <c r="AG1091" s="368"/>
      <c r="AH1091" s="368"/>
      <c r="AI1091" s="368"/>
      <c r="AJ1091" s="368"/>
      <c r="AK1091" s="368"/>
      <c r="AL1091" s="368"/>
      <c r="AM1091" s="368"/>
      <c r="AN1091" s="368"/>
      <c r="AO1091" s="368"/>
    </row>
    <row r="1092" spans="1:41" s="152" customFormat="1" ht="36" customHeight="1" x14ac:dyDescent="0.9">
      <c r="A1092" s="152">
        <v>1</v>
      </c>
      <c r="B1092" s="90">
        <f>SUBTOTAL(103,$A$988:A1092)</f>
        <v>102</v>
      </c>
      <c r="C1092" s="89" t="s">
        <v>795</v>
      </c>
      <c r="D1092" s="163">
        <v>1961</v>
      </c>
      <c r="E1092" s="163"/>
      <c r="F1092" s="168" t="s">
        <v>270</v>
      </c>
      <c r="G1092" s="163">
        <v>3</v>
      </c>
      <c r="H1092" s="163">
        <v>2</v>
      </c>
      <c r="I1092" s="164">
        <v>1044</v>
      </c>
      <c r="J1092" s="164">
        <v>968.1</v>
      </c>
      <c r="K1092" s="164">
        <v>968.1</v>
      </c>
      <c r="L1092" s="165">
        <v>46</v>
      </c>
      <c r="M1092" s="163" t="s">
        <v>268</v>
      </c>
      <c r="N1092" s="163" t="s">
        <v>272</v>
      </c>
      <c r="O1092" s="166" t="s">
        <v>814</v>
      </c>
      <c r="P1092" s="167">
        <v>2532230.7999999998</v>
      </c>
      <c r="Q1092" s="167">
        <v>0</v>
      </c>
      <c r="R1092" s="167">
        <v>0</v>
      </c>
      <c r="S1092" s="167">
        <f t="shared" ref="S1092:S1102" si="335">P1092-Q1092-R1092</f>
        <v>2532230.7999999998</v>
      </c>
      <c r="T1092" s="167">
        <f t="shared" si="320"/>
        <v>2425.5084291187736</v>
      </c>
      <c r="U1092" s="167">
        <v>3023.8395210727967</v>
      </c>
      <c r="V1092" s="149">
        <f t="shared" si="324"/>
        <v>598.33109195402312</v>
      </c>
      <c r="W1092" s="149">
        <f t="shared" ref="W1092:W1102" si="336">X1092+Y1092+Z1092+AA1092+AB1092+AD1092+AF1092+AH1092+AJ1092+AL1092+AN1092+AO1092</f>
        <v>3023.8395210727967</v>
      </c>
      <c r="X1092" s="149">
        <v>0</v>
      </c>
      <c r="Y1092" s="368">
        <v>0</v>
      </c>
      <c r="Z1092" s="368">
        <v>0</v>
      </c>
      <c r="AA1092" s="368">
        <v>0</v>
      </c>
      <c r="AB1092" s="368">
        <v>0</v>
      </c>
      <c r="AC1092" s="368">
        <v>0</v>
      </c>
      <c r="AD1092" s="368">
        <v>0</v>
      </c>
      <c r="AE1092" s="368">
        <v>506</v>
      </c>
      <c r="AF1092" s="396">
        <f t="shared" ref="AF1092:AF1094" si="337">6238.91*AE1092/I1092</f>
        <v>3023.8395210727967</v>
      </c>
      <c r="AG1092" s="368">
        <v>0</v>
      </c>
      <c r="AH1092" s="396">
        <v>0</v>
      </c>
      <c r="AI1092" s="368">
        <v>0</v>
      </c>
      <c r="AJ1092" s="396">
        <v>0</v>
      </c>
      <c r="AK1092" s="368">
        <v>0</v>
      </c>
      <c r="AL1092" s="368">
        <v>0</v>
      </c>
      <c r="AM1092" s="368">
        <v>0</v>
      </c>
      <c r="AN1092" s="368"/>
      <c r="AO1092" s="368">
        <v>0</v>
      </c>
    </row>
    <row r="1093" spans="1:41" s="152" customFormat="1" ht="36" customHeight="1" x14ac:dyDescent="0.9">
      <c r="A1093" s="152">
        <v>1</v>
      </c>
      <c r="B1093" s="90">
        <f>SUBTOTAL(103,$A$988:A1093)</f>
        <v>103</v>
      </c>
      <c r="C1093" s="89" t="s">
        <v>796</v>
      </c>
      <c r="D1093" s="163">
        <v>1960</v>
      </c>
      <c r="E1093" s="163"/>
      <c r="F1093" s="168" t="s">
        <v>270</v>
      </c>
      <c r="G1093" s="163">
        <v>2</v>
      </c>
      <c r="H1093" s="163">
        <v>2</v>
      </c>
      <c r="I1093" s="164">
        <v>711.5</v>
      </c>
      <c r="J1093" s="164">
        <v>515.1</v>
      </c>
      <c r="K1093" s="164">
        <v>515.1</v>
      </c>
      <c r="L1093" s="165">
        <v>13</v>
      </c>
      <c r="M1093" s="163" t="s">
        <v>268</v>
      </c>
      <c r="N1093" s="163" t="s">
        <v>269</v>
      </c>
      <c r="O1093" s="166" t="s">
        <v>271</v>
      </c>
      <c r="P1093" s="167">
        <v>2386020.4</v>
      </c>
      <c r="Q1093" s="167">
        <v>0</v>
      </c>
      <c r="R1093" s="167">
        <v>0</v>
      </c>
      <c r="S1093" s="167">
        <f t="shared" si="335"/>
        <v>2386020.4</v>
      </c>
      <c r="T1093" s="167">
        <f t="shared" si="320"/>
        <v>3353.5072382290932</v>
      </c>
      <c r="U1093" s="167">
        <v>4191.4251300070273</v>
      </c>
      <c r="V1093" s="149">
        <f t="shared" si="324"/>
        <v>837.91789177793407</v>
      </c>
      <c r="W1093" s="149">
        <f t="shared" si="336"/>
        <v>4191.4251300070273</v>
      </c>
      <c r="X1093" s="149">
        <v>0</v>
      </c>
      <c r="Y1093" s="368">
        <v>0</v>
      </c>
      <c r="Z1093" s="368">
        <v>0</v>
      </c>
      <c r="AA1093" s="368">
        <v>0</v>
      </c>
      <c r="AB1093" s="368">
        <v>0</v>
      </c>
      <c r="AC1093" s="368">
        <v>0</v>
      </c>
      <c r="AD1093" s="368">
        <v>0</v>
      </c>
      <c r="AE1093" s="368">
        <v>478</v>
      </c>
      <c r="AF1093" s="396">
        <f t="shared" si="337"/>
        <v>4191.4251300070273</v>
      </c>
      <c r="AG1093" s="368">
        <v>0</v>
      </c>
      <c r="AH1093" s="396">
        <v>0</v>
      </c>
      <c r="AI1093" s="368">
        <v>0</v>
      </c>
      <c r="AJ1093" s="396">
        <v>0</v>
      </c>
      <c r="AK1093" s="368">
        <v>0</v>
      </c>
      <c r="AL1093" s="368">
        <v>0</v>
      </c>
      <c r="AM1093" s="368">
        <v>0</v>
      </c>
      <c r="AN1093" s="368"/>
      <c r="AO1093" s="368">
        <v>0</v>
      </c>
    </row>
    <row r="1094" spans="1:41" s="152" customFormat="1" ht="36" customHeight="1" x14ac:dyDescent="0.9">
      <c r="A1094" s="152">
        <v>1</v>
      </c>
      <c r="B1094" s="90">
        <f>SUBTOTAL(103,$A$988:A1094)</f>
        <v>104</v>
      </c>
      <c r="C1094" s="89" t="s">
        <v>1092</v>
      </c>
      <c r="D1094" s="163">
        <v>1962</v>
      </c>
      <c r="E1094" s="163"/>
      <c r="F1094" s="168" t="s">
        <v>270</v>
      </c>
      <c r="G1094" s="163">
        <v>4</v>
      </c>
      <c r="H1094" s="163">
        <v>2</v>
      </c>
      <c r="I1094" s="164">
        <v>1321.3</v>
      </c>
      <c r="J1094" s="164">
        <v>1280</v>
      </c>
      <c r="K1094" s="164">
        <v>975</v>
      </c>
      <c r="L1094" s="165">
        <v>60</v>
      </c>
      <c r="M1094" s="163" t="s">
        <v>268</v>
      </c>
      <c r="N1094" s="163" t="s">
        <v>272</v>
      </c>
      <c r="O1094" s="166" t="s">
        <v>818</v>
      </c>
      <c r="P1094" s="167">
        <v>3009600</v>
      </c>
      <c r="Q1094" s="167">
        <v>0</v>
      </c>
      <c r="R1094" s="167">
        <v>0</v>
      </c>
      <c r="S1094" s="167">
        <f t="shared" si="335"/>
        <v>3009600</v>
      </c>
      <c r="T1094" s="167">
        <f t="shared" si="320"/>
        <v>2277.7567547112694</v>
      </c>
      <c r="U1094" s="167">
        <v>2960.5665405282675</v>
      </c>
      <c r="V1094" s="149">
        <f t="shared" si="324"/>
        <v>682.8097858169981</v>
      </c>
      <c r="W1094" s="149">
        <f t="shared" si="336"/>
        <v>2960.5665405282675</v>
      </c>
      <c r="X1094" s="149">
        <v>0</v>
      </c>
      <c r="Y1094" s="368">
        <v>0</v>
      </c>
      <c r="Z1094" s="368">
        <v>0</v>
      </c>
      <c r="AA1094" s="368">
        <v>0</v>
      </c>
      <c r="AB1094" s="368">
        <v>0</v>
      </c>
      <c r="AC1094" s="368">
        <v>0</v>
      </c>
      <c r="AD1094" s="368">
        <v>0</v>
      </c>
      <c r="AE1094" s="368">
        <v>627</v>
      </c>
      <c r="AF1094" s="396">
        <f t="shared" si="337"/>
        <v>2960.5665405282675</v>
      </c>
      <c r="AG1094" s="368">
        <v>0</v>
      </c>
      <c r="AH1094" s="396">
        <v>0</v>
      </c>
      <c r="AI1094" s="368">
        <v>0</v>
      </c>
      <c r="AJ1094" s="396">
        <v>0</v>
      </c>
      <c r="AK1094" s="368">
        <v>0</v>
      </c>
      <c r="AL1094" s="368">
        <v>0</v>
      </c>
      <c r="AM1094" s="368">
        <v>0</v>
      </c>
      <c r="AN1094" s="368"/>
      <c r="AO1094" s="368">
        <v>0</v>
      </c>
    </row>
    <row r="1095" spans="1:41" s="152" customFormat="1" ht="36" customHeight="1" x14ac:dyDescent="0.9">
      <c r="A1095" s="152">
        <v>1</v>
      </c>
      <c r="B1095" s="90">
        <f>SUBTOTAL(103,$A$988:A1095)</f>
        <v>105</v>
      </c>
      <c r="C1095" s="89" t="s">
        <v>798</v>
      </c>
      <c r="D1095" s="163">
        <v>1991</v>
      </c>
      <c r="E1095" s="163"/>
      <c r="F1095" s="168" t="s">
        <v>322</v>
      </c>
      <c r="G1095" s="163">
        <v>9</v>
      </c>
      <c r="H1095" s="163">
        <v>4</v>
      </c>
      <c r="I1095" s="164">
        <v>10990.1</v>
      </c>
      <c r="J1095" s="164">
        <v>7793.3</v>
      </c>
      <c r="K1095" s="164">
        <v>7793.3</v>
      </c>
      <c r="L1095" s="165">
        <v>318</v>
      </c>
      <c r="M1095" s="163" t="s">
        <v>268</v>
      </c>
      <c r="N1095" s="163" t="s">
        <v>272</v>
      </c>
      <c r="O1095" s="166" t="s">
        <v>820</v>
      </c>
      <c r="P1095" s="167">
        <v>8452796.0600000005</v>
      </c>
      <c r="Q1095" s="167">
        <v>0</v>
      </c>
      <c r="R1095" s="167">
        <v>0</v>
      </c>
      <c r="S1095" s="167">
        <f t="shared" si="335"/>
        <v>8452796.0600000005</v>
      </c>
      <c r="T1095" s="167">
        <f t="shared" si="320"/>
        <v>769.12822085331345</v>
      </c>
      <c r="U1095" s="167">
        <v>894.55055004049098</v>
      </c>
      <c r="V1095" s="149">
        <f t="shared" si="324"/>
        <v>125.42232918717752</v>
      </c>
      <c r="W1095" s="149">
        <f t="shared" si="336"/>
        <v>894.55055004049098</v>
      </c>
      <c r="X1095" s="149">
        <v>0</v>
      </c>
      <c r="Y1095" s="368">
        <v>0</v>
      </c>
      <c r="Z1095" s="368">
        <v>0</v>
      </c>
      <c r="AA1095" s="368">
        <v>0</v>
      </c>
      <c r="AB1095" s="368">
        <v>0</v>
      </c>
      <c r="AC1095" s="368">
        <v>4</v>
      </c>
      <c r="AD1095" s="396">
        <f>2457800*AC1095/I1095</f>
        <v>894.55055004049098</v>
      </c>
      <c r="AE1095" s="368">
        <v>0</v>
      </c>
      <c r="AF1095" s="396">
        <v>0</v>
      </c>
      <c r="AG1095" s="368">
        <v>0</v>
      </c>
      <c r="AH1095" s="396">
        <v>0</v>
      </c>
      <c r="AI1095" s="368">
        <v>0</v>
      </c>
      <c r="AJ1095" s="396">
        <v>0</v>
      </c>
      <c r="AK1095" s="368">
        <v>0</v>
      </c>
      <c r="AL1095" s="368">
        <v>0</v>
      </c>
      <c r="AM1095" s="368">
        <v>0</v>
      </c>
      <c r="AN1095" s="368"/>
      <c r="AO1095" s="368">
        <v>0</v>
      </c>
    </row>
    <row r="1096" spans="1:41" s="152" customFormat="1" ht="36" customHeight="1" x14ac:dyDescent="0.9">
      <c r="A1096" s="152">
        <v>1</v>
      </c>
      <c r="B1096" s="90">
        <f>SUBTOTAL(103,$A$988:A1096)</f>
        <v>106</v>
      </c>
      <c r="C1096" s="89" t="s">
        <v>800</v>
      </c>
      <c r="D1096" s="163">
        <v>1937</v>
      </c>
      <c r="E1096" s="163"/>
      <c r="F1096" s="168" t="s">
        <v>270</v>
      </c>
      <c r="G1096" s="163">
        <v>3</v>
      </c>
      <c r="H1096" s="163">
        <v>4</v>
      </c>
      <c r="I1096" s="164">
        <v>2758</v>
      </c>
      <c r="J1096" s="164">
        <v>1462.7</v>
      </c>
      <c r="K1096" s="164">
        <v>1347.2</v>
      </c>
      <c r="L1096" s="165">
        <v>62</v>
      </c>
      <c r="M1096" s="163" t="s">
        <v>268</v>
      </c>
      <c r="N1096" s="163" t="s">
        <v>272</v>
      </c>
      <c r="O1096" s="166" t="s">
        <v>818</v>
      </c>
      <c r="P1096" s="167">
        <v>6961648</v>
      </c>
      <c r="Q1096" s="167">
        <v>0</v>
      </c>
      <c r="R1096" s="167">
        <v>0</v>
      </c>
      <c r="S1096" s="167">
        <f t="shared" si="335"/>
        <v>6961648</v>
      </c>
      <c r="T1096" s="167">
        <f t="shared" ref="T1096:T1159" si="338">P1096/I1096</f>
        <v>2524.16533720087</v>
      </c>
      <c r="U1096" s="167">
        <v>3076.4748368382884</v>
      </c>
      <c r="V1096" s="149">
        <f t="shared" si="324"/>
        <v>552.30949963741841</v>
      </c>
      <c r="W1096" s="149">
        <f t="shared" si="336"/>
        <v>3076.4748368382884</v>
      </c>
      <c r="X1096" s="149">
        <v>0</v>
      </c>
      <c r="Y1096" s="368">
        <v>0</v>
      </c>
      <c r="Z1096" s="368">
        <v>0</v>
      </c>
      <c r="AA1096" s="368">
        <v>0</v>
      </c>
      <c r="AB1096" s="368">
        <v>0</v>
      </c>
      <c r="AC1096" s="368">
        <v>0</v>
      </c>
      <c r="AD1096" s="368">
        <v>0</v>
      </c>
      <c r="AE1096" s="368">
        <v>1360</v>
      </c>
      <c r="AF1096" s="396">
        <f t="shared" ref="AF1096:AF1100" si="339">6238.91*AE1096/I1096</f>
        <v>3076.4748368382884</v>
      </c>
      <c r="AG1096" s="368">
        <v>0</v>
      </c>
      <c r="AH1096" s="396">
        <v>0</v>
      </c>
      <c r="AI1096" s="368">
        <v>0</v>
      </c>
      <c r="AJ1096" s="396">
        <v>0</v>
      </c>
      <c r="AK1096" s="368">
        <v>0</v>
      </c>
      <c r="AL1096" s="368">
        <v>0</v>
      </c>
      <c r="AM1096" s="368">
        <v>0</v>
      </c>
      <c r="AN1096" s="368"/>
      <c r="AO1096" s="368">
        <v>0</v>
      </c>
    </row>
    <row r="1097" spans="1:41" s="152" customFormat="1" ht="36" customHeight="1" x14ac:dyDescent="0.9">
      <c r="A1097" s="152">
        <v>1</v>
      </c>
      <c r="B1097" s="90">
        <f>SUBTOTAL(103,$A$988:A1097)</f>
        <v>107</v>
      </c>
      <c r="C1097" s="89" t="s">
        <v>801</v>
      </c>
      <c r="D1097" s="163">
        <v>1959</v>
      </c>
      <c r="E1097" s="163"/>
      <c r="F1097" s="168" t="s">
        <v>270</v>
      </c>
      <c r="G1097" s="163">
        <v>4</v>
      </c>
      <c r="H1097" s="163">
        <v>2</v>
      </c>
      <c r="I1097" s="164">
        <v>1352</v>
      </c>
      <c r="J1097" s="164">
        <v>809</v>
      </c>
      <c r="K1097" s="164">
        <v>809</v>
      </c>
      <c r="L1097" s="165">
        <v>67</v>
      </c>
      <c r="M1097" s="163" t="s">
        <v>268</v>
      </c>
      <c r="N1097" s="163" t="s">
        <v>272</v>
      </c>
      <c r="O1097" s="166" t="s">
        <v>818</v>
      </c>
      <c r="P1097" s="167">
        <v>3278948.1999999997</v>
      </c>
      <c r="Q1097" s="167">
        <v>0</v>
      </c>
      <c r="R1097" s="167">
        <v>0</v>
      </c>
      <c r="S1097" s="167">
        <f t="shared" si="335"/>
        <v>3278948.1999999997</v>
      </c>
      <c r="T1097" s="167">
        <f t="shared" si="338"/>
        <v>2425.2575443786982</v>
      </c>
      <c r="U1097" s="167">
        <v>2994.8613831360944</v>
      </c>
      <c r="V1097" s="149">
        <f t="shared" si="324"/>
        <v>569.60383875739626</v>
      </c>
      <c r="W1097" s="149">
        <f t="shared" si="336"/>
        <v>2994.8613831360944</v>
      </c>
      <c r="X1097" s="149">
        <v>0</v>
      </c>
      <c r="Y1097" s="368">
        <v>0</v>
      </c>
      <c r="Z1097" s="368">
        <v>0</v>
      </c>
      <c r="AA1097" s="368">
        <v>0</v>
      </c>
      <c r="AB1097" s="368">
        <v>0</v>
      </c>
      <c r="AC1097" s="368">
        <v>0</v>
      </c>
      <c r="AD1097" s="368">
        <v>0</v>
      </c>
      <c r="AE1097" s="368">
        <v>649</v>
      </c>
      <c r="AF1097" s="396">
        <f t="shared" si="339"/>
        <v>2994.8613831360944</v>
      </c>
      <c r="AG1097" s="368">
        <v>0</v>
      </c>
      <c r="AH1097" s="396">
        <v>0</v>
      </c>
      <c r="AI1097" s="368">
        <v>0</v>
      </c>
      <c r="AJ1097" s="396">
        <v>0</v>
      </c>
      <c r="AK1097" s="368">
        <v>0</v>
      </c>
      <c r="AL1097" s="368">
        <v>0</v>
      </c>
      <c r="AM1097" s="368">
        <v>0</v>
      </c>
      <c r="AN1097" s="368"/>
      <c r="AO1097" s="368">
        <v>0</v>
      </c>
    </row>
    <row r="1098" spans="1:41" s="152" customFormat="1" ht="36" customHeight="1" x14ac:dyDescent="0.9">
      <c r="A1098" s="152">
        <v>1</v>
      </c>
      <c r="B1098" s="90">
        <f>SUBTOTAL(103,$A$988:A1098)</f>
        <v>108</v>
      </c>
      <c r="C1098" s="89" t="s">
        <v>802</v>
      </c>
      <c r="D1098" s="163">
        <v>1965</v>
      </c>
      <c r="E1098" s="163"/>
      <c r="F1098" s="168" t="s">
        <v>270</v>
      </c>
      <c r="G1098" s="163">
        <v>5</v>
      </c>
      <c r="H1098" s="163">
        <v>2</v>
      </c>
      <c r="I1098" s="164">
        <v>2042.45</v>
      </c>
      <c r="J1098" s="164">
        <v>1565</v>
      </c>
      <c r="K1098" s="164">
        <v>1565</v>
      </c>
      <c r="L1098" s="165">
        <v>65</v>
      </c>
      <c r="M1098" s="163" t="s">
        <v>268</v>
      </c>
      <c r="N1098" s="163" t="s">
        <v>272</v>
      </c>
      <c r="O1098" s="166" t="s">
        <v>816</v>
      </c>
      <c r="P1098" s="167">
        <v>3336388</v>
      </c>
      <c r="Q1098" s="167">
        <v>0</v>
      </c>
      <c r="R1098" s="167">
        <v>0</v>
      </c>
      <c r="S1098" s="167">
        <f t="shared" si="335"/>
        <v>3336388</v>
      </c>
      <c r="T1098" s="167">
        <f t="shared" si="338"/>
        <v>1633.5224852505569</v>
      </c>
      <c r="U1098" s="167">
        <v>2016.0496462581702</v>
      </c>
      <c r="V1098" s="149">
        <f t="shared" si="324"/>
        <v>382.52716100761336</v>
      </c>
      <c r="W1098" s="149">
        <f t="shared" si="336"/>
        <v>2016.0496462581702</v>
      </c>
      <c r="X1098" s="149">
        <v>0</v>
      </c>
      <c r="Y1098" s="368">
        <v>0</v>
      </c>
      <c r="Z1098" s="368">
        <v>0</v>
      </c>
      <c r="AA1098" s="368">
        <v>0</v>
      </c>
      <c r="AB1098" s="368">
        <v>0</v>
      </c>
      <c r="AC1098" s="368">
        <v>0</v>
      </c>
      <c r="AD1098" s="368">
        <v>0</v>
      </c>
      <c r="AE1098" s="368">
        <v>660</v>
      </c>
      <c r="AF1098" s="396">
        <f t="shared" si="339"/>
        <v>2016.0496462581702</v>
      </c>
      <c r="AG1098" s="368">
        <v>0</v>
      </c>
      <c r="AH1098" s="396">
        <v>0</v>
      </c>
      <c r="AI1098" s="368">
        <v>0</v>
      </c>
      <c r="AJ1098" s="396">
        <v>0</v>
      </c>
      <c r="AK1098" s="368">
        <v>0</v>
      </c>
      <c r="AL1098" s="368">
        <v>0</v>
      </c>
      <c r="AM1098" s="368">
        <v>0</v>
      </c>
      <c r="AN1098" s="368"/>
      <c r="AO1098" s="368">
        <v>0</v>
      </c>
    </row>
    <row r="1099" spans="1:41" s="152" customFormat="1" ht="36" customHeight="1" x14ac:dyDescent="0.9">
      <c r="A1099" s="152">
        <v>1</v>
      </c>
      <c r="B1099" s="90">
        <f>SUBTOTAL(103,$A$988:A1099)</f>
        <v>109</v>
      </c>
      <c r="C1099" s="89" t="s">
        <v>803</v>
      </c>
      <c r="D1099" s="163">
        <v>1955</v>
      </c>
      <c r="E1099" s="163"/>
      <c r="F1099" s="168" t="s">
        <v>340</v>
      </c>
      <c r="G1099" s="163">
        <v>2</v>
      </c>
      <c r="H1099" s="163">
        <v>2</v>
      </c>
      <c r="I1099" s="164">
        <v>685.7</v>
      </c>
      <c r="J1099" s="164">
        <v>629.20000000000005</v>
      </c>
      <c r="K1099" s="164">
        <v>629.20000000000005</v>
      </c>
      <c r="L1099" s="165">
        <v>28</v>
      </c>
      <c r="M1099" s="163" t="s">
        <v>268</v>
      </c>
      <c r="N1099" s="163" t="s">
        <v>269</v>
      </c>
      <c r="O1099" s="166" t="s">
        <v>271</v>
      </c>
      <c r="P1099" s="167">
        <v>2697058</v>
      </c>
      <c r="Q1099" s="167">
        <v>0</v>
      </c>
      <c r="R1099" s="167">
        <v>0</v>
      </c>
      <c r="S1099" s="167">
        <f t="shared" si="335"/>
        <v>2697058</v>
      </c>
      <c r="T1099" s="167">
        <f t="shared" si="338"/>
        <v>3933.2915269068103</v>
      </c>
      <c r="U1099" s="167">
        <v>4649.3845850955222</v>
      </c>
      <c r="V1099" s="149">
        <f t="shared" si="324"/>
        <v>716.09305818871189</v>
      </c>
      <c r="W1099" s="149">
        <f t="shared" si="336"/>
        <v>4649.3845850955222</v>
      </c>
      <c r="X1099" s="149">
        <v>0</v>
      </c>
      <c r="Y1099" s="368">
        <v>0</v>
      </c>
      <c r="Z1099" s="368">
        <v>0</v>
      </c>
      <c r="AA1099" s="368">
        <v>0</v>
      </c>
      <c r="AB1099" s="368">
        <v>0</v>
      </c>
      <c r="AC1099" s="368">
        <v>0</v>
      </c>
      <c r="AD1099" s="368">
        <v>0</v>
      </c>
      <c r="AE1099" s="368">
        <v>511</v>
      </c>
      <c r="AF1099" s="396">
        <f t="shared" si="339"/>
        <v>4649.3845850955222</v>
      </c>
      <c r="AG1099" s="368">
        <v>0</v>
      </c>
      <c r="AH1099" s="396">
        <v>0</v>
      </c>
      <c r="AI1099" s="368">
        <v>0</v>
      </c>
      <c r="AJ1099" s="396">
        <v>0</v>
      </c>
      <c r="AK1099" s="368">
        <v>0</v>
      </c>
      <c r="AL1099" s="368">
        <v>0</v>
      </c>
      <c r="AM1099" s="368">
        <v>0</v>
      </c>
      <c r="AN1099" s="368"/>
      <c r="AO1099" s="368">
        <v>0</v>
      </c>
    </row>
    <row r="1100" spans="1:41" s="152" customFormat="1" ht="36" customHeight="1" x14ac:dyDescent="0.9">
      <c r="A1100" s="152">
        <v>1</v>
      </c>
      <c r="B1100" s="90">
        <f>SUBTOTAL(103,$A$988:A1100)</f>
        <v>110</v>
      </c>
      <c r="C1100" s="89" t="s">
        <v>804</v>
      </c>
      <c r="D1100" s="163">
        <v>1975</v>
      </c>
      <c r="E1100" s="163"/>
      <c r="F1100" s="168" t="s">
        <v>270</v>
      </c>
      <c r="G1100" s="163">
        <v>5</v>
      </c>
      <c r="H1100" s="163">
        <v>6</v>
      </c>
      <c r="I1100" s="164">
        <v>6824.86</v>
      </c>
      <c r="J1100" s="164">
        <v>4475.3</v>
      </c>
      <c r="K1100" s="164">
        <v>4306.8999999999996</v>
      </c>
      <c r="L1100" s="165">
        <v>160</v>
      </c>
      <c r="M1100" s="163" t="s">
        <v>268</v>
      </c>
      <c r="N1100" s="163" t="s">
        <v>272</v>
      </c>
      <c r="O1100" s="166" t="s">
        <v>823</v>
      </c>
      <c r="P1100" s="167">
        <v>8460275.6699999981</v>
      </c>
      <c r="Q1100" s="167">
        <v>0</v>
      </c>
      <c r="R1100" s="167">
        <v>0</v>
      </c>
      <c r="S1100" s="167">
        <f t="shared" si="335"/>
        <v>8460275.6699999981</v>
      </c>
      <c r="T1100" s="167">
        <f t="shared" si="338"/>
        <v>1239.6262590001843</v>
      </c>
      <c r="U1100" s="167">
        <v>1871.7113940798786</v>
      </c>
      <c r="V1100" s="149">
        <f t="shared" si="324"/>
        <v>632.08513507969428</v>
      </c>
      <c r="W1100" s="149">
        <f t="shared" si="336"/>
        <v>1871.7113940798786</v>
      </c>
      <c r="X1100" s="149">
        <v>0</v>
      </c>
      <c r="Y1100" s="368">
        <v>0</v>
      </c>
      <c r="Z1100" s="368">
        <v>0</v>
      </c>
      <c r="AA1100" s="368">
        <v>0</v>
      </c>
      <c r="AB1100" s="368">
        <v>0</v>
      </c>
      <c r="AC1100" s="368">
        <v>0</v>
      </c>
      <c r="AD1100" s="368">
        <v>0</v>
      </c>
      <c r="AE1100" s="368">
        <v>2047.5</v>
      </c>
      <c r="AF1100" s="396">
        <f t="shared" si="339"/>
        <v>1871.7113940798786</v>
      </c>
      <c r="AG1100" s="368">
        <v>0</v>
      </c>
      <c r="AH1100" s="396">
        <v>0</v>
      </c>
      <c r="AI1100" s="368">
        <v>0</v>
      </c>
      <c r="AJ1100" s="396">
        <v>0</v>
      </c>
      <c r="AK1100" s="368">
        <v>0</v>
      </c>
      <c r="AL1100" s="368">
        <v>0</v>
      </c>
      <c r="AM1100" s="368">
        <v>0</v>
      </c>
      <c r="AN1100" s="368"/>
      <c r="AO1100" s="368">
        <v>0</v>
      </c>
    </row>
    <row r="1101" spans="1:41" s="152" customFormat="1" ht="36" customHeight="1" x14ac:dyDescent="0.9">
      <c r="A1101" s="152">
        <v>1</v>
      </c>
      <c r="B1101" s="90">
        <f>SUBTOTAL(103,$A$988:A1101)</f>
        <v>111</v>
      </c>
      <c r="C1101" s="89" t="s">
        <v>826</v>
      </c>
      <c r="D1101" s="163">
        <v>1959</v>
      </c>
      <c r="E1101" s="163"/>
      <c r="F1101" s="168" t="s">
        <v>270</v>
      </c>
      <c r="G1101" s="163">
        <v>2</v>
      </c>
      <c r="H1101" s="163">
        <v>1</v>
      </c>
      <c r="I1101" s="164">
        <v>309.2</v>
      </c>
      <c r="J1101" s="164">
        <v>287.5</v>
      </c>
      <c r="K1101" s="164">
        <v>287.5</v>
      </c>
      <c r="L1101" s="165">
        <v>14</v>
      </c>
      <c r="M1101" s="163" t="s">
        <v>268</v>
      </c>
      <c r="N1101" s="163" t="s">
        <v>272</v>
      </c>
      <c r="O1101" s="166" t="s">
        <v>1000</v>
      </c>
      <c r="P1101" s="167">
        <v>1911891.6</v>
      </c>
      <c r="Q1101" s="167">
        <v>0</v>
      </c>
      <c r="R1101" s="167">
        <v>0</v>
      </c>
      <c r="S1101" s="167">
        <f t="shared" si="335"/>
        <v>1911891.6</v>
      </c>
      <c r="T1101" s="167">
        <f t="shared" si="338"/>
        <v>6183.3492884864172</v>
      </c>
      <c r="U1101" s="167">
        <v>8661.3065976714097</v>
      </c>
      <c r="V1101" s="149">
        <f t="shared" si="324"/>
        <v>2477.9573091849925</v>
      </c>
      <c r="W1101" s="149">
        <f t="shared" si="336"/>
        <v>8661.3065976714097</v>
      </c>
      <c r="X1101" s="149">
        <v>0</v>
      </c>
      <c r="Y1101" s="368">
        <v>0</v>
      </c>
      <c r="Z1101" s="368">
        <v>0</v>
      </c>
      <c r="AA1101" s="368">
        <v>0</v>
      </c>
      <c r="AB1101" s="368">
        <v>0</v>
      </c>
      <c r="AC1101" s="368">
        <v>0</v>
      </c>
      <c r="AD1101" s="368">
        <v>0</v>
      </c>
      <c r="AE1101" s="368">
        <v>0</v>
      </c>
      <c r="AF1101" s="396">
        <v>0</v>
      </c>
      <c r="AG1101" s="368">
        <v>0</v>
      </c>
      <c r="AH1101" s="396">
        <v>0</v>
      </c>
      <c r="AI1101" s="368">
        <v>360</v>
      </c>
      <c r="AJ1101" s="397">
        <f>7439.1*AI1101/I1101</f>
        <v>8661.3065976714097</v>
      </c>
      <c r="AK1101" s="368">
        <v>0</v>
      </c>
      <c r="AL1101" s="368">
        <v>0</v>
      </c>
      <c r="AM1101" s="368">
        <v>0</v>
      </c>
      <c r="AN1101" s="368"/>
      <c r="AO1101" s="368">
        <v>0</v>
      </c>
    </row>
    <row r="1102" spans="1:41" s="152" customFormat="1" ht="36" customHeight="1" x14ac:dyDescent="0.9">
      <c r="A1102" s="152">
        <v>1</v>
      </c>
      <c r="B1102" s="90">
        <f>SUBTOTAL(103,$A$988:A1102)</f>
        <v>112</v>
      </c>
      <c r="C1102" s="89" t="s">
        <v>1625</v>
      </c>
      <c r="D1102" s="163">
        <v>1958</v>
      </c>
      <c r="E1102" s="163"/>
      <c r="F1102" s="168" t="s">
        <v>270</v>
      </c>
      <c r="G1102" s="163">
        <v>2</v>
      </c>
      <c r="H1102" s="163">
        <v>2</v>
      </c>
      <c r="I1102" s="164">
        <v>445.5</v>
      </c>
      <c r="J1102" s="164">
        <v>297.3</v>
      </c>
      <c r="K1102" s="164">
        <v>297.3</v>
      </c>
      <c r="L1102" s="165">
        <v>17</v>
      </c>
      <c r="M1102" s="163" t="s">
        <v>268</v>
      </c>
      <c r="N1102" s="163" t="s">
        <v>269</v>
      </c>
      <c r="O1102" s="166" t="s">
        <v>271</v>
      </c>
      <c r="P1102" s="167">
        <v>1984284</v>
      </c>
      <c r="Q1102" s="167">
        <v>0</v>
      </c>
      <c r="R1102" s="167">
        <v>0</v>
      </c>
      <c r="S1102" s="167">
        <f t="shared" si="335"/>
        <v>1984284</v>
      </c>
      <c r="T1102" s="167">
        <f t="shared" si="338"/>
        <v>4454.060606060606</v>
      </c>
      <c r="U1102" s="167">
        <v>5321.629180695847</v>
      </c>
      <c r="V1102" s="149">
        <f t="shared" si="324"/>
        <v>867.56857463524102</v>
      </c>
      <c r="W1102" s="149">
        <f t="shared" si="336"/>
        <v>5321.629180695847</v>
      </c>
      <c r="X1102" s="149">
        <v>0</v>
      </c>
      <c r="Y1102" s="368">
        <v>0</v>
      </c>
      <c r="Z1102" s="368">
        <v>0</v>
      </c>
      <c r="AA1102" s="368">
        <v>0</v>
      </c>
      <c r="AB1102" s="368">
        <v>0</v>
      </c>
      <c r="AC1102" s="368">
        <v>0</v>
      </c>
      <c r="AD1102" s="368">
        <v>0</v>
      </c>
      <c r="AE1102" s="368">
        <v>380</v>
      </c>
      <c r="AF1102" s="396">
        <f>6238.91*AE1102/I1102</f>
        <v>5321.629180695847</v>
      </c>
      <c r="AG1102" s="368">
        <v>0</v>
      </c>
      <c r="AH1102" s="396">
        <v>0</v>
      </c>
      <c r="AI1102" s="368">
        <v>0</v>
      </c>
      <c r="AJ1102" s="396">
        <v>0</v>
      </c>
      <c r="AK1102" s="368">
        <v>0</v>
      </c>
      <c r="AL1102" s="368">
        <v>0</v>
      </c>
      <c r="AM1102" s="368">
        <v>0</v>
      </c>
      <c r="AN1102" s="368"/>
      <c r="AO1102" s="368">
        <v>0</v>
      </c>
    </row>
    <row r="1103" spans="1:41" s="152" customFormat="1" ht="36" customHeight="1" x14ac:dyDescent="0.9">
      <c r="B1103" s="382" t="s">
        <v>771</v>
      </c>
      <c r="C1103" s="388"/>
      <c r="D1103" s="384" t="s">
        <v>903</v>
      </c>
      <c r="E1103" s="163" t="s">
        <v>903</v>
      </c>
      <c r="F1103" s="384" t="s">
        <v>903</v>
      </c>
      <c r="G1103" s="384" t="s">
        <v>903</v>
      </c>
      <c r="H1103" s="163" t="s">
        <v>903</v>
      </c>
      <c r="I1103" s="386">
        <f>I1104+I1105</f>
        <v>13712.7</v>
      </c>
      <c r="J1103" s="164">
        <f>J1104+J1105</f>
        <v>12166.6</v>
      </c>
      <c r="K1103" s="164">
        <f>K1104+K1105</f>
        <v>11718.300000000001</v>
      </c>
      <c r="L1103" s="165">
        <f>L1104+L1105</f>
        <v>336</v>
      </c>
      <c r="M1103" s="163" t="s">
        <v>903</v>
      </c>
      <c r="N1103" s="163" t="s">
        <v>903</v>
      </c>
      <c r="O1103" s="166" t="s">
        <v>903</v>
      </c>
      <c r="P1103" s="386">
        <v>21856214.649999999</v>
      </c>
      <c r="Q1103" s="164">
        <f>Q1104+Q1105</f>
        <v>0</v>
      </c>
      <c r="R1103" s="164">
        <f>R1104+R1105</f>
        <v>0</v>
      </c>
      <c r="S1103" s="164">
        <f>S1104+S1105</f>
        <v>21856214.649999999</v>
      </c>
      <c r="T1103" s="387">
        <f t="shared" si="338"/>
        <v>1593.8666090558386</v>
      </c>
      <c r="U1103" s="387">
        <f>MAX(U1104:U1105)</f>
        <v>5633.9843169275346</v>
      </c>
      <c r="V1103" s="149">
        <f t="shared" si="324"/>
        <v>4040.117707871696</v>
      </c>
      <c r="W1103" s="149"/>
      <c r="X1103" s="149"/>
      <c r="Y1103" s="368"/>
      <c r="Z1103" s="368"/>
      <c r="AA1103" s="368"/>
      <c r="AB1103" s="368"/>
      <c r="AC1103" s="368"/>
      <c r="AD1103" s="368"/>
      <c r="AE1103" s="368"/>
      <c r="AF1103" s="368"/>
      <c r="AG1103" s="368"/>
      <c r="AH1103" s="368"/>
      <c r="AI1103" s="368"/>
      <c r="AJ1103" s="368"/>
      <c r="AK1103" s="368"/>
      <c r="AL1103" s="368"/>
      <c r="AM1103" s="368"/>
      <c r="AN1103" s="368"/>
      <c r="AO1103" s="368"/>
    </row>
    <row r="1104" spans="1:41" s="152" customFormat="1" ht="36" customHeight="1" x14ac:dyDescent="0.9">
      <c r="A1104" s="152">
        <v>1</v>
      </c>
      <c r="B1104" s="90">
        <f>SUBTOTAL(103,$A$988:A1104)</f>
        <v>113</v>
      </c>
      <c r="C1104" s="89" t="s">
        <v>390</v>
      </c>
      <c r="D1104" s="163">
        <v>1981</v>
      </c>
      <c r="E1104" s="163">
        <v>2016</v>
      </c>
      <c r="F1104" s="168" t="s">
        <v>315</v>
      </c>
      <c r="G1104" s="163">
        <v>5</v>
      </c>
      <c r="H1104" s="163">
        <v>5</v>
      </c>
      <c r="I1104" s="164">
        <v>3982.4</v>
      </c>
      <c r="J1104" s="164">
        <v>3501.5</v>
      </c>
      <c r="K1104" s="164">
        <v>3375.6</v>
      </c>
      <c r="L1104" s="165">
        <v>162</v>
      </c>
      <c r="M1104" s="163" t="s">
        <v>268</v>
      </c>
      <c r="N1104" s="163" t="s">
        <v>272</v>
      </c>
      <c r="O1104" s="166" t="s">
        <v>323</v>
      </c>
      <c r="P1104" s="167">
        <v>7550257.2599999998</v>
      </c>
      <c r="Q1104" s="167">
        <v>0</v>
      </c>
      <c r="R1104" s="167">
        <v>0</v>
      </c>
      <c r="S1104" s="167">
        <f>P1104-Q1104-R1104</f>
        <v>7550257.2599999998</v>
      </c>
      <c r="T1104" s="167">
        <f t="shared" si="338"/>
        <v>1895.9063027320208</v>
      </c>
      <c r="U1104" s="167">
        <v>4586.9399999999996</v>
      </c>
      <c r="V1104" s="149">
        <f t="shared" si="324"/>
        <v>2691.0336972679788</v>
      </c>
      <c r="W1104" s="149">
        <f t="shared" ref="W1104:W1105" si="340">X1104+Y1104+Z1104+AA1104+AB1104+AD1104+AF1104+AH1104+AJ1104+AL1104+AN1104+AO1104</f>
        <v>4586.9399999999996</v>
      </c>
      <c r="X1104" s="149">
        <v>101.55</v>
      </c>
      <c r="Y1104" s="368">
        <v>245.44</v>
      </c>
      <c r="Z1104" s="368">
        <v>3259.66</v>
      </c>
      <c r="AA1104" s="368">
        <v>184.98</v>
      </c>
      <c r="AB1104" s="368">
        <v>795.31</v>
      </c>
      <c r="AC1104" s="368">
        <v>0</v>
      </c>
      <c r="AD1104" s="368">
        <v>0</v>
      </c>
      <c r="AE1104" s="368">
        <v>0</v>
      </c>
      <c r="AF1104" s="396">
        <v>0</v>
      </c>
      <c r="AG1104" s="368">
        <v>0</v>
      </c>
      <c r="AH1104" s="396">
        <v>0</v>
      </c>
      <c r="AI1104" s="368">
        <v>0</v>
      </c>
      <c r="AJ1104" s="396">
        <v>0</v>
      </c>
      <c r="AK1104" s="368">
        <v>0</v>
      </c>
      <c r="AL1104" s="368">
        <v>0</v>
      </c>
      <c r="AM1104" s="368">
        <v>0</v>
      </c>
      <c r="AN1104" s="368"/>
      <c r="AO1104" s="368">
        <v>0</v>
      </c>
    </row>
    <row r="1105" spans="1:41" s="152" customFormat="1" ht="36" customHeight="1" x14ac:dyDescent="0.9">
      <c r="A1105" s="152">
        <v>1</v>
      </c>
      <c r="B1105" s="90">
        <f>SUBTOTAL(103,$A$988:A1105)</f>
        <v>114</v>
      </c>
      <c r="C1105" s="89" t="s">
        <v>391</v>
      </c>
      <c r="D1105" s="163">
        <v>1999</v>
      </c>
      <c r="E1105" s="163">
        <v>2016</v>
      </c>
      <c r="F1105" s="168" t="s">
        <v>315</v>
      </c>
      <c r="G1105" s="163">
        <v>9</v>
      </c>
      <c r="H1105" s="163">
        <v>1</v>
      </c>
      <c r="I1105" s="164">
        <v>9730.3000000000011</v>
      </c>
      <c r="J1105" s="164">
        <v>8665.1</v>
      </c>
      <c r="K1105" s="164">
        <v>8342.7000000000007</v>
      </c>
      <c r="L1105" s="165">
        <v>174</v>
      </c>
      <c r="M1105" s="163" t="s">
        <v>268</v>
      </c>
      <c r="N1105" s="163" t="s">
        <v>272</v>
      </c>
      <c r="O1105" s="166" t="s">
        <v>323</v>
      </c>
      <c r="P1105" s="167">
        <v>14305957.390000001</v>
      </c>
      <c r="Q1105" s="167">
        <v>0</v>
      </c>
      <c r="R1105" s="167">
        <v>0</v>
      </c>
      <c r="S1105" s="167">
        <f>P1105-Q1105-R1105</f>
        <v>14305957.390000001</v>
      </c>
      <c r="T1105" s="167">
        <f t="shared" si="338"/>
        <v>1470.248336639158</v>
      </c>
      <c r="U1105" s="167">
        <v>5633.9843169275346</v>
      </c>
      <c r="V1105" s="149">
        <f t="shared" si="324"/>
        <v>4163.7359802883766</v>
      </c>
      <c r="W1105" s="149">
        <f t="shared" si="340"/>
        <v>5633.9843169275346</v>
      </c>
      <c r="X1105" s="149">
        <v>0</v>
      </c>
      <c r="Y1105" s="368">
        <v>0</v>
      </c>
      <c r="Z1105" s="368">
        <v>0</v>
      </c>
      <c r="AA1105" s="368">
        <v>0</v>
      </c>
      <c r="AB1105" s="368">
        <v>0</v>
      </c>
      <c r="AC1105" s="368">
        <v>0</v>
      </c>
      <c r="AD1105" s="368">
        <v>0</v>
      </c>
      <c r="AE1105" s="368">
        <v>0</v>
      </c>
      <c r="AF1105" s="396">
        <v>0</v>
      </c>
      <c r="AG1105" s="368">
        <v>0</v>
      </c>
      <c r="AH1105" s="396">
        <v>0</v>
      </c>
      <c r="AI1105" s="368">
        <v>7025.9</v>
      </c>
      <c r="AJ1105" s="397">
        <f>7802.61*AI1105/I1105</f>
        <v>5633.9843169275346</v>
      </c>
      <c r="AK1105" s="368">
        <v>0</v>
      </c>
      <c r="AL1105" s="368">
        <v>0</v>
      </c>
      <c r="AM1105" s="368">
        <v>0</v>
      </c>
      <c r="AN1105" s="368"/>
      <c r="AO1105" s="368">
        <v>0</v>
      </c>
    </row>
    <row r="1106" spans="1:41" s="152" customFormat="1" ht="36" customHeight="1" x14ac:dyDescent="0.9">
      <c r="B1106" s="382" t="s">
        <v>828</v>
      </c>
      <c r="C1106" s="388"/>
      <c r="D1106" s="384" t="s">
        <v>903</v>
      </c>
      <c r="E1106" s="163" t="s">
        <v>903</v>
      </c>
      <c r="F1106" s="384" t="s">
        <v>903</v>
      </c>
      <c r="G1106" s="384" t="s">
        <v>903</v>
      </c>
      <c r="H1106" s="163" t="s">
        <v>903</v>
      </c>
      <c r="I1106" s="386">
        <f>SUM(I1107:I1114)</f>
        <v>44345.180000000008</v>
      </c>
      <c r="J1106" s="164">
        <f>SUM(J1107:J1114)</f>
        <v>31971.989999999998</v>
      </c>
      <c r="K1106" s="164">
        <f>SUM(K1107:K1114)</f>
        <v>31971.989999999998</v>
      </c>
      <c r="L1106" s="165">
        <f>SUM(L1107:L1114)</f>
        <v>1912</v>
      </c>
      <c r="M1106" s="163" t="s">
        <v>903</v>
      </c>
      <c r="N1106" s="163" t="s">
        <v>903</v>
      </c>
      <c r="O1106" s="166" t="s">
        <v>903</v>
      </c>
      <c r="P1106" s="386">
        <v>51599396.32</v>
      </c>
      <c r="Q1106" s="164">
        <f>SUM(Q1107:Q1114)</f>
        <v>0</v>
      </c>
      <c r="R1106" s="164">
        <f>SUM(R1107:R1114)</f>
        <v>0</v>
      </c>
      <c r="S1106" s="164">
        <f>SUM(S1107:S1114)</f>
        <v>51599396.32</v>
      </c>
      <c r="T1106" s="387">
        <f t="shared" si="338"/>
        <v>1163.5852266244042</v>
      </c>
      <c r="U1106" s="387">
        <f>MAX(U1107:U1114)</f>
        <v>8177.5847395193814</v>
      </c>
      <c r="V1106" s="149">
        <f t="shared" si="324"/>
        <v>7013.9995128949777</v>
      </c>
      <c r="W1106" s="149"/>
      <c r="X1106" s="149"/>
      <c r="Y1106" s="368"/>
      <c r="Z1106" s="368"/>
      <c r="AA1106" s="368"/>
      <c r="AB1106" s="368"/>
      <c r="AC1106" s="368"/>
      <c r="AD1106" s="368"/>
      <c r="AE1106" s="368"/>
      <c r="AF1106" s="368"/>
      <c r="AG1106" s="368"/>
      <c r="AH1106" s="368"/>
      <c r="AI1106" s="368"/>
      <c r="AJ1106" s="368"/>
      <c r="AK1106" s="368"/>
      <c r="AL1106" s="368"/>
      <c r="AM1106" s="368"/>
      <c r="AN1106" s="368"/>
      <c r="AO1106" s="368"/>
    </row>
    <row r="1107" spans="1:41" s="152" customFormat="1" ht="36" customHeight="1" x14ac:dyDescent="0.9">
      <c r="A1107" s="152">
        <v>1</v>
      </c>
      <c r="B1107" s="90">
        <f>SUBTOTAL(103,$A$988:A1107)</f>
        <v>115</v>
      </c>
      <c r="C1107" s="89" t="s">
        <v>617</v>
      </c>
      <c r="D1107" s="163">
        <v>1967</v>
      </c>
      <c r="E1107" s="163"/>
      <c r="F1107" s="168" t="s">
        <v>270</v>
      </c>
      <c r="G1107" s="163">
        <v>5</v>
      </c>
      <c r="H1107" s="163">
        <v>4</v>
      </c>
      <c r="I1107" s="164">
        <v>5264.54</v>
      </c>
      <c r="J1107" s="164">
        <v>2547.17</v>
      </c>
      <c r="K1107" s="164">
        <v>2547.17</v>
      </c>
      <c r="L1107" s="165">
        <v>100</v>
      </c>
      <c r="M1107" s="163" t="s">
        <v>268</v>
      </c>
      <c r="N1107" s="163" t="s">
        <v>272</v>
      </c>
      <c r="O1107" s="166" t="s">
        <v>717</v>
      </c>
      <c r="P1107" s="167">
        <v>5121801</v>
      </c>
      <c r="Q1107" s="167">
        <v>0</v>
      </c>
      <c r="R1107" s="167">
        <v>0</v>
      </c>
      <c r="S1107" s="167">
        <f t="shared" ref="S1107:S1114" si="341">P1107-Q1107-R1107</f>
        <v>5121801</v>
      </c>
      <c r="T1107" s="167">
        <f t="shared" si="338"/>
        <v>972.8867099499671</v>
      </c>
      <c r="U1107" s="167">
        <v>1162.5651452928462</v>
      </c>
      <c r="V1107" s="149">
        <f t="shared" si="324"/>
        <v>189.67843534287908</v>
      </c>
      <c r="W1107" s="149">
        <f t="shared" ref="W1107:W1114" si="342">X1107+Y1107+Z1107+AA1107+AB1107+AD1107+AF1107+AH1107+AJ1107+AL1107+AN1107+AO1107</f>
        <v>1162.5651452928462</v>
      </c>
      <c r="X1107" s="149">
        <v>0</v>
      </c>
      <c r="Y1107" s="368">
        <v>0</v>
      </c>
      <c r="Z1107" s="368">
        <v>0</v>
      </c>
      <c r="AA1107" s="368">
        <v>0</v>
      </c>
      <c r="AB1107" s="368">
        <v>0</v>
      </c>
      <c r="AC1107" s="368">
        <v>0</v>
      </c>
      <c r="AD1107" s="368">
        <v>0</v>
      </c>
      <c r="AE1107" s="368">
        <v>981</v>
      </c>
      <c r="AF1107" s="396">
        <f t="shared" ref="AF1107:AF1110" si="343">6238.91*AE1107/I1107</f>
        <v>1162.5651452928462</v>
      </c>
      <c r="AG1107" s="368">
        <v>0</v>
      </c>
      <c r="AH1107" s="396">
        <v>0</v>
      </c>
      <c r="AI1107" s="368">
        <v>0</v>
      </c>
      <c r="AJ1107" s="396">
        <v>0</v>
      </c>
      <c r="AK1107" s="368">
        <v>0</v>
      </c>
      <c r="AL1107" s="368">
        <v>0</v>
      </c>
      <c r="AM1107" s="368">
        <v>0</v>
      </c>
      <c r="AN1107" s="368"/>
      <c r="AO1107" s="368">
        <v>0</v>
      </c>
    </row>
    <row r="1108" spans="1:41" s="152" customFormat="1" ht="36" customHeight="1" x14ac:dyDescent="0.9">
      <c r="A1108" s="152">
        <v>1</v>
      </c>
      <c r="B1108" s="90">
        <f>SUBTOTAL(103,$A$988:A1108)</f>
        <v>116</v>
      </c>
      <c r="C1108" s="89" t="s">
        <v>618</v>
      </c>
      <c r="D1108" s="163">
        <v>1969</v>
      </c>
      <c r="E1108" s="163"/>
      <c r="F1108" s="168" t="s">
        <v>270</v>
      </c>
      <c r="G1108" s="163">
        <v>5</v>
      </c>
      <c r="H1108" s="163">
        <v>8</v>
      </c>
      <c r="I1108" s="164">
        <v>8212.5400000000009</v>
      </c>
      <c r="J1108" s="164">
        <v>5998.64</v>
      </c>
      <c r="K1108" s="164">
        <v>5998.64</v>
      </c>
      <c r="L1108" s="165">
        <v>252</v>
      </c>
      <c r="M1108" s="163" t="s">
        <v>268</v>
      </c>
      <c r="N1108" s="163" t="s">
        <v>272</v>
      </c>
      <c r="O1108" s="166" t="s">
        <v>717</v>
      </c>
      <c r="P1108" s="167">
        <v>8124000</v>
      </c>
      <c r="Q1108" s="167">
        <v>0</v>
      </c>
      <c r="R1108" s="167">
        <v>0</v>
      </c>
      <c r="S1108" s="167">
        <f t="shared" si="341"/>
        <v>8124000</v>
      </c>
      <c r="T1108" s="167">
        <f t="shared" si="338"/>
        <v>989.21892617874607</v>
      </c>
      <c r="U1108" s="167">
        <v>1285.7599689012166</v>
      </c>
      <c r="V1108" s="149">
        <f t="shared" ref="V1108:V1114" si="344">U1108-T1108</f>
        <v>296.54104272247048</v>
      </c>
      <c r="W1108" s="149">
        <f t="shared" si="342"/>
        <v>1285.7599689012166</v>
      </c>
      <c r="X1108" s="149">
        <v>0</v>
      </c>
      <c r="Y1108" s="368">
        <v>0</v>
      </c>
      <c r="Z1108" s="368">
        <v>0</v>
      </c>
      <c r="AA1108" s="368">
        <v>0</v>
      </c>
      <c r="AB1108" s="368">
        <v>0</v>
      </c>
      <c r="AC1108" s="368">
        <v>0</v>
      </c>
      <c r="AD1108" s="368">
        <v>0</v>
      </c>
      <c r="AE1108" s="368">
        <v>1692.5</v>
      </c>
      <c r="AF1108" s="396">
        <f t="shared" si="343"/>
        <v>1285.7599689012166</v>
      </c>
      <c r="AG1108" s="368">
        <v>0</v>
      </c>
      <c r="AH1108" s="396">
        <v>0</v>
      </c>
      <c r="AI1108" s="368">
        <v>0</v>
      </c>
      <c r="AJ1108" s="396">
        <v>0</v>
      </c>
      <c r="AK1108" s="368">
        <v>0</v>
      </c>
      <c r="AL1108" s="368">
        <v>0</v>
      </c>
      <c r="AM1108" s="368">
        <v>0</v>
      </c>
      <c r="AN1108" s="368"/>
      <c r="AO1108" s="368">
        <v>0</v>
      </c>
    </row>
    <row r="1109" spans="1:41" s="152" customFormat="1" ht="36" customHeight="1" x14ac:dyDescent="0.9">
      <c r="A1109" s="152">
        <v>1</v>
      </c>
      <c r="B1109" s="90">
        <f>SUBTOTAL(103,$A$988:A1109)</f>
        <v>117</v>
      </c>
      <c r="C1109" s="89" t="s">
        <v>1707</v>
      </c>
      <c r="D1109" s="163">
        <v>1990</v>
      </c>
      <c r="E1109" s="163"/>
      <c r="F1109" s="168" t="s">
        <v>322</v>
      </c>
      <c r="G1109" s="163">
        <v>2</v>
      </c>
      <c r="H1109" s="163">
        <v>2</v>
      </c>
      <c r="I1109" s="164">
        <v>570.1</v>
      </c>
      <c r="J1109" s="164">
        <v>568.70000000000005</v>
      </c>
      <c r="K1109" s="164">
        <v>568.70000000000005</v>
      </c>
      <c r="L1109" s="165">
        <v>25</v>
      </c>
      <c r="M1109" s="163" t="s">
        <v>268</v>
      </c>
      <c r="N1109" s="163" t="s">
        <v>272</v>
      </c>
      <c r="O1109" s="166" t="s">
        <v>719</v>
      </c>
      <c r="P1109" s="167">
        <v>4662041.0599999996</v>
      </c>
      <c r="Q1109" s="167">
        <v>0</v>
      </c>
      <c r="R1109" s="167">
        <v>0</v>
      </c>
      <c r="S1109" s="167">
        <f t="shared" si="341"/>
        <v>4662041.0599999996</v>
      </c>
      <c r="T1109" s="167">
        <f t="shared" si="338"/>
        <v>8177.5847395193814</v>
      </c>
      <c r="U1109" s="167">
        <v>8177.5847395193814</v>
      </c>
      <c r="V1109" s="149">
        <f t="shared" si="344"/>
        <v>0</v>
      </c>
      <c r="W1109" s="149">
        <f>T1109</f>
        <v>8177.5847395193814</v>
      </c>
      <c r="X1109" s="149">
        <v>0</v>
      </c>
      <c r="Y1109" s="368">
        <v>0</v>
      </c>
      <c r="Z1109" s="368">
        <v>0</v>
      </c>
      <c r="AA1109" s="368">
        <v>0</v>
      </c>
      <c r="AB1109" s="368">
        <v>0</v>
      </c>
      <c r="AC1109" s="368">
        <v>0</v>
      </c>
      <c r="AD1109" s="368">
        <v>0</v>
      </c>
      <c r="AE1109" s="368">
        <v>650</v>
      </c>
      <c r="AF1109" s="396">
        <f>6436.53*AE1109/I1109</f>
        <v>7338.6151552359233</v>
      </c>
      <c r="AG1109" s="368">
        <v>0</v>
      </c>
      <c r="AH1109" s="396">
        <v>0</v>
      </c>
      <c r="AI1109" s="368">
        <v>0</v>
      </c>
      <c r="AJ1109" s="396">
        <v>0</v>
      </c>
      <c r="AK1109" s="368">
        <v>0</v>
      </c>
      <c r="AL1109" s="368">
        <v>0</v>
      </c>
      <c r="AM1109" s="368">
        <v>0</v>
      </c>
      <c r="AN1109" s="368"/>
      <c r="AO1109" s="368">
        <v>0</v>
      </c>
    </row>
    <row r="1110" spans="1:41" s="152" customFormat="1" ht="36" customHeight="1" x14ac:dyDescent="0.9">
      <c r="A1110" s="152">
        <v>1</v>
      </c>
      <c r="B1110" s="90">
        <f>SUBTOTAL(103,$A$988:A1110)</f>
        <v>118</v>
      </c>
      <c r="C1110" s="89" t="s">
        <v>622</v>
      </c>
      <c r="D1110" s="163">
        <v>1982</v>
      </c>
      <c r="E1110" s="163"/>
      <c r="F1110" s="168" t="s">
        <v>270</v>
      </c>
      <c r="G1110" s="163">
        <v>9</v>
      </c>
      <c r="H1110" s="163">
        <v>6</v>
      </c>
      <c r="I1110" s="164">
        <v>12114.8</v>
      </c>
      <c r="J1110" s="164">
        <v>10694</v>
      </c>
      <c r="K1110" s="164">
        <v>10694</v>
      </c>
      <c r="L1110" s="165">
        <v>559</v>
      </c>
      <c r="M1110" s="163" t="s">
        <v>268</v>
      </c>
      <c r="N1110" s="163" t="s">
        <v>272</v>
      </c>
      <c r="O1110" s="166" t="s">
        <v>719</v>
      </c>
      <c r="P1110" s="167">
        <v>9052752</v>
      </c>
      <c r="Q1110" s="167">
        <v>0</v>
      </c>
      <c r="R1110" s="167">
        <v>0</v>
      </c>
      <c r="S1110" s="167">
        <f t="shared" si="341"/>
        <v>9052752</v>
      </c>
      <c r="T1110" s="167">
        <f t="shared" si="338"/>
        <v>747.2473338396012</v>
      </c>
      <c r="U1110" s="167">
        <v>933.14829134612216</v>
      </c>
      <c r="V1110" s="149">
        <f t="shared" si="344"/>
        <v>185.90095750652097</v>
      </c>
      <c r="W1110" s="149">
        <f t="shared" si="342"/>
        <v>933.14829134612216</v>
      </c>
      <c r="X1110" s="149">
        <v>0</v>
      </c>
      <c r="Y1110" s="368">
        <v>0</v>
      </c>
      <c r="Z1110" s="368">
        <v>0</v>
      </c>
      <c r="AA1110" s="368">
        <v>0</v>
      </c>
      <c r="AB1110" s="368">
        <v>0</v>
      </c>
      <c r="AC1110" s="368">
        <v>0</v>
      </c>
      <c r="AD1110" s="368">
        <v>0</v>
      </c>
      <c r="AE1110" s="368">
        <v>1812</v>
      </c>
      <c r="AF1110" s="396">
        <f t="shared" si="343"/>
        <v>933.14829134612216</v>
      </c>
      <c r="AG1110" s="368">
        <v>0</v>
      </c>
      <c r="AH1110" s="396">
        <v>0</v>
      </c>
      <c r="AI1110" s="368">
        <v>0</v>
      </c>
      <c r="AJ1110" s="396">
        <v>0</v>
      </c>
      <c r="AK1110" s="368">
        <v>0</v>
      </c>
      <c r="AL1110" s="368">
        <v>0</v>
      </c>
      <c r="AM1110" s="368">
        <v>0</v>
      </c>
      <c r="AN1110" s="368"/>
      <c r="AO1110" s="368">
        <v>0</v>
      </c>
    </row>
    <row r="1111" spans="1:41" s="152" customFormat="1" ht="36" customHeight="1" x14ac:dyDescent="0.9">
      <c r="A1111" s="152">
        <v>1</v>
      </c>
      <c r="B1111" s="90">
        <f>SUBTOTAL(103,$A$988:A1111)</f>
        <v>119</v>
      </c>
      <c r="C1111" s="89" t="s">
        <v>635</v>
      </c>
      <c r="D1111" s="163">
        <v>1975</v>
      </c>
      <c r="E1111" s="163"/>
      <c r="F1111" s="168" t="s">
        <v>270</v>
      </c>
      <c r="G1111" s="163">
        <v>5</v>
      </c>
      <c r="H1111" s="163">
        <v>1</v>
      </c>
      <c r="I1111" s="164">
        <v>2310.5</v>
      </c>
      <c r="J1111" s="164">
        <v>830.8</v>
      </c>
      <c r="K1111" s="164">
        <v>830.8</v>
      </c>
      <c r="L1111" s="165">
        <v>86</v>
      </c>
      <c r="M1111" s="163" t="s">
        <v>268</v>
      </c>
      <c r="N1111" s="163" t="s">
        <v>272</v>
      </c>
      <c r="O1111" s="166" t="s">
        <v>716</v>
      </c>
      <c r="P1111" s="167">
        <v>6820409.8600000003</v>
      </c>
      <c r="Q1111" s="167">
        <v>0</v>
      </c>
      <c r="R1111" s="167">
        <v>0</v>
      </c>
      <c r="S1111" s="167">
        <f t="shared" si="341"/>
        <v>6820409.8600000003</v>
      </c>
      <c r="T1111" s="167">
        <f t="shared" si="338"/>
        <v>2951.9194373512228</v>
      </c>
      <c r="U1111" s="167">
        <v>6944.6272148885528</v>
      </c>
      <c r="V1111" s="149">
        <f t="shared" si="344"/>
        <v>3992.70777753733</v>
      </c>
      <c r="W1111" s="149">
        <f t="shared" si="342"/>
        <v>6944.6272148885528</v>
      </c>
      <c r="X1111" s="149">
        <v>0</v>
      </c>
      <c r="Y1111" s="368">
        <v>0</v>
      </c>
      <c r="Z1111" s="368">
        <v>0</v>
      </c>
      <c r="AA1111" s="368">
        <v>0</v>
      </c>
      <c r="AB1111" s="368">
        <v>0</v>
      </c>
      <c r="AC1111" s="368">
        <v>0</v>
      </c>
      <c r="AD1111" s="368">
        <v>0</v>
      </c>
      <c r="AE1111" s="368">
        <v>0</v>
      </c>
      <c r="AF1111" s="396">
        <v>0</v>
      </c>
      <c r="AG1111" s="368">
        <v>0</v>
      </c>
      <c r="AH1111" s="396">
        <v>0</v>
      </c>
      <c r="AI1111" s="368">
        <v>0</v>
      </c>
      <c r="AJ1111" s="396">
        <v>0</v>
      </c>
      <c r="AK1111" s="368">
        <v>209</v>
      </c>
      <c r="AL1111" s="396">
        <f>76773.02*AK1111/I1111</f>
        <v>6944.6272148885528</v>
      </c>
      <c r="AM1111" s="368">
        <v>0</v>
      </c>
      <c r="AN1111" s="368"/>
      <c r="AO1111" s="368">
        <v>0</v>
      </c>
    </row>
    <row r="1112" spans="1:41" s="152" customFormat="1" ht="36" customHeight="1" x14ac:dyDescent="0.9">
      <c r="A1112" s="152">
        <v>1</v>
      </c>
      <c r="B1112" s="90">
        <f>SUBTOTAL(103,$A$988:A1112)</f>
        <v>120</v>
      </c>
      <c r="C1112" s="89" t="s">
        <v>639</v>
      </c>
      <c r="D1112" s="163">
        <v>1982</v>
      </c>
      <c r="E1112" s="163"/>
      <c r="F1112" s="168" t="s">
        <v>270</v>
      </c>
      <c r="G1112" s="163">
        <v>9</v>
      </c>
      <c r="H1112" s="163">
        <v>4</v>
      </c>
      <c r="I1112" s="164">
        <v>9363</v>
      </c>
      <c r="J1112" s="164">
        <v>5631</v>
      </c>
      <c r="K1112" s="164">
        <v>5631</v>
      </c>
      <c r="L1112" s="165">
        <v>549</v>
      </c>
      <c r="M1112" s="163" t="s">
        <v>268</v>
      </c>
      <c r="N1112" s="163" t="s">
        <v>272</v>
      </c>
      <c r="O1112" s="166" t="s">
        <v>724</v>
      </c>
      <c r="P1112" s="167">
        <v>9102212.3999999985</v>
      </c>
      <c r="Q1112" s="167">
        <v>0</v>
      </c>
      <c r="R1112" s="167">
        <v>0</v>
      </c>
      <c r="S1112" s="167">
        <f t="shared" si="341"/>
        <v>9102212.3999999985</v>
      </c>
      <c r="T1112" s="167">
        <f t="shared" si="338"/>
        <v>972.14700416533151</v>
      </c>
      <c r="U1112" s="167">
        <v>1213.9987321371357</v>
      </c>
      <c r="V1112" s="149">
        <f t="shared" si="344"/>
        <v>241.85172797180417</v>
      </c>
      <c r="W1112" s="149">
        <f t="shared" si="342"/>
        <v>1213.9987321371357</v>
      </c>
      <c r="X1112" s="149">
        <v>0</v>
      </c>
      <c r="Y1112" s="368">
        <v>0</v>
      </c>
      <c r="Z1112" s="368">
        <v>0</v>
      </c>
      <c r="AA1112" s="368">
        <v>0</v>
      </c>
      <c r="AB1112" s="368">
        <v>0</v>
      </c>
      <c r="AC1112" s="368">
        <v>0</v>
      </c>
      <c r="AD1112" s="368">
        <v>0</v>
      </c>
      <c r="AE1112" s="368">
        <v>1821.9</v>
      </c>
      <c r="AF1112" s="396">
        <f t="shared" ref="AF1112:AF1114" si="345">6238.91*AE1112/I1112</f>
        <v>1213.9987321371357</v>
      </c>
      <c r="AG1112" s="368">
        <v>0</v>
      </c>
      <c r="AH1112" s="396">
        <v>0</v>
      </c>
      <c r="AI1112" s="368">
        <v>0</v>
      </c>
      <c r="AJ1112" s="396">
        <v>0</v>
      </c>
      <c r="AK1112" s="368">
        <v>0</v>
      </c>
      <c r="AL1112" s="368">
        <v>0</v>
      </c>
      <c r="AM1112" s="368">
        <v>0</v>
      </c>
      <c r="AN1112" s="368"/>
      <c r="AO1112" s="368">
        <v>0</v>
      </c>
    </row>
    <row r="1113" spans="1:41" s="152" customFormat="1" ht="36" customHeight="1" x14ac:dyDescent="0.9">
      <c r="A1113" s="152">
        <v>1</v>
      </c>
      <c r="B1113" s="90">
        <f>SUBTOTAL(103,$A$988:A1113)</f>
        <v>121</v>
      </c>
      <c r="C1113" s="89" t="s">
        <v>643</v>
      </c>
      <c r="D1113" s="163">
        <v>1966</v>
      </c>
      <c r="E1113" s="163"/>
      <c r="F1113" s="168" t="s">
        <v>270</v>
      </c>
      <c r="G1113" s="163">
        <v>5</v>
      </c>
      <c r="H1113" s="163">
        <v>4</v>
      </c>
      <c r="I1113" s="164">
        <v>3420.4</v>
      </c>
      <c r="J1113" s="164">
        <v>2916.6</v>
      </c>
      <c r="K1113" s="164">
        <v>2916.6</v>
      </c>
      <c r="L1113" s="165">
        <v>133</v>
      </c>
      <c r="M1113" s="163" t="s">
        <v>268</v>
      </c>
      <c r="N1113" s="163" t="s">
        <v>272</v>
      </c>
      <c r="O1113" s="166" t="s">
        <v>723</v>
      </c>
      <c r="P1113" s="167">
        <v>4594480</v>
      </c>
      <c r="Q1113" s="167">
        <v>0</v>
      </c>
      <c r="R1113" s="167">
        <v>0</v>
      </c>
      <c r="S1113" s="167">
        <f t="shared" si="341"/>
        <v>4594480</v>
      </c>
      <c r="T1113" s="167">
        <f t="shared" si="338"/>
        <v>1343.2580984680153</v>
      </c>
      <c r="U1113" s="167">
        <v>1605.1458308969711</v>
      </c>
      <c r="V1113" s="149">
        <f t="shared" si="344"/>
        <v>261.88773242895581</v>
      </c>
      <c r="W1113" s="149">
        <f t="shared" si="342"/>
        <v>1605.1458308969711</v>
      </c>
      <c r="X1113" s="149">
        <v>0</v>
      </c>
      <c r="Y1113" s="368">
        <v>0</v>
      </c>
      <c r="Z1113" s="368">
        <v>0</v>
      </c>
      <c r="AA1113" s="368">
        <v>0</v>
      </c>
      <c r="AB1113" s="368">
        <v>0</v>
      </c>
      <c r="AC1113" s="368">
        <v>0</v>
      </c>
      <c r="AD1113" s="368">
        <v>0</v>
      </c>
      <c r="AE1113" s="368">
        <v>880</v>
      </c>
      <c r="AF1113" s="396">
        <f t="shared" si="345"/>
        <v>1605.1458308969711</v>
      </c>
      <c r="AG1113" s="368">
        <v>0</v>
      </c>
      <c r="AH1113" s="396">
        <v>0</v>
      </c>
      <c r="AI1113" s="368">
        <v>0</v>
      </c>
      <c r="AJ1113" s="396">
        <v>0</v>
      </c>
      <c r="AK1113" s="368">
        <v>0</v>
      </c>
      <c r="AL1113" s="368">
        <v>0</v>
      </c>
      <c r="AM1113" s="368">
        <v>0</v>
      </c>
      <c r="AN1113" s="368"/>
      <c r="AO1113" s="368">
        <v>0</v>
      </c>
    </row>
    <row r="1114" spans="1:41" s="152" customFormat="1" ht="36" customHeight="1" x14ac:dyDescent="0.9">
      <c r="A1114" s="152">
        <v>1</v>
      </c>
      <c r="B1114" s="90">
        <f>SUBTOTAL(103,$A$988:A1114)</f>
        <v>122</v>
      </c>
      <c r="C1114" s="89" t="s">
        <v>642</v>
      </c>
      <c r="D1114" s="163">
        <v>1972</v>
      </c>
      <c r="E1114" s="163"/>
      <c r="F1114" s="168" t="s">
        <v>270</v>
      </c>
      <c r="G1114" s="163">
        <v>5</v>
      </c>
      <c r="H1114" s="163">
        <v>4</v>
      </c>
      <c r="I1114" s="164">
        <v>3089.3</v>
      </c>
      <c r="J1114" s="164">
        <v>2785.08</v>
      </c>
      <c r="K1114" s="164">
        <v>2785.08</v>
      </c>
      <c r="L1114" s="165">
        <v>208</v>
      </c>
      <c r="M1114" s="163" t="s">
        <v>268</v>
      </c>
      <c r="N1114" s="163" t="s">
        <v>272</v>
      </c>
      <c r="O1114" s="166" t="s">
        <v>719</v>
      </c>
      <c r="P1114" s="167">
        <v>4121700</v>
      </c>
      <c r="Q1114" s="167">
        <v>0</v>
      </c>
      <c r="R1114" s="167">
        <v>0</v>
      </c>
      <c r="S1114" s="167">
        <f t="shared" si="341"/>
        <v>4121700</v>
      </c>
      <c r="T1114" s="167">
        <f t="shared" si="338"/>
        <v>1334.1857378694201</v>
      </c>
      <c r="U1114" s="167">
        <v>1666.1058330366102</v>
      </c>
      <c r="V1114" s="149">
        <f t="shared" si="344"/>
        <v>331.92009516719008</v>
      </c>
      <c r="W1114" s="149">
        <f t="shared" si="342"/>
        <v>1666.1058330366102</v>
      </c>
      <c r="X1114" s="149">
        <v>0</v>
      </c>
      <c r="Y1114" s="368">
        <v>0</v>
      </c>
      <c r="Z1114" s="368">
        <v>0</v>
      </c>
      <c r="AA1114" s="368">
        <v>0</v>
      </c>
      <c r="AB1114" s="368">
        <v>0</v>
      </c>
      <c r="AC1114" s="368">
        <v>0</v>
      </c>
      <c r="AD1114" s="368">
        <v>0</v>
      </c>
      <c r="AE1114" s="368">
        <v>825</v>
      </c>
      <c r="AF1114" s="396">
        <f t="shared" si="345"/>
        <v>1666.1058330366102</v>
      </c>
      <c r="AG1114" s="368">
        <v>0</v>
      </c>
      <c r="AH1114" s="396">
        <v>0</v>
      </c>
      <c r="AI1114" s="368">
        <v>0</v>
      </c>
      <c r="AJ1114" s="396">
        <v>0</v>
      </c>
      <c r="AK1114" s="368">
        <v>0</v>
      </c>
      <c r="AL1114" s="368">
        <v>0</v>
      </c>
      <c r="AM1114" s="368">
        <v>0</v>
      </c>
      <c r="AN1114" s="368"/>
      <c r="AO1114" s="368">
        <v>0</v>
      </c>
    </row>
    <row r="1115" spans="1:41" s="152" customFormat="1" ht="36" customHeight="1" x14ac:dyDescent="0.9">
      <c r="B1115" s="382" t="s">
        <v>829</v>
      </c>
      <c r="C1115" s="382"/>
      <c r="D1115" s="384" t="s">
        <v>903</v>
      </c>
      <c r="E1115" s="163" t="s">
        <v>903</v>
      </c>
      <c r="F1115" s="384" t="s">
        <v>903</v>
      </c>
      <c r="G1115" s="384" t="s">
        <v>903</v>
      </c>
      <c r="H1115" s="163" t="s">
        <v>903</v>
      </c>
      <c r="I1115" s="386">
        <f>SUM(I1116:I1117)</f>
        <v>6151.9</v>
      </c>
      <c r="J1115" s="164">
        <f>SUM(J1116:J1117)</f>
        <v>3654</v>
      </c>
      <c r="K1115" s="164">
        <f>SUM(K1116:K1117)</f>
        <v>3396.8</v>
      </c>
      <c r="L1115" s="165">
        <f>SUM(L1116:L1117)</f>
        <v>160</v>
      </c>
      <c r="M1115" s="163" t="s">
        <v>903</v>
      </c>
      <c r="N1115" s="163" t="s">
        <v>903</v>
      </c>
      <c r="O1115" s="166" t="s">
        <v>903</v>
      </c>
      <c r="P1115" s="386">
        <v>5663822.2999999998</v>
      </c>
      <c r="Q1115" s="164">
        <f>SUM(Q1116:Q1117)</f>
        <v>0</v>
      </c>
      <c r="R1115" s="164">
        <f>SUM(R1116:R1117)</f>
        <v>0</v>
      </c>
      <c r="S1115" s="164">
        <f>SUM(S1116:S1117)</f>
        <v>5663822.2999999998</v>
      </c>
      <c r="T1115" s="387">
        <f t="shared" si="338"/>
        <v>920.66228319706113</v>
      </c>
      <c r="U1115" s="387">
        <f>MAX(U1116:U1117)</f>
        <v>2559.0989652083017</v>
      </c>
      <c r="V1115" s="149">
        <f t="shared" ref="V1115:V1171" si="346">U1115-T1115</f>
        <v>1638.4366820112405</v>
      </c>
      <c r="W1115" s="149"/>
      <c r="X1115" s="149"/>
      <c r="Y1115" s="368"/>
      <c r="Z1115" s="368"/>
      <c r="AA1115" s="368"/>
      <c r="AB1115" s="368"/>
      <c r="AC1115" s="368"/>
      <c r="AD1115" s="368"/>
      <c r="AE1115" s="368"/>
      <c r="AF1115" s="368"/>
      <c r="AG1115" s="368"/>
      <c r="AH1115" s="368"/>
      <c r="AI1115" s="368"/>
      <c r="AJ1115" s="368"/>
      <c r="AK1115" s="368"/>
      <c r="AL1115" s="368"/>
      <c r="AM1115" s="368"/>
      <c r="AN1115" s="368"/>
      <c r="AO1115" s="368"/>
    </row>
    <row r="1116" spans="1:41" s="152" customFormat="1" ht="36" customHeight="1" x14ac:dyDescent="0.9">
      <c r="A1116" s="152">
        <v>1</v>
      </c>
      <c r="B1116" s="90">
        <f>SUBTOTAL(103,$A$988:A1116)</f>
        <v>123</v>
      </c>
      <c r="C1116" s="89" t="s">
        <v>648</v>
      </c>
      <c r="D1116" s="163">
        <v>1992</v>
      </c>
      <c r="E1116" s="163"/>
      <c r="F1116" s="168" t="s">
        <v>315</v>
      </c>
      <c r="G1116" s="163">
        <v>5</v>
      </c>
      <c r="H1116" s="163">
        <v>3</v>
      </c>
      <c r="I1116" s="164">
        <v>5482.2</v>
      </c>
      <c r="J1116" s="164">
        <v>3303.8</v>
      </c>
      <c r="K1116" s="164">
        <v>3096.3</v>
      </c>
      <c r="L1116" s="165">
        <v>147</v>
      </c>
      <c r="M1116" s="163" t="s">
        <v>268</v>
      </c>
      <c r="N1116" s="163" t="s">
        <v>272</v>
      </c>
      <c r="O1116" s="166" t="s">
        <v>721</v>
      </c>
      <c r="P1116" s="167">
        <v>4229613.5999999996</v>
      </c>
      <c r="Q1116" s="167">
        <v>0</v>
      </c>
      <c r="R1116" s="167">
        <v>0</v>
      </c>
      <c r="S1116" s="167">
        <f>P1116-Q1116-R1116</f>
        <v>4229613.5999999996</v>
      </c>
      <c r="T1116" s="167">
        <f t="shared" si="338"/>
        <v>771.5175659406807</v>
      </c>
      <c r="U1116" s="167">
        <v>963.45649666192412</v>
      </c>
      <c r="V1116" s="149">
        <f t="shared" si="346"/>
        <v>191.93893072124342</v>
      </c>
      <c r="W1116" s="149">
        <f t="shared" ref="W1116:W1117" si="347">X1116+Y1116+Z1116+AA1116+AB1116+AD1116+AF1116+AH1116+AJ1116+AL1116+AN1116+AO1116</f>
        <v>963.45649666192412</v>
      </c>
      <c r="X1116" s="149">
        <v>0</v>
      </c>
      <c r="Y1116" s="368">
        <v>0</v>
      </c>
      <c r="Z1116" s="368">
        <v>0</v>
      </c>
      <c r="AA1116" s="368">
        <v>0</v>
      </c>
      <c r="AB1116" s="368">
        <v>0</v>
      </c>
      <c r="AC1116" s="368">
        <v>0</v>
      </c>
      <c r="AD1116" s="368">
        <v>0</v>
      </c>
      <c r="AE1116" s="368">
        <v>846.6</v>
      </c>
      <c r="AF1116" s="396">
        <f t="shared" ref="AF1116:AF1117" si="348">6238.91*AE1116/I1116</f>
        <v>963.45649666192412</v>
      </c>
      <c r="AG1116" s="368">
        <v>0</v>
      </c>
      <c r="AH1116" s="396">
        <v>0</v>
      </c>
      <c r="AI1116" s="368">
        <v>0</v>
      </c>
      <c r="AJ1116" s="396">
        <v>0</v>
      </c>
      <c r="AK1116" s="368">
        <v>0</v>
      </c>
      <c r="AL1116" s="368">
        <v>0</v>
      </c>
      <c r="AM1116" s="368">
        <v>0</v>
      </c>
      <c r="AN1116" s="368"/>
      <c r="AO1116" s="368">
        <v>0</v>
      </c>
    </row>
    <row r="1117" spans="1:41" s="152" customFormat="1" ht="36" customHeight="1" x14ac:dyDescent="0.9">
      <c r="A1117" s="152">
        <v>1</v>
      </c>
      <c r="B1117" s="90">
        <f>SUBTOTAL(103,$A$988:A1117)</f>
        <v>124</v>
      </c>
      <c r="C1117" s="89" t="s">
        <v>646</v>
      </c>
      <c r="D1117" s="163">
        <v>1966</v>
      </c>
      <c r="E1117" s="163"/>
      <c r="F1117" s="168" t="s">
        <v>270</v>
      </c>
      <c r="G1117" s="163">
        <v>2</v>
      </c>
      <c r="H1117" s="163">
        <v>2</v>
      </c>
      <c r="I1117" s="164">
        <v>669.7</v>
      </c>
      <c r="J1117" s="164">
        <v>350.2</v>
      </c>
      <c r="K1117" s="164">
        <v>300.5</v>
      </c>
      <c r="L1117" s="165">
        <v>13</v>
      </c>
      <c r="M1117" s="163" t="s">
        <v>268</v>
      </c>
      <c r="N1117" s="163" t="s">
        <v>272</v>
      </c>
      <c r="O1117" s="166" t="s">
        <v>721</v>
      </c>
      <c r="P1117" s="167">
        <v>1434208.7</v>
      </c>
      <c r="Q1117" s="167">
        <v>0</v>
      </c>
      <c r="R1117" s="167">
        <v>0</v>
      </c>
      <c r="S1117" s="167">
        <f>P1117-Q1117-R1117</f>
        <v>1434208.7</v>
      </c>
      <c r="T1117" s="167">
        <f t="shared" si="338"/>
        <v>2141.5689114528891</v>
      </c>
      <c r="U1117" s="167">
        <v>2559.0989652083017</v>
      </c>
      <c r="V1117" s="149">
        <f t="shared" si="346"/>
        <v>417.53005375541261</v>
      </c>
      <c r="W1117" s="149">
        <f t="shared" si="347"/>
        <v>2559.0989652083017</v>
      </c>
      <c r="X1117" s="149">
        <v>0</v>
      </c>
      <c r="Y1117" s="368">
        <v>0</v>
      </c>
      <c r="Z1117" s="368">
        <v>0</v>
      </c>
      <c r="AA1117" s="368">
        <v>0</v>
      </c>
      <c r="AB1117" s="368">
        <v>0</v>
      </c>
      <c r="AC1117" s="368">
        <v>0</v>
      </c>
      <c r="AD1117" s="368">
        <v>0</v>
      </c>
      <c r="AE1117" s="368">
        <v>274.7</v>
      </c>
      <c r="AF1117" s="396">
        <f t="shared" si="348"/>
        <v>2559.0989652083017</v>
      </c>
      <c r="AG1117" s="368">
        <v>0</v>
      </c>
      <c r="AH1117" s="396">
        <v>0</v>
      </c>
      <c r="AI1117" s="368">
        <v>0</v>
      </c>
      <c r="AJ1117" s="396">
        <v>0</v>
      </c>
      <c r="AK1117" s="368">
        <v>0</v>
      </c>
      <c r="AL1117" s="368">
        <v>0</v>
      </c>
      <c r="AM1117" s="368">
        <v>0</v>
      </c>
      <c r="AN1117" s="368"/>
      <c r="AO1117" s="368">
        <v>0</v>
      </c>
    </row>
    <row r="1118" spans="1:41" s="152" customFormat="1" ht="36" customHeight="1" x14ac:dyDescent="0.9">
      <c r="B1118" s="382" t="s">
        <v>830</v>
      </c>
      <c r="C1118" s="382"/>
      <c r="D1118" s="384" t="s">
        <v>903</v>
      </c>
      <c r="E1118" s="163" t="s">
        <v>903</v>
      </c>
      <c r="F1118" s="384" t="s">
        <v>903</v>
      </c>
      <c r="G1118" s="384" t="s">
        <v>903</v>
      </c>
      <c r="H1118" s="163" t="s">
        <v>903</v>
      </c>
      <c r="I1118" s="386">
        <f>SUM(I1119:I1120)</f>
        <v>4408.6000000000004</v>
      </c>
      <c r="J1118" s="164">
        <f>SUM(J1119:J1120)</f>
        <v>4188.5</v>
      </c>
      <c r="K1118" s="164">
        <f>SUM(K1119:K1120)</f>
        <v>1566.9</v>
      </c>
      <c r="L1118" s="165">
        <f>SUM(L1119:L1120)</f>
        <v>120</v>
      </c>
      <c r="M1118" s="163" t="s">
        <v>903</v>
      </c>
      <c r="N1118" s="163" t="s">
        <v>903</v>
      </c>
      <c r="O1118" s="166" t="s">
        <v>903</v>
      </c>
      <c r="P1118" s="387">
        <v>11422752.699999999</v>
      </c>
      <c r="Q1118" s="167">
        <f>Q1119+Q1120</f>
        <v>0</v>
      </c>
      <c r="R1118" s="167">
        <f>R1119+R1120</f>
        <v>0</v>
      </c>
      <c r="S1118" s="167">
        <f>S1119+S1120</f>
        <v>11422752.699999999</v>
      </c>
      <c r="T1118" s="387">
        <f t="shared" si="338"/>
        <v>2591.0159007394632</v>
      </c>
      <c r="U1118" s="387">
        <f>MAX(U1119:U1120)</f>
        <v>18611.771658579622</v>
      </c>
      <c r="V1118" s="149">
        <f t="shared" si="346"/>
        <v>16020.755757840159</v>
      </c>
      <c r="W1118" s="149"/>
      <c r="X1118" s="149"/>
      <c r="Y1118" s="368"/>
      <c r="Z1118" s="368"/>
      <c r="AA1118" s="368"/>
      <c r="AB1118" s="368"/>
      <c r="AC1118" s="368"/>
      <c r="AD1118" s="368"/>
      <c r="AE1118" s="368"/>
      <c r="AF1118" s="368"/>
      <c r="AG1118" s="368"/>
      <c r="AH1118" s="368"/>
      <c r="AI1118" s="368"/>
      <c r="AJ1118" s="368"/>
      <c r="AK1118" s="368"/>
      <c r="AL1118" s="368"/>
      <c r="AM1118" s="368"/>
      <c r="AN1118" s="368"/>
      <c r="AO1118" s="368"/>
    </row>
    <row r="1119" spans="1:41" s="152" customFormat="1" ht="36" customHeight="1" x14ac:dyDescent="0.9">
      <c r="A1119" s="152">
        <v>1</v>
      </c>
      <c r="B1119" s="90">
        <f>SUBTOTAL(103,$A$988:A1119)</f>
        <v>125</v>
      </c>
      <c r="C1119" s="89" t="s">
        <v>652</v>
      </c>
      <c r="D1119" s="163">
        <v>1882</v>
      </c>
      <c r="E1119" s="163"/>
      <c r="F1119" s="168" t="s">
        <v>270</v>
      </c>
      <c r="G1119" s="163">
        <v>3</v>
      </c>
      <c r="H1119" s="163">
        <v>3</v>
      </c>
      <c r="I1119" s="164">
        <v>3501.8</v>
      </c>
      <c r="J1119" s="164">
        <v>3352.4</v>
      </c>
      <c r="K1119" s="164">
        <v>1028.9000000000001</v>
      </c>
      <c r="L1119" s="165">
        <v>87</v>
      </c>
      <c r="M1119" s="163" t="s">
        <v>268</v>
      </c>
      <c r="N1119" s="163" t="s">
        <v>272</v>
      </c>
      <c r="O1119" s="166" t="s">
        <v>722</v>
      </c>
      <c r="P1119" s="167">
        <v>4240119.51</v>
      </c>
      <c r="Q1119" s="167">
        <v>0</v>
      </c>
      <c r="R1119" s="167">
        <v>0</v>
      </c>
      <c r="S1119" s="167">
        <f>P1119-Q1119-R1119</f>
        <v>4240119.51</v>
      </c>
      <c r="T1119" s="167">
        <f t="shared" si="338"/>
        <v>1210.839999428865</v>
      </c>
      <c r="U1119" s="167">
        <v>3259.66</v>
      </c>
      <c r="V1119" s="149">
        <f t="shared" si="346"/>
        <v>2048.8200005711351</v>
      </c>
      <c r="W1119" s="149">
        <f t="shared" ref="W1119:W1120" si="349">X1119+Y1119+Z1119+AA1119+AB1119+AD1119+AF1119+AH1119+AJ1119+AL1119+AN1119+AO1119</f>
        <v>3259.66</v>
      </c>
      <c r="X1119" s="149">
        <v>0</v>
      </c>
      <c r="Y1119" s="368">
        <v>0</v>
      </c>
      <c r="Z1119" s="368">
        <v>3259.66</v>
      </c>
      <c r="AA1119" s="368">
        <v>0</v>
      </c>
      <c r="AB1119" s="368">
        <v>0</v>
      </c>
      <c r="AC1119" s="368">
        <v>0</v>
      </c>
      <c r="AD1119" s="368">
        <v>0</v>
      </c>
      <c r="AE1119" s="368">
        <v>0</v>
      </c>
      <c r="AF1119" s="396">
        <v>0</v>
      </c>
      <c r="AG1119" s="368">
        <v>0</v>
      </c>
      <c r="AH1119" s="396">
        <v>0</v>
      </c>
      <c r="AI1119" s="368">
        <v>0</v>
      </c>
      <c r="AJ1119" s="396">
        <v>0</v>
      </c>
      <c r="AK1119" s="368">
        <v>0</v>
      </c>
      <c r="AL1119" s="368">
        <v>0</v>
      </c>
      <c r="AM1119" s="368">
        <v>0</v>
      </c>
      <c r="AN1119" s="368"/>
      <c r="AO1119" s="368">
        <v>0</v>
      </c>
    </row>
    <row r="1120" spans="1:41" s="152" customFormat="1" ht="36" customHeight="1" x14ac:dyDescent="0.9">
      <c r="A1120" s="152">
        <v>1</v>
      </c>
      <c r="B1120" s="90">
        <f>SUBTOTAL(103,$A$988:A1120)</f>
        <v>126</v>
      </c>
      <c r="C1120" s="89" t="s">
        <v>656</v>
      </c>
      <c r="D1120" s="163">
        <v>1952</v>
      </c>
      <c r="E1120" s="163"/>
      <c r="F1120" s="168" t="s">
        <v>270</v>
      </c>
      <c r="G1120" s="163">
        <v>2</v>
      </c>
      <c r="H1120" s="163">
        <v>2</v>
      </c>
      <c r="I1120" s="164">
        <v>906.8</v>
      </c>
      <c r="J1120" s="164">
        <v>836.1</v>
      </c>
      <c r="K1120" s="164">
        <v>538</v>
      </c>
      <c r="L1120" s="165">
        <v>33</v>
      </c>
      <c r="M1120" s="163" t="s">
        <v>268</v>
      </c>
      <c r="N1120" s="163" t="s">
        <v>272</v>
      </c>
      <c r="O1120" s="166" t="s">
        <v>722</v>
      </c>
      <c r="P1120" s="167">
        <v>7182633.1900000004</v>
      </c>
      <c r="Q1120" s="167">
        <v>0</v>
      </c>
      <c r="R1120" s="167">
        <v>0</v>
      </c>
      <c r="S1120" s="167">
        <f>P1120-Q1120-R1120</f>
        <v>7182633.1900000004</v>
      </c>
      <c r="T1120" s="167">
        <f t="shared" si="338"/>
        <v>7920.8570688134105</v>
      </c>
      <c r="U1120" s="167">
        <v>18611.771658579622</v>
      </c>
      <c r="V1120" s="149">
        <f t="shared" si="346"/>
        <v>10690.914589766213</v>
      </c>
      <c r="W1120" s="149">
        <f t="shared" si="349"/>
        <v>18611.771658579622</v>
      </c>
      <c r="X1120" s="149">
        <v>0</v>
      </c>
      <c r="Y1120" s="368">
        <v>0</v>
      </c>
      <c r="Z1120" s="368">
        <v>0</v>
      </c>
      <c r="AA1120" s="368">
        <v>0</v>
      </c>
      <c r="AB1120" s="368">
        <v>0</v>
      </c>
      <c r="AC1120" s="368">
        <v>0</v>
      </c>
      <c r="AD1120" s="368">
        <v>0</v>
      </c>
      <c r="AE1120" s="368">
        <v>0</v>
      </c>
      <c r="AF1120" s="396">
        <v>0</v>
      </c>
      <c r="AG1120" s="368">
        <v>0</v>
      </c>
      <c r="AH1120" s="396">
        <v>0</v>
      </c>
      <c r="AI1120" s="368">
        <v>782.6</v>
      </c>
      <c r="AJ1120" s="397">
        <f>7439.1*AI1120/I1120</f>
        <v>6420.2025363917073</v>
      </c>
      <c r="AK1120" s="368">
        <v>144</v>
      </c>
      <c r="AL1120" s="396">
        <f>76773.02*AK1120/I1120</f>
        <v>12191.569122187915</v>
      </c>
      <c r="AM1120" s="368">
        <v>0</v>
      </c>
      <c r="AN1120" s="368"/>
      <c r="AO1120" s="368">
        <v>0</v>
      </c>
    </row>
    <row r="1121" spans="1:191" s="152" customFormat="1" ht="36" customHeight="1" x14ac:dyDescent="0.9">
      <c r="B1121" s="382" t="s">
        <v>831</v>
      </c>
      <c r="C1121" s="382"/>
      <c r="D1121" s="384" t="s">
        <v>903</v>
      </c>
      <c r="E1121" s="163" t="s">
        <v>903</v>
      </c>
      <c r="F1121" s="384" t="s">
        <v>903</v>
      </c>
      <c r="G1121" s="384" t="s">
        <v>903</v>
      </c>
      <c r="H1121" s="163" t="s">
        <v>903</v>
      </c>
      <c r="I1121" s="386">
        <f>SUM(I1122:I1123)</f>
        <v>6442.65</v>
      </c>
      <c r="J1121" s="164">
        <f>SUM(J1122:J1123)</f>
        <v>4755.2999999999993</v>
      </c>
      <c r="K1121" s="164">
        <f>SUM(K1122:K1123)</f>
        <v>4755.2999999999993</v>
      </c>
      <c r="L1121" s="165">
        <f>SUM(L1122:L1123)</f>
        <v>188</v>
      </c>
      <c r="M1121" s="163" t="s">
        <v>903</v>
      </c>
      <c r="N1121" s="163" t="s">
        <v>903</v>
      </c>
      <c r="O1121" s="166" t="s">
        <v>903</v>
      </c>
      <c r="P1121" s="386">
        <v>8756823</v>
      </c>
      <c r="Q1121" s="164">
        <f>SUM(Q1122:Q1123)</f>
        <v>0</v>
      </c>
      <c r="R1121" s="164">
        <f>SUM(R1122:R1123)</f>
        <v>0</v>
      </c>
      <c r="S1121" s="164">
        <f>SUM(S1122:S1123)</f>
        <v>8756823</v>
      </c>
      <c r="T1121" s="387">
        <f t="shared" si="338"/>
        <v>1359.1958278037764</v>
      </c>
      <c r="U1121" s="387">
        <f>MAX(U1122:U1123)</f>
        <v>2033.0132041701265</v>
      </c>
      <c r="V1121" s="149">
        <f t="shared" si="346"/>
        <v>673.81737636635012</v>
      </c>
      <c r="W1121" s="149"/>
      <c r="X1121" s="149"/>
      <c r="Y1121" s="368"/>
      <c r="Z1121" s="368"/>
      <c r="AA1121" s="368"/>
      <c r="AB1121" s="368"/>
      <c r="AC1121" s="368"/>
      <c r="AD1121" s="368"/>
      <c r="AE1121" s="368"/>
      <c r="AF1121" s="368"/>
      <c r="AG1121" s="368"/>
      <c r="AH1121" s="368"/>
      <c r="AI1121" s="368"/>
      <c r="AJ1121" s="368"/>
      <c r="AK1121" s="368"/>
      <c r="AL1121" s="368"/>
      <c r="AM1121" s="368"/>
      <c r="AN1121" s="368"/>
      <c r="AO1121" s="368"/>
    </row>
    <row r="1122" spans="1:191" s="152" customFormat="1" ht="36" customHeight="1" x14ac:dyDescent="0.9">
      <c r="A1122" s="152">
        <v>1</v>
      </c>
      <c r="B1122" s="90">
        <f>SUBTOTAL(103,$A$988:A1122)</f>
        <v>127</v>
      </c>
      <c r="C1122" s="89" t="s">
        <v>661</v>
      </c>
      <c r="D1122" s="163">
        <v>1986</v>
      </c>
      <c r="E1122" s="163"/>
      <c r="F1122" s="168" t="s">
        <v>270</v>
      </c>
      <c r="G1122" s="163">
        <v>5</v>
      </c>
      <c r="H1122" s="163">
        <v>4</v>
      </c>
      <c r="I1122" s="164">
        <v>3732.9</v>
      </c>
      <c r="J1122" s="164">
        <v>2826.7</v>
      </c>
      <c r="K1122" s="164">
        <v>2826.7</v>
      </c>
      <c r="L1122" s="165">
        <v>115</v>
      </c>
      <c r="M1122" s="163" t="s">
        <v>268</v>
      </c>
      <c r="N1122" s="163" t="s">
        <v>272</v>
      </c>
      <c r="O1122" s="166" t="s">
        <v>725</v>
      </c>
      <c r="P1122" s="167">
        <v>4146680</v>
      </c>
      <c r="Q1122" s="167">
        <v>0</v>
      </c>
      <c r="R1122" s="167">
        <v>0</v>
      </c>
      <c r="S1122" s="167">
        <f>P1122-Q1122-R1122</f>
        <v>4146680</v>
      </c>
      <c r="T1122" s="167">
        <f t="shared" si="338"/>
        <v>1110.8467947172439</v>
      </c>
      <c r="U1122" s="167">
        <v>1387.2043987248519</v>
      </c>
      <c r="V1122" s="149">
        <f t="shared" si="346"/>
        <v>276.35760400760796</v>
      </c>
      <c r="W1122" s="149">
        <f t="shared" ref="W1122:W1123" si="350">X1122+Y1122+Z1122+AA1122+AB1122+AD1122+AF1122+AH1122+AJ1122+AL1122+AN1122+AO1122</f>
        <v>1387.2043987248519</v>
      </c>
      <c r="X1122" s="149">
        <v>0</v>
      </c>
      <c r="Y1122" s="368">
        <v>0</v>
      </c>
      <c r="Z1122" s="368">
        <v>0</v>
      </c>
      <c r="AA1122" s="368">
        <v>0</v>
      </c>
      <c r="AB1122" s="368">
        <v>0</v>
      </c>
      <c r="AC1122" s="368">
        <v>0</v>
      </c>
      <c r="AD1122" s="368">
        <v>0</v>
      </c>
      <c r="AE1122" s="368">
        <v>830</v>
      </c>
      <c r="AF1122" s="396">
        <f t="shared" ref="AF1122:AF1123" si="351">6238.91*AE1122/I1122</f>
        <v>1387.2043987248519</v>
      </c>
      <c r="AG1122" s="368">
        <v>0</v>
      </c>
      <c r="AH1122" s="396">
        <v>0</v>
      </c>
      <c r="AI1122" s="368">
        <v>0</v>
      </c>
      <c r="AJ1122" s="396">
        <v>0</v>
      </c>
      <c r="AK1122" s="368">
        <v>0</v>
      </c>
      <c r="AL1122" s="368">
        <v>0</v>
      </c>
      <c r="AM1122" s="368">
        <v>0</v>
      </c>
      <c r="AN1122" s="368"/>
      <c r="AO1122" s="368">
        <v>0</v>
      </c>
    </row>
    <row r="1123" spans="1:191" s="152" customFormat="1" ht="36" customHeight="1" x14ac:dyDescent="0.9">
      <c r="A1123" s="152">
        <v>1</v>
      </c>
      <c r="B1123" s="90">
        <f>SUBTOTAL(103,$A$988:A1123)</f>
        <v>128</v>
      </c>
      <c r="C1123" s="89" t="s">
        <v>664</v>
      </c>
      <c r="D1123" s="163">
        <v>1964</v>
      </c>
      <c r="E1123" s="163"/>
      <c r="F1123" s="168" t="s">
        <v>270</v>
      </c>
      <c r="G1123" s="163">
        <v>4</v>
      </c>
      <c r="H1123" s="163">
        <v>3</v>
      </c>
      <c r="I1123" s="164">
        <v>2709.75</v>
      </c>
      <c r="J1123" s="164">
        <v>1928.6</v>
      </c>
      <c r="K1123" s="164">
        <v>1928.6</v>
      </c>
      <c r="L1123" s="165">
        <v>73</v>
      </c>
      <c r="M1123" s="163" t="s">
        <v>268</v>
      </c>
      <c r="N1123" s="163" t="s">
        <v>272</v>
      </c>
      <c r="O1123" s="166" t="s">
        <v>1005</v>
      </c>
      <c r="P1123" s="167">
        <v>4610143</v>
      </c>
      <c r="Q1123" s="167">
        <v>0</v>
      </c>
      <c r="R1123" s="167">
        <v>0</v>
      </c>
      <c r="S1123" s="167">
        <f>P1123-Q1123-R1123</f>
        <v>4610143</v>
      </c>
      <c r="T1123" s="167">
        <f t="shared" si="338"/>
        <v>1701.3167266352984</v>
      </c>
      <c r="U1123" s="167">
        <v>2033.0132041701265</v>
      </c>
      <c r="V1123" s="149">
        <f t="shared" si="346"/>
        <v>331.69647753482809</v>
      </c>
      <c r="W1123" s="149">
        <f t="shared" si="350"/>
        <v>2033.0132041701265</v>
      </c>
      <c r="X1123" s="149">
        <v>0</v>
      </c>
      <c r="Y1123" s="368">
        <v>0</v>
      </c>
      <c r="Z1123" s="368">
        <v>0</v>
      </c>
      <c r="AA1123" s="368">
        <v>0</v>
      </c>
      <c r="AB1123" s="368">
        <v>0</v>
      </c>
      <c r="AC1123" s="368">
        <v>0</v>
      </c>
      <c r="AD1123" s="368">
        <v>0</v>
      </c>
      <c r="AE1123" s="368">
        <v>883</v>
      </c>
      <c r="AF1123" s="396">
        <f t="shared" si="351"/>
        <v>2033.0132041701265</v>
      </c>
      <c r="AG1123" s="368">
        <v>0</v>
      </c>
      <c r="AH1123" s="396">
        <v>0</v>
      </c>
      <c r="AI1123" s="368">
        <v>0</v>
      </c>
      <c r="AJ1123" s="396">
        <v>0</v>
      </c>
      <c r="AK1123" s="368">
        <v>0</v>
      </c>
      <c r="AL1123" s="368">
        <v>0</v>
      </c>
      <c r="AM1123" s="368">
        <v>0</v>
      </c>
      <c r="AN1123" s="368"/>
      <c r="AO1123" s="368">
        <v>0</v>
      </c>
    </row>
    <row r="1124" spans="1:191" s="152" customFormat="1" ht="36" customHeight="1" x14ac:dyDescent="0.9">
      <c r="B1124" s="382" t="s">
        <v>832</v>
      </c>
      <c r="C1124" s="388"/>
      <c r="D1124" s="384" t="s">
        <v>903</v>
      </c>
      <c r="E1124" s="163" t="s">
        <v>903</v>
      </c>
      <c r="F1124" s="384" t="s">
        <v>903</v>
      </c>
      <c r="G1124" s="384" t="s">
        <v>903</v>
      </c>
      <c r="H1124" s="163" t="s">
        <v>903</v>
      </c>
      <c r="I1124" s="386">
        <f>I1125</f>
        <v>1801.1</v>
      </c>
      <c r="J1124" s="164">
        <f>J1125</f>
        <v>277.10000000000002</v>
      </c>
      <c r="K1124" s="164">
        <f>K1125</f>
        <v>277.10000000000002</v>
      </c>
      <c r="L1124" s="165">
        <f>L1125</f>
        <v>15</v>
      </c>
      <c r="M1124" s="163" t="s">
        <v>903</v>
      </c>
      <c r="N1124" s="163" t="s">
        <v>903</v>
      </c>
      <c r="O1124" s="166" t="s">
        <v>903</v>
      </c>
      <c r="P1124" s="387">
        <v>4369866.08</v>
      </c>
      <c r="Q1124" s="167">
        <f>Q1125</f>
        <v>0</v>
      </c>
      <c r="R1124" s="167">
        <f>R1125</f>
        <v>0</v>
      </c>
      <c r="S1124" s="167">
        <f>S1125</f>
        <v>4369866.08</v>
      </c>
      <c r="T1124" s="387">
        <f t="shared" si="338"/>
        <v>2426.2206873577261</v>
      </c>
      <c r="U1124" s="387">
        <f>U1125</f>
        <v>4167.1249403142519</v>
      </c>
      <c r="V1124" s="149">
        <f t="shared" si="346"/>
        <v>1740.9042529565259</v>
      </c>
      <c r="W1124" s="149"/>
      <c r="X1124" s="149"/>
      <c r="Y1124" s="368"/>
      <c r="Z1124" s="368"/>
      <c r="AA1124" s="368"/>
      <c r="AB1124" s="368"/>
      <c r="AC1124" s="368"/>
      <c r="AD1124" s="368"/>
      <c r="AE1124" s="368"/>
      <c r="AF1124" s="368"/>
      <c r="AG1124" s="368"/>
      <c r="AH1124" s="368"/>
      <c r="AI1124" s="368"/>
      <c r="AJ1124" s="368"/>
      <c r="AK1124" s="368"/>
      <c r="AL1124" s="368"/>
      <c r="AM1124" s="368"/>
      <c r="AN1124" s="368"/>
      <c r="AO1124" s="368"/>
    </row>
    <row r="1125" spans="1:191" s="121" customFormat="1" ht="36" customHeight="1" x14ac:dyDescent="0.9">
      <c r="A1125" s="152">
        <v>1</v>
      </c>
      <c r="B1125" s="90">
        <f>SUBTOTAL(103,$A$988:A1125)</f>
        <v>129</v>
      </c>
      <c r="C1125" s="176" t="s">
        <v>685</v>
      </c>
      <c r="D1125" s="163">
        <v>1968</v>
      </c>
      <c r="E1125" s="163"/>
      <c r="F1125" s="178" t="s">
        <v>270</v>
      </c>
      <c r="G1125" s="163">
        <v>2</v>
      </c>
      <c r="H1125" s="163">
        <v>1</v>
      </c>
      <c r="I1125" s="164">
        <v>1801.1</v>
      </c>
      <c r="J1125" s="164">
        <v>277.10000000000002</v>
      </c>
      <c r="K1125" s="164">
        <v>277.10000000000002</v>
      </c>
      <c r="L1125" s="177">
        <v>15</v>
      </c>
      <c r="M1125" s="163" t="s">
        <v>268</v>
      </c>
      <c r="N1125" s="163" t="s">
        <v>272</v>
      </c>
      <c r="O1125" s="163" t="s">
        <v>732</v>
      </c>
      <c r="P1125" s="164">
        <v>4369866.08</v>
      </c>
      <c r="Q1125" s="164">
        <v>0</v>
      </c>
      <c r="R1125" s="164">
        <v>0</v>
      </c>
      <c r="S1125" s="164">
        <f>P1125-Q1125-R1125</f>
        <v>4369866.08</v>
      </c>
      <c r="T1125" s="167">
        <f t="shared" si="338"/>
        <v>2426.2206873577261</v>
      </c>
      <c r="U1125" s="167">
        <v>4167.1249403142519</v>
      </c>
      <c r="V1125" s="149">
        <f>U1125-T1125</f>
        <v>1740.9042529565259</v>
      </c>
      <c r="W1125" s="149">
        <f>X1125+Y1125+Z1125+AA1125+AB1125+AD1125+AF1125+AH1125+AJ1125+AL1125+AN1125+AO1125</f>
        <v>4167.1249403142519</v>
      </c>
      <c r="X1125" s="149">
        <v>0</v>
      </c>
      <c r="Y1125" s="368">
        <v>0</v>
      </c>
      <c r="Z1125" s="368">
        <v>0</v>
      </c>
      <c r="AA1125" s="368">
        <v>0</v>
      </c>
      <c r="AB1125" s="368">
        <v>0</v>
      </c>
      <c r="AC1125" s="368">
        <v>0</v>
      </c>
      <c r="AD1125" s="368">
        <v>0</v>
      </c>
      <c r="AE1125" s="368">
        <v>1203</v>
      </c>
      <c r="AF1125" s="396">
        <f>6238.91*AE1125/I1125</f>
        <v>4167.1249403142519</v>
      </c>
      <c r="AG1125" s="368">
        <v>0</v>
      </c>
      <c r="AH1125" s="396">
        <v>0</v>
      </c>
      <c r="AI1125" s="368">
        <v>0</v>
      </c>
      <c r="AJ1125" s="396">
        <v>0</v>
      </c>
      <c r="AK1125" s="368">
        <v>0</v>
      </c>
      <c r="AL1125" s="368">
        <v>0</v>
      </c>
      <c r="AM1125" s="368">
        <v>0</v>
      </c>
      <c r="AN1125" s="368"/>
      <c r="AO1125" s="368">
        <v>0</v>
      </c>
      <c r="AP1125" s="152"/>
      <c r="DQ1125" s="123"/>
      <c r="DR1125" s="123"/>
      <c r="DS1125" s="123"/>
      <c r="EG1125" s="124"/>
      <c r="EP1125" s="125"/>
      <c r="FS1125" s="126"/>
      <c r="GI1125" s="127"/>
    </row>
    <row r="1126" spans="1:191" s="152" customFormat="1" ht="36" customHeight="1" x14ac:dyDescent="0.9">
      <c r="B1126" s="382" t="s">
        <v>833</v>
      </c>
      <c r="C1126" s="382"/>
      <c r="D1126" s="384" t="s">
        <v>903</v>
      </c>
      <c r="E1126" s="163" t="s">
        <v>903</v>
      </c>
      <c r="F1126" s="384" t="s">
        <v>903</v>
      </c>
      <c r="G1126" s="384" t="s">
        <v>903</v>
      </c>
      <c r="H1126" s="163" t="s">
        <v>903</v>
      </c>
      <c r="I1126" s="386">
        <f>I1127</f>
        <v>1070.8</v>
      </c>
      <c r="J1126" s="164">
        <f>J1127</f>
        <v>942</v>
      </c>
      <c r="K1126" s="164">
        <f>K1127</f>
        <v>942</v>
      </c>
      <c r="L1126" s="165">
        <f>L1127</f>
        <v>42</v>
      </c>
      <c r="M1126" s="163" t="s">
        <v>903</v>
      </c>
      <c r="N1126" s="163" t="s">
        <v>903</v>
      </c>
      <c r="O1126" s="166" t="s">
        <v>903</v>
      </c>
      <c r="P1126" s="387">
        <v>2936950.21</v>
      </c>
      <c r="Q1126" s="167">
        <f>Q1127</f>
        <v>0</v>
      </c>
      <c r="R1126" s="167">
        <f>R1127</f>
        <v>0</v>
      </c>
      <c r="S1126" s="167">
        <f>S1127</f>
        <v>2936950.21</v>
      </c>
      <c r="T1126" s="387">
        <f t="shared" si="338"/>
        <v>2742.7626167351514</v>
      </c>
      <c r="U1126" s="387">
        <f>U1127</f>
        <v>5467.4745050429592</v>
      </c>
      <c r="V1126" s="149">
        <f t="shared" si="346"/>
        <v>2724.7118883078078</v>
      </c>
      <c r="W1126" s="149"/>
      <c r="X1126" s="149"/>
      <c r="Y1126" s="368"/>
      <c r="Z1126" s="368"/>
      <c r="AA1126" s="368"/>
      <c r="AB1126" s="368"/>
      <c r="AC1126" s="368"/>
      <c r="AD1126" s="368"/>
      <c r="AE1126" s="368"/>
      <c r="AF1126" s="368"/>
      <c r="AG1126" s="368"/>
      <c r="AH1126" s="368"/>
      <c r="AI1126" s="368"/>
      <c r="AJ1126" s="368"/>
      <c r="AK1126" s="368"/>
      <c r="AL1126" s="368"/>
      <c r="AM1126" s="368"/>
      <c r="AN1126" s="368"/>
      <c r="AO1126" s="368"/>
    </row>
    <row r="1127" spans="1:191" s="121" customFormat="1" ht="36" customHeight="1" x14ac:dyDescent="0.9">
      <c r="A1127" s="152">
        <v>1</v>
      </c>
      <c r="B1127" s="90">
        <f>SUBTOTAL(103,$A$988:A1127)</f>
        <v>130</v>
      </c>
      <c r="C1127" s="176" t="s">
        <v>700</v>
      </c>
      <c r="D1127" s="163">
        <v>1979</v>
      </c>
      <c r="E1127" s="163"/>
      <c r="F1127" s="178" t="s">
        <v>270</v>
      </c>
      <c r="G1127" s="163">
        <v>2</v>
      </c>
      <c r="H1127" s="163">
        <v>3</v>
      </c>
      <c r="I1127" s="164">
        <v>1070.8</v>
      </c>
      <c r="J1127" s="164">
        <v>942</v>
      </c>
      <c r="K1127" s="164">
        <v>942</v>
      </c>
      <c r="L1127" s="177">
        <v>42</v>
      </c>
      <c r="M1127" s="163" t="s">
        <v>268</v>
      </c>
      <c r="N1127" s="163" t="s">
        <v>345</v>
      </c>
      <c r="O1127" s="163" t="s">
        <v>736</v>
      </c>
      <c r="P1127" s="164">
        <v>2936950.21</v>
      </c>
      <c r="Q1127" s="164">
        <v>0</v>
      </c>
      <c r="R1127" s="164">
        <v>0</v>
      </c>
      <c r="S1127" s="164">
        <f>P1127-Q1127-R1127</f>
        <v>2936950.21</v>
      </c>
      <c r="T1127" s="167">
        <f t="shared" si="338"/>
        <v>2742.7626167351514</v>
      </c>
      <c r="U1127" s="167">
        <v>5467.4745050429592</v>
      </c>
      <c r="V1127" s="149">
        <f>U1127-T1127</f>
        <v>2724.7118883078078</v>
      </c>
      <c r="W1127" s="149">
        <f>X1127+Y1127+Z1127+AA1127+AB1127+AD1127+AF1127+AH1127+AJ1127+AL1127+AN1127+AO1127</f>
        <v>5467.4745050429592</v>
      </c>
      <c r="X1127" s="149">
        <v>0</v>
      </c>
      <c r="Y1127" s="368">
        <v>0</v>
      </c>
      <c r="Z1127" s="368">
        <v>0</v>
      </c>
      <c r="AA1127" s="368">
        <v>0</v>
      </c>
      <c r="AB1127" s="368">
        <v>0</v>
      </c>
      <c r="AC1127" s="368">
        <v>0</v>
      </c>
      <c r="AD1127" s="368">
        <v>0</v>
      </c>
      <c r="AE1127" s="368">
        <v>0</v>
      </c>
      <c r="AF1127" s="396">
        <v>0</v>
      </c>
      <c r="AG1127" s="368">
        <v>0</v>
      </c>
      <c r="AH1127" s="396">
        <v>0</v>
      </c>
      <c r="AI1127" s="368">
        <v>787</v>
      </c>
      <c r="AJ1127" s="397">
        <f>7439.1*AI1127/I1127</f>
        <v>5467.4745050429592</v>
      </c>
      <c r="AK1127" s="368">
        <v>0</v>
      </c>
      <c r="AL1127" s="368">
        <v>0</v>
      </c>
      <c r="AM1127" s="368">
        <v>0</v>
      </c>
      <c r="AN1127" s="368"/>
      <c r="AO1127" s="368">
        <v>0</v>
      </c>
      <c r="AP1127" s="152"/>
      <c r="DQ1127" s="123"/>
      <c r="DR1127" s="123"/>
      <c r="DS1127" s="123"/>
      <c r="EG1127" s="124"/>
      <c r="EP1127" s="125"/>
      <c r="FS1127" s="126"/>
      <c r="GI1127" s="127"/>
    </row>
    <row r="1128" spans="1:191" s="152" customFormat="1" ht="36" customHeight="1" x14ac:dyDescent="0.9">
      <c r="B1128" s="382" t="s">
        <v>834</v>
      </c>
      <c r="C1128" s="382"/>
      <c r="D1128" s="384" t="s">
        <v>903</v>
      </c>
      <c r="E1128" s="163" t="s">
        <v>903</v>
      </c>
      <c r="F1128" s="384" t="s">
        <v>903</v>
      </c>
      <c r="G1128" s="384" t="s">
        <v>903</v>
      </c>
      <c r="H1128" s="163" t="s">
        <v>903</v>
      </c>
      <c r="I1128" s="386">
        <f>I1129+I1130</f>
        <v>1547.1</v>
      </c>
      <c r="J1128" s="164">
        <f>J1129+J1130</f>
        <v>1426.8</v>
      </c>
      <c r="K1128" s="164">
        <f>K1129+K1130</f>
        <v>275.39999999999998</v>
      </c>
      <c r="L1128" s="165">
        <f>L1129+L1130</f>
        <v>72</v>
      </c>
      <c r="M1128" s="163" t="s">
        <v>903</v>
      </c>
      <c r="N1128" s="163" t="s">
        <v>903</v>
      </c>
      <c r="O1128" s="166" t="s">
        <v>903</v>
      </c>
      <c r="P1128" s="387">
        <v>2773728.46</v>
      </c>
      <c r="Q1128" s="167">
        <f>Q1129+Q1130</f>
        <v>0</v>
      </c>
      <c r="R1128" s="167">
        <f>R1129+R1130</f>
        <v>0</v>
      </c>
      <c r="S1128" s="167">
        <f>S1129+S1130</f>
        <v>2773728.46</v>
      </c>
      <c r="T1128" s="387">
        <f t="shared" si="338"/>
        <v>1792.8566091396808</v>
      </c>
      <c r="U1128" s="387">
        <f>MAX(U1129:U1130)</f>
        <v>3620.4356680835335</v>
      </c>
      <c r="V1128" s="149">
        <f t="shared" si="346"/>
        <v>1827.5790589438527</v>
      </c>
      <c r="W1128" s="149"/>
      <c r="X1128" s="149"/>
      <c r="Y1128" s="368"/>
      <c r="Z1128" s="368"/>
      <c r="AA1128" s="368"/>
      <c r="AB1128" s="368"/>
      <c r="AC1128" s="368"/>
      <c r="AD1128" s="368"/>
      <c r="AE1128" s="368"/>
      <c r="AF1128" s="368"/>
      <c r="AG1128" s="368"/>
      <c r="AH1128" s="368"/>
      <c r="AI1128" s="368"/>
      <c r="AJ1128" s="368"/>
      <c r="AK1128" s="368"/>
      <c r="AL1128" s="368"/>
      <c r="AM1128" s="368"/>
      <c r="AN1128" s="368"/>
      <c r="AO1128" s="368"/>
    </row>
    <row r="1129" spans="1:191" s="121" customFormat="1" ht="36" customHeight="1" x14ac:dyDescent="0.9">
      <c r="A1129" s="152">
        <v>1</v>
      </c>
      <c r="B1129" s="90">
        <f>SUBTOTAL(103,$A$988:A1129)</f>
        <v>131</v>
      </c>
      <c r="C1129" s="176" t="s">
        <v>692</v>
      </c>
      <c r="D1129" s="163">
        <v>1971</v>
      </c>
      <c r="E1129" s="163"/>
      <c r="F1129" s="178" t="s">
        <v>270</v>
      </c>
      <c r="G1129" s="163">
        <v>3</v>
      </c>
      <c r="H1129" s="163">
        <v>2</v>
      </c>
      <c r="I1129" s="164">
        <v>1082.2</v>
      </c>
      <c r="J1129" s="164">
        <v>1018.1</v>
      </c>
      <c r="K1129" s="164">
        <v>114.5</v>
      </c>
      <c r="L1129" s="177">
        <v>44</v>
      </c>
      <c r="M1129" s="163" t="s">
        <v>268</v>
      </c>
      <c r="N1129" s="163" t="s">
        <v>269</v>
      </c>
      <c r="O1129" s="163" t="s">
        <v>271</v>
      </c>
      <c r="P1129" s="164">
        <v>2539091.92</v>
      </c>
      <c r="Q1129" s="164">
        <v>0</v>
      </c>
      <c r="R1129" s="164">
        <v>0</v>
      </c>
      <c r="S1129" s="164">
        <f>P1129-Q1129-R1129</f>
        <v>2539091.92</v>
      </c>
      <c r="T1129" s="167">
        <f t="shared" si="338"/>
        <v>2346.2316762151172</v>
      </c>
      <c r="U1129" s="167">
        <v>3620.4356680835335</v>
      </c>
      <c r="V1129" s="149">
        <f t="shared" si="346"/>
        <v>1274.2039918684163</v>
      </c>
      <c r="W1129" s="149">
        <f t="shared" ref="W1129:W1130" si="352">X1129+Y1129+Z1129+AA1129+AB1129+AD1129+AF1129+AH1129+AJ1129+AL1129+AN1129+AO1129</f>
        <v>3620.4356680835335</v>
      </c>
      <c r="X1129" s="149">
        <v>0</v>
      </c>
      <c r="Y1129" s="368">
        <v>0</v>
      </c>
      <c r="Z1129" s="368">
        <v>0</v>
      </c>
      <c r="AA1129" s="368">
        <v>0</v>
      </c>
      <c r="AB1129" s="368">
        <v>0</v>
      </c>
      <c r="AC1129" s="368">
        <v>0</v>
      </c>
      <c r="AD1129" s="368">
        <v>0</v>
      </c>
      <c r="AE1129" s="368">
        <v>628</v>
      </c>
      <c r="AF1129" s="396">
        <f>6238.91*AE1129/I1129</f>
        <v>3620.4356680835335</v>
      </c>
      <c r="AG1129" s="368">
        <v>0</v>
      </c>
      <c r="AH1129" s="396">
        <v>0</v>
      </c>
      <c r="AI1129" s="368">
        <v>0</v>
      </c>
      <c r="AJ1129" s="396">
        <v>0</v>
      </c>
      <c r="AK1129" s="368">
        <v>0</v>
      </c>
      <c r="AL1129" s="368">
        <v>0</v>
      </c>
      <c r="AM1129" s="368">
        <v>0</v>
      </c>
      <c r="AN1129" s="368"/>
      <c r="AO1129" s="368">
        <v>0</v>
      </c>
      <c r="AP1129" s="152"/>
      <c r="DQ1129" s="123"/>
      <c r="DR1129" s="123"/>
      <c r="DS1129" s="123"/>
      <c r="EG1129" s="124"/>
      <c r="EP1129" s="125"/>
      <c r="FS1129" s="126"/>
      <c r="GI1129" s="127"/>
    </row>
    <row r="1130" spans="1:191" s="121" customFormat="1" ht="36" customHeight="1" x14ac:dyDescent="0.9">
      <c r="A1130" s="152">
        <v>1</v>
      </c>
      <c r="B1130" s="90">
        <f>SUBTOTAL(103,$A$988:A1130)</f>
        <v>132</v>
      </c>
      <c r="C1130" s="176" t="s">
        <v>703</v>
      </c>
      <c r="D1130" s="163">
        <v>1964</v>
      </c>
      <c r="E1130" s="163"/>
      <c r="F1130" s="178" t="s">
        <v>270</v>
      </c>
      <c r="G1130" s="163">
        <v>2</v>
      </c>
      <c r="H1130" s="163">
        <v>2</v>
      </c>
      <c r="I1130" s="164">
        <v>464.9</v>
      </c>
      <c r="J1130" s="164">
        <v>408.7</v>
      </c>
      <c r="K1130" s="164">
        <v>160.9</v>
      </c>
      <c r="L1130" s="177">
        <v>28</v>
      </c>
      <c r="M1130" s="163" t="s">
        <v>268</v>
      </c>
      <c r="N1130" s="163" t="s">
        <v>269</v>
      </c>
      <c r="O1130" s="163" t="s">
        <v>271</v>
      </c>
      <c r="P1130" s="164">
        <v>234636.54</v>
      </c>
      <c r="Q1130" s="164">
        <v>0</v>
      </c>
      <c r="R1130" s="164">
        <v>0</v>
      </c>
      <c r="S1130" s="164">
        <f>P1130-Q1130-R1130</f>
        <v>234636.54</v>
      </c>
      <c r="T1130" s="167">
        <f t="shared" si="338"/>
        <v>504.70324801032484</v>
      </c>
      <c r="U1130" s="167">
        <v>795.31</v>
      </c>
      <c r="V1130" s="149">
        <f t="shared" si="346"/>
        <v>290.6067519896751</v>
      </c>
      <c r="W1130" s="149">
        <f t="shared" si="352"/>
        <v>795.31</v>
      </c>
      <c r="X1130" s="149">
        <v>0</v>
      </c>
      <c r="Y1130" s="368">
        <v>0</v>
      </c>
      <c r="Z1130" s="368">
        <v>0</v>
      </c>
      <c r="AA1130" s="368">
        <v>0</v>
      </c>
      <c r="AB1130" s="368">
        <v>795.31</v>
      </c>
      <c r="AC1130" s="368">
        <v>0</v>
      </c>
      <c r="AD1130" s="368">
        <v>0</v>
      </c>
      <c r="AE1130" s="368">
        <v>0</v>
      </c>
      <c r="AF1130" s="396">
        <v>0</v>
      </c>
      <c r="AG1130" s="368">
        <v>0</v>
      </c>
      <c r="AH1130" s="396">
        <v>0</v>
      </c>
      <c r="AI1130" s="368">
        <v>0</v>
      </c>
      <c r="AJ1130" s="396">
        <v>0</v>
      </c>
      <c r="AK1130" s="368">
        <v>0</v>
      </c>
      <c r="AL1130" s="368">
        <v>0</v>
      </c>
      <c r="AM1130" s="368">
        <v>0</v>
      </c>
      <c r="AN1130" s="368"/>
      <c r="AO1130" s="368">
        <v>0</v>
      </c>
      <c r="AP1130" s="152"/>
      <c r="DQ1130" s="123"/>
      <c r="DR1130" s="123"/>
      <c r="DS1130" s="123"/>
      <c r="EG1130" s="124"/>
      <c r="EP1130" s="125"/>
      <c r="FS1130" s="126"/>
      <c r="GI1130" s="127"/>
    </row>
    <row r="1131" spans="1:191" s="152" customFormat="1" ht="36" customHeight="1" x14ac:dyDescent="0.9">
      <c r="B1131" s="382" t="s">
        <v>897</v>
      </c>
      <c r="C1131" s="382"/>
      <c r="D1131" s="384" t="s">
        <v>903</v>
      </c>
      <c r="E1131" s="163" t="s">
        <v>903</v>
      </c>
      <c r="F1131" s="384" t="s">
        <v>903</v>
      </c>
      <c r="G1131" s="384" t="s">
        <v>903</v>
      </c>
      <c r="H1131" s="163" t="s">
        <v>903</v>
      </c>
      <c r="I1131" s="386">
        <f>I1132</f>
        <v>455.7</v>
      </c>
      <c r="J1131" s="164">
        <f>J1132</f>
        <v>413.6</v>
      </c>
      <c r="K1131" s="164">
        <f>K1132</f>
        <v>413.6</v>
      </c>
      <c r="L1131" s="165">
        <f>L1132</f>
        <v>26</v>
      </c>
      <c r="M1131" s="163" t="s">
        <v>903</v>
      </c>
      <c r="N1131" s="163" t="s">
        <v>903</v>
      </c>
      <c r="O1131" s="166" t="s">
        <v>903</v>
      </c>
      <c r="P1131" s="387">
        <v>2158336.3499999996</v>
      </c>
      <c r="Q1131" s="167">
        <f>Q1132</f>
        <v>0</v>
      </c>
      <c r="R1131" s="167">
        <f>R1132</f>
        <v>0</v>
      </c>
      <c r="S1131" s="167">
        <f>S1132</f>
        <v>2158336.3499999996</v>
      </c>
      <c r="T1131" s="387">
        <f t="shared" si="338"/>
        <v>4736.309743252139</v>
      </c>
      <c r="U1131" s="387">
        <f>U1132</f>
        <v>5380.4951283739301</v>
      </c>
      <c r="V1131" s="149">
        <f t="shared" si="346"/>
        <v>644.18538512179111</v>
      </c>
      <c r="W1131" s="149"/>
      <c r="X1131" s="149"/>
      <c r="Y1131" s="368"/>
      <c r="Z1131" s="368"/>
      <c r="AA1131" s="368"/>
      <c r="AB1131" s="368"/>
      <c r="AC1131" s="368"/>
      <c r="AD1131" s="368"/>
      <c r="AE1131" s="368"/>
      <c r="AF1131" s="368"/>
      <c r="AG1131" s="368"/>
      <c r="AH1131" s="368"/>
      <c r="AI1131" s="368"/>
      <c r="AJ1131" s="368"/>
      <c r="AK1131" s="368"/>
      <c r="AL1131" s="368"/>
      <c r="AM1131" s="368"/>
      <c r="AN1131" s="368"/>
      <c r="AO1131" s="368"/>
    </row>
    <row r="1132" spans="1:191" s="121" customFormat="1" ht="36" customHeight="1" x14ac:dyDescent="0.9">
      <c r="A1132" s="152">
        <v>1</v>
      </c>
      <c r="B1132" s="90">
        <f>SUBTOTAL(103,$A$988:A1132)</f>
        <v>133</v>
      </c>
      <c r="C1132" s="176" t="s">
        <v>684</v>
      </c>
      <c r="D1132" s="163">
        <v>1962</v>
      </c>
      <c r="E1132" s="163"/>
      <c r="F1132" s="178" t="s">
        <v>270</v>
      </c>
      <c r="G1132" s="163">
        <v>2</v>
      </c>
      <c r="H1132" s="163">
        <v>2</v>
      </c>
      <c r="I1132" s="164">
        <v>455.7</v>
      </c>
      <c r="J1132" s="164">
        <v>413.6</v>
      </c>
      <c r="K1132" s="164">
        <v>413.6</v>
      </c>
      <c r="L1132" s="177">
        <v>26</v>
      </c>
      <c r="M1132" s="163" t="s">
        <v>268</v>
      </c>
      <c r="N1132" s="163" t="s">
        <v>269</v>
      </c>
      <c r="O1132" s="163" t="s">
        <v>271</v>
      </c>
      <c r="P1132" s="164">
        <v>2158336.3499999996</v>
      </c>
      <c r="Q1132" s="164">
        <v>0</v>
      </c>
      <c r="R1132" s="164">
        <v>0</v>
      </c>
      <c r="S1132" s="164">
        <f>P1132-Q1132-R1132</f>
        <v>2158336.3499999996</v>
      </c>
      <c r="T1132" s="167">
        <f t="shared" si="338"/>
        <v>4736.309743252139</v>
      </c>
      <c r="U1132" s="167">
        <v>5380.4951283739301</v>
      </c>
      <c r="V1132" s="149">
        <f>U1132-T1132</f>
        <v>644.18538512179111</v>
      </c>
      <c r="W1132" s="149">
        <f>X1132+Y1132+Z1132+AA1132+AB1132+AD1132+AF1132+AH1132+AJ1132+AL1132+AN1132+AO1132</f>
        <v>5380.4951283739301</v>
      </c>
      <c r="X1132" s="149">
        <v>0</v>
      </c>
      <c r="Y1132" s="368">
        <v>0</v>
      </c>
      <c r="Z1132" s="368">
        <v>0</v>
      </c>
      <c r="AA1132" s="368">
        <v>0</v>
      </c>
      <c r="AB1132" s="368">
        <v>0</v>
      </c>
      <c r="AC1132" s="368">
        <v>0</v>
      </c>
      <c r="AD1132" s="368">
        <v>0</v>
      </c>
      <c r="AE1132" s="368">
        <v>393</v>
      </c>
      <c r="AF1132" s="396">
        <f>6238.91*AE1132/I1132</f>
        <v>5380.4951283739301</v>
      </c>
      <c r="AG1132" s="368">
        <v>0</v>
      </c>
      <c r="AH1132" s="396">
        <v>0</v>
      </c>
      <c r="AI1132" s="368">
        <v>0</v>
      </c>
      <c r="AJ1132" s="396">
        <v>0</v>
      </c>
      <c r="AK1132" s="368">
        <v>0</v>
      </c>
      <c r="AL1132" s="368">
        <v>0</v>
      </c>
      <c r="AM1132" s="368">
        <v>0</v>
      </c>
      <c r="AN1132" s="368"/>
      <c r="AO1132" s="368">
        <v>0</v>
      </c>
      <c r="AP1132" s="152"/>
      <c r="DQ1132" s="123"/>
      <c r="DR1132" s="123"/>
      <c r="DS1132" s="123"/>
      <c r="EG1132" s="124"/>
      <c r="EP1132" s="125"/>
      <c r="FS1132" s="126"/>
      <c r="GI1132" s="127"/>
    </row>
    <row r="1133" spans="1:191" s="152" customFormat="1" ht="36" customHeight="1" x14ac:dyDescent="0.9">
      <c r="B1133" s="382" t="s">
        <v>835</v>
      </c>
      <c r="C1133" s="382"/>
      <c r="D1133" s="384" t="s">
        <v>903</v>
      </c>
      <c r="E1133" s="163" t="s">
        <v>903</v>
      </c>
      <c r="F1133" s="384" t="s">
        <v>903</v>
      </c>
      <c r="G1133" s="384" t="s">
        <v>903</v>
      </c>
      <c r="H1133" s="163" t="s">
        <v>903</v>
      </c>
      <c r="I1133" s="386">
        <f>I1134</f>
        <v>3156.2</v>
      </c>
      <c r="J1133" s="164">
        <f>J1134</f>
        <v>2811.5</v>
      </c>
      <c r="K1133" s="164">
        <f>K1134</f>
        <v>759.56</v>
      </c>
      <c r="L1133" s="165">
        <f>L1134</f>
        <v>156</v>
      </c>
      <c r="M1133" s="163" t="s">
        <v>903</v>
      </c>
      <c r="N1133" s="163" t="s">
        <v>903</v>
      </c>
      <c r="O1133" s="166" t="s">
        <v>903</v>
      </c>
      <c r="P1133" s="386">
        <v>2000000</v>
      </c>
      <c r="Q1133" s="164">
        <f>Q1134</f>
        <v>0</v>
      </c>
      <c r="R1133" s="164">
        <f>R1134</f>
        <v>0</v>
      </c>
      <c r="S1133" s="164">
        <f>S1134</f>
        <v>2000000</v>
      </c>
      <c r="T1133" s="387">
        <f t="shared" si="338"/>
        <v>633.67340472720366</v>
      </c>
      <c r="U1133" s="387">
        <f>U1134</f>
        <v>1334.0854061846526</v>
      </c>
      <c r="V1133" s="149">
        <f t="shared" si="346"/>
        <v>700.41200145744892</v>
      </c>
      <c r="W1133" s="149"/>
      <c r="X1133" s="149"/>
      <c r="Y1133" s="368"/>
      <c r="Z1133" s="368"/>
      <c r="AA1133" s="368"/>
      <c r="AB1133" s="368"/>
      <c r="AC1133" s="368"/>
      <c r="AD1133" s="368"/>
      <c r="AE1133" s="368"/>
      <c r="AF1133" s="368"/>
      <c r="AG1133" s="368"/>
      <c r="AH1133" s="368"/>
      <c r="AI1133" s="368"/>
      <c r="AJ1133" s="368"/>
      <c r="AK1133" s="368"/>
      <c r="AL1133" s="368"/>
      <c r="AM1133" s="368"/>
      <c r="AN1133" s="368"/>
      <c r="AO1133" s="368"/>
    </row>
    <row r="1134" spans="1:191" s="152" customFormat="1" ht="36" customHeight="1" x14ac:dyDescent="0.9">
      <c r="A1134" s="152">
        <v>1</v>
      </c>
      <c r="B1134" s="90">
        <f>SUBTOTAL(103,$A$988:A1134)</f>
        <v>134</v>
      </c>
      <c r="C1134" s="89" t="s">
        <v>699</v>
      </c>
      <c r="D1134" s="163">
        <v>1990</v>
      </c>
      <c r="E1134" s="163"/>
      <c r="F1134" s="168" t="s">
        <v>735</v>
      </c>
      <c r="G1134" s="163">
        <v>5</v>
      </c>
      <c r="H1134" s="163">
        <v>4</v>
      </c>
      <c r="I1134" s="164">
        <v>3156.2</v>
      </c>
      <c r="J1134" s="164">
        <v>2811.5</v>
      </c>
      <c r="K1134" s="164">
        <v>759.56</v>
      </c>
      <c r="L1134" s="165">
        <v>156</v>
      </c>
      <c r="M1134" s="163" t="s">
        <v>268</v>
      </c>
      <c r="N1134" s="163" t="s">
        <v>272</v>
      </c>
      <c r="O1134" s="166" t="s">
        <v>732</v>
      </c>
      <c r="P1134" s="167">
        <v>2000000</v>
      </c>
      <c r="Q1134" s="167">
        <v>0</v>
      </c>
      <c r="R1134" s="167">
        <v>0</v>
      </c>
      <c r="S1134" s="167">
        <f>P1134-Q1134-R1134</f>
        <v>2000000</v>
      </c>
      <c r="T1134" s="167">
        <f t="shared" si="338"/>
        <v>633.67340472720366</v>
      </c>
      <c r="U1134" s="167">
        <v>1334.0854061846526</v>
      </c>
      <c r="V1134" s="149">
        <f>U1134-T1134</f>
        <v>700.41200145744892</v>
      </c>
      <c r="W1134" s="149">
        <f>X1134+Y1134+Z1134+AA1134+AB1134+AD1134+AF1134+AH1134+AJ1134+AL1134+AN1134+AO1134</f>
        <v>1334.0854061846526</v>
      </c>
      <c r="X1134" s="149">
        <v>0</v>
      </c>
      <c r="Y1134" s="368">
        <v>0</v>
      </c>
      <c r="Z1134" s="368">
        <v>0</v>
      </c>
      <c r="AA1134" s="368">
        <v>0</v>
      </c>
      <c r="AB1134" s="368">
        <v>0</v>
      </c>
      <c r="AC1134" s="368">
        <v>0</v>
      </c>
      <c r="AD1134" s="368">
        <v>0</v>
      </c>
      <c r="AE1134" s="368">
        <v>674.9</v>
      </c>
      <c r="AF1134" s="396">
        <f>6238.91*AE1134/I1134</f>
        <v>1334.0854061846526</v>
      </c>
      <c r="AG1134" s="368">
        <v>0</v>
      </c>
      <c r="AH1134" s="396">
        <v>0</v>
      </c>
      <c r="AI1134" s="368">
        <v>0</v>
      </c>
      <c r="AJ1134" s="396">
        <v>0</v>
      </c>
      <c r="AK1134" s="368">
        <v>0</v>
      </c>
      <c r="AL1134" s="368">
        <v>0</v>
      </c>
      <c r="AM1134" s="368">
        <v>0</v>
      </c>
      <c r="AN1134" s="368"/>
      <c r="AO1134" s="368">
        <v>0</v>
      </c>
    </row>
    <row r="1135" spans="1:191" s="152" customFormat="1" ht="36" customHeight="1" x14ac:dyDescent="0.9">
      <c r="B1135" s="382" t="s">
        <v>836</v>
      </c>
      <c r="C1135" s="382"/>
      <c r="D1135" s="384" t="s">
        <v>903</v>
      </c>
      <c r="E1135" s="163" t="s">
        <v>903</v>
      </c>
      <c r="F1135" s="384" t="s">
        <v>903</v>
      </c>
      <c r="G1135" s="384" t="s">
        <v>903</v>
      </c>
      <c r="H1135" s="163" t="s">
        <v>903</v>
      </c>
      <c r="I1135" s="386">
        <f>SUM(I1136:I1142)</f>
        <v>11855.599999999999</v>
      </c>
      <c r="J1135" s="164">
        <f>SUM(J1136:J1142)</f>
        <v>10339</v>
      </c>
      <c r="K1135" s="164">
        <f>SUM(K1136:K1142)</f>
        <v>10137.5</v>
      </c>
      <c r="L1135" s="165">
        <f>SUM(L1136:L1142)</f>
        <v>299</v>
      </c>
      <c r="M1135" s="163" t="s">
        <v>903</v>
      </c>
      <c r="N1135" s="163" t="s">
        <v>903</v>
      </c>
      <c r="O1135" s="166" t="s">
        <v>903</v>
      </c>
      <c r="P1135" s="387">
        <v>23342011.919999998</v>
      </c>
      <c r="Q1135" s="167">
        <f>SUM(Q1136:Q1142)</f>
        <v>0</v>
      </c>
      <c r="R1135" s="167">
        <f>SUM(R1136:R1142)</f>
        <v>0</v>
      </c>
      <c r="S1135" s="167">
        <f>SUM(S1136:S1142)</f>
        <v>23342011.919999998</v>
      </c>
      <c r="T1135" s="387">
        <f t="shared" si="338"/>
        <v>1968.8596039002666</v>
      </c>
      <c r="U1135" s="387">
        <f>MAX(U1136:U1142)</f>
        <v>18806.533031088082</v>
      </c>
      <c r="V1135" s="149">
        <f t="shared" si="346"/>
        <v>16837.673427187816</v>
      </c>
      <c r="W1135" s="149"/>
      <c r="X1135" s="149"/>
      <c r="Y1135" s="368"/>
      <c r="Z1135" s="368"/>
      <c r="AA1135" s="368"/>
      <c r="AB1135" s="368"/>
      <c r="AC1135" s="368"/>
      <c r="AD1135" s="368"/>
      <c r="AE1135" s="368"/>
      <c r="AF1135" s="368"/>
      <c r="AG1135" s="368"/>
      <c r="AH1135" s="368"/>
      <c r="AI1135" s="368"/>
      <c r="AJ1135" s="368"/>
      <c r="AK1135" s="368"/>
      <c r="AL1135" s="368"/>
      <c r="AM1135" s="368"/>
      <c r="AN1135" s="368"/>
      <c r="AO1135" s="368"/>
    </row>
    <row r="1136" spans="1:191" s="121" customFormat="1" ht="36" customHeight="1" x14ac:dyDescent="0.9">
      <c r="A1136" s="152">
        <v>1</v>
      </c>
      <c r="B1136" s="90">
        <f>SUBTOTAL(103,$A$988:A1136)</f>
        <v>135</v>
      </c>
      <c r="C1136" s="176" t="s">
        <v>671</v>
      </c>
      <c r="D1136" s="163">
        <v>1976</v>
      </c>
      <c r="E1136" s="163"/>
      <c r="F1136" s="178" t="s">
        <v>334</v>
      </c>
      <c r="G1136" s="163">
        <v>2</v>
      </c>
      <c r="H1136" s="163">
        <v>2</v>
      </c>
      <c r="I1136" s="164">
        <v>279.7</v>
      </c>
      <c r="J1136" s="164">
        <v>175.8</v>
      </c>
      <c r="K1136" s="164">
        <v>175.8</v>
      </c>
      <c r="L1136" s="177">
        <v>12</v>
      </c>
      <c r="M1136" s="163" t="s">
        <v>268</v>
      </c>
      <c r="N1136" s="163" t="s">
        <v>269</v>
      </c>
      <c r="O1136" s="163" t="s">
        <v>271</v>
      </c>
      <c r="P1136" s="164">
        <v>1358190.18</v>
      </c>
      <c r="Q1136" s="164">
        <v>0</v>
      </c>
      <c r="R1136" s="164">
        <v>0</v>
      </c>
      <c r="S1136" s="164">
        <f t="shared" ref="S1136:S1142" si="353">P1136-Q1136-R1136</f>
        <v>1358190.18</v>
      </c>
      <c r="T1136" s="167">
        <f t="shared" si="338"/>
        <v>4855.8819449410084</v>
      </c>
      <c r="U1136" s="167">
        <v>5801.7178798712912</v>
      </c>
      <c r="V1136" s="149">
        <f t="shared" si="346"/>
        <v>945.83593493028275</v>
      </c>
      <c r="W1136" s="149">
        <f t="shared" ref="W1136:W1142" si="354">X1136+Y1136+Z1136+AA1136+AB1136+AD1136+AF1136+AH1136+AJ1136+AL1136+AN1136+AO1136</f>
        <v>5801.7178798712912</v>
      </c>
      <c r="X1136" s="149">
        <v>0</v>
      </c>
      <c r="Y1136" s="368">
        <v>0</v>
      </c>
      <c r="Z1136" s="368">
        <v>0</v>
      </c>
      <c r="AA1136" s="368">
        <v>0</v>
      </c>
      <c r="AB1136" s="368">
        <v>0</v>
      </c>
      <c r="AC1136" s="368">
        <v>0</v>
      </c>
      <c r="AD1136" s="368">
        <v>0</v>
      </c>
      <c r="AE1136" s="368">
        <v>260.10000000000002</v>
      </c>
      <c r="AF1136" s="396">
        <f t="shared" ref="AF1136:AF1138" si="355">6238.91*AE1136/I1136</f>
        <v>5801.7178798712912</v>
      </c>
      <c r="AG1136" s="368">
        <v>0</v>
      </c>
      <c r="AH1136" s="396">
        <v>0</v>
      </c>
      <c r="AI1136" s="368">
        <v>0</v>
      </c>
      <c r="AJ1136" s="396">
        <v>0</v>
      </c>
      <c r="AK1136" s="368">
        <v>0</v>
      </c>
      <c r="AL1136" s="368">
        <v>0</v>
      </c>
      <c r="AM1136" s="368">
        <v>0</v>
      </c>
      <c r="AN1136" s="368"/>
      <c r="AO1136" s="368">
        <v>0</v>
      </c>
      <c r="AP1136" s="152"/>
      <c r="DQ1136" s="123"/>
      <c r="DR1136" s="123"/>
      <c r="DS1136" s="123"/>
      <c r="EG1136" s="124"/>
      <c r="EP1136" s="125"/>
      <c r="FS1136" s="126"/>
      <c r="GI1136" s="127"/>
    </row>
    <row r="1137" spans="1:191" s="121" customFormat="1" ht="36" customHeight="1" x14ac:dyDescent="0.9">
      <c r="A1137" s="152">
        <v>1</v>
      </c>
      <c r="B1137" s="90">
        <f>SUBTOTAL(103,$A$988:A1137)</f>
        <v>136</v>
      </c>
      <c r="C1137" s="176" t="s">
        <v>672</v>
      </c>
      <c r="D1137" s="163">
        <v>1981</v>
      </c>
      <c r="E1137" s="163"/>
      <c r="F1137" s="178" t="s">
        <v>270</v>
      </c>
      <c r="G1137" s="163">
        <v>5</v>
      </c>
      <c r="H1137" s="163">
        <v>2</v>
      </c>
      <c r="I1137" s="164">
        <v>2798</v>
      </c>
      <c r="J1137" s="164">
        <v>1711.4</v>
      </c>
      <c r="K1137" s="164">
        <v>1700.7</v>
      </c>
      <c r="L1137" s="177">
        <v>14</v>
      </c>
      <c r="M1137" s="163" t="s">
        <v>268</v>
      </c>
      <c r="N1137" s="163" t="s">
        <v>272</v>
      </c>
      <c r="O1137" s="163" t="s">
        <v>730</v>
      </c>
      <c r="P1137" s="164">
        <v>3973325</v>
      </c>
      <c r="Q1137" s="164">
        <v>0</v>
      </c>
      <c r="R1137" s="164">
        <v>0</v>
      </c>
      <c r="S1137" s="164">
        <f t="shared" si="353"/>
        <v>3973325</v>
      </c>
      <c r="T1137" s="167">
        <f t="shared" si="338"/>
        <v>1420.0589706933524</v>
      </c>
      <c r="U1137" s="167">
        <v>1895.3086132952108</v>
      </c>
      <c r="V1137" s="149">
        <f t="shared" si="346"/>
        <v>475.24964260185834</v>
      </c>
      <c r="W1137" s="149">
        <f t="shared" si="354"/>
        <v>1895.3086132952108</v>
      </c>
      <c r="X1137" s="149">
        <v>0</v>
      </c>
      <c r="Y1137" s="368">
        <v>0</v>
      </c>
      <c r="Z1137" s="368">
        <v>0</v>
      </c>
      <c r="AA1137" s="368">
        <v>0</v>
      </c>
      <c r="AB1137" s="368">
        <v>0</v>
      </c>
      <c r="AC1137" s="368">
        <v>0</v>
      </c>
      <c r="AD1137" s="368">
        <v>0</v>
      </c>
      <c r="AE1137" s="368">
        <v>850</v>
      </c>
      <c r="AF1137" s="396">
        <f t="shared" si="355"/>
        <v>1895.3086132952108</v>
      </c>
      <c r="AG1137" s="368">
        <v>0</v>
      </c>
      <c r="AH1137" s="396">
        <v>0</v>
      </c>
      <c r="AI1137" s="368">
        <v>0</v>
      </c>
      <c r="AJ1137" s="396">
        <v>0</v>
      </c>
      <c r="AK1137" s="368">
        <v>0</v>
      </c>
      <c r="AL1137" s="368">
        <v>0</v>
      </c>
      <c r="AM1137" s="368">
        <v>0</v>
      </c>
      <c r="AN1137" s="368"/>
      <c r="AO1137" s="368">
        <v>0</v>
      </c>
      <c r="AP1137" s="152"/>
      <c r="DQ1137" s="123"/>
      <c r="DR1137" s="123"/>
      <c r="DS1137" s="123"/>
      <c r="EG1137" s="124"/>
      <c r="EP1137" s="125"/>
      <c r="FS1137" s="126"/>
      <c r="GI1137" s="127"/>
    </row>
    <row r="1138" spans="1:191" s="121" customFormat="1" ht="36" customHeight="1" x14ac:dyDescent="0.9">
      <c r="A1138" s="152">
        <v>1</v>
      </c>
      <c r="B1138" s="90">
        <f>SUBTOTAL(103,$A$988:A1138)</f>
        <v>137</v>
      </c>
      <c r="C1138" s="176" t="s">
        <v>697</v>
      </c>
      <c r="D1138" s="163">
        <v>1980</v>
      </c>
      <c r="E1138" s="163"/>
      <c r="F1138" s="178" t="s">
        <v>270</v>
      </c>
      <c r="G1138" s="163">
        <v>2</v>
      </c>
      <c r="H1138" s="163">
        <v>3</v>
      </c>
      <c r="I1138" s="164">
        <v>939.9</v>
      </c>
      <c r="J1138" s="164">
        <v>833.2</v>
      </c>
      <c r="K1138" s="164">
        <v>830.3</v>
      </c>
      <c r="L1138" s="177">
        <v>21</v>
      </c>
      <c r="M1138" s="163" t="s">
        <v>268</v>
      </c>
      <c r="N1138" s="163" t="s">
        <v>272</v>
      </c>
      <c r="O1138" s="163" t="s">
        <v>1100</v>
      </c>
      <c r="P1138" s="164">
        <v>2687908</v>
      </c>
      <c r="Q1138" s="164">
        <v>0</v>
      </c>
      <c r="R1138" s="164">
        <v>0</v>
      </c>
      <c r="S1138" s="164">
        <f t="shared" si="353"/>
        <v>2687908</v>
      </c>
      <c r="T1138" s="167">
        <f t="shared" si="338"/>
        <v>2859.7808277476329</v>
      </c>
      <c r="U1138" s="167">
        <v>3654.1333705713378</v>
      </c>
      <c r="V1138" s="149">
        <f t="shared" si="346"/>
        <v>794.35254282370488</v>
      </c>
      <c r="W1138" s="149">
        <f t="shared" si="354"/>
        <v>3654.1333705713378</v>
      </c>
      <c r="X1138" s="149">
        <v>0</v>
      </c>
      <c r="Y1138" s="368">
        <v>0</v>
      </c>
      <c r="Z1138" s="368">
        <v>0</v>
      </c>
      <c r="AA1138" s="368">
        <v>0</v>
      </c>
      <c r="AB1138" s="368">
        <v>0</v>
      </c>
      <c r="AC1138" s="368">
        <v>0</v>
      </c>
      <c r="AD1138" s="368">
        <v>0</v>
      </c>
      <c r="AE1138" s="368">
        <v>550.5</v>
      </c>
      <c r="AF1138" s="396">
        <f t="shared" si="355"/>
        <v>3654.1333705713378</v>
      </c>
      <c r="AG1138" s="368">
        <v>0</v>
      </c>
      <c r="AH1138" s="396">
        <v>0</v>
      </c>
      <c r="AI1138" s="368">
        <v>0</v>
      </c>
      <c r="AJ1138" s="396">
        <v>0</v>
      </c>
      <c r="AK1138" s="368">
        <v>0</v>
      </c>
      <c r="AL1138" s="368">
        <v>0</v>
      </c>
      <c r="AM1138" s="368">
        <v>0</v>
      </c>
      <c r="AN1138" s="368"/>
      <c r="AO1138" s="368">
        <v>0</v>
      </c>
      <c r="AP1138" s="152"/>
      <c r="DQ1138" s="123"/>
      <c r="DR1138" s="123"/>
      <c r="DS1138" s="123"/>
      <c r="EG1138" s="124"/>
      <c r="EP1138" s="125"/>
      <c r="FS1138" s="126"/>
      <c r="GI1138" s="127"/>
    </row>
    <row r="1139" spans="1:191" s="121" customFormat="1" ht="36" customHeight="1" x14ac:dyDescent="0.9">
      <c r="A1139" s="152">
        <v>1</v>
      </c>
      <c r="B1139" s="90">
        <f>SUBTOTAL(103,$A$988:A1139)</f>
        <v>138</v>
      </c>
      <c r="C1139" s="176" t="s">
        <v>681</v>
      </c>
      <c r="D1139" s="163">
        <v>1917</v>
      </c>
      <c r="E1139" s="163"/>
      <c r="F1139" s="178" t="s">
        <v>270</v>
      </c>
      <c r="G1139" s="163">
        <v>2</v>
      </c>
      <c r="H1139" s="163">
        <v>1</v>
      </c>
      <c r="I1139" s="164">
        <v>231.6</v>
      </c>
      <c r="J1139" s="164">
        <v>130.9</v>
      </c>
      <c r="K1139" s="164">
        <v>101.7</v>
      </c>
      <c r="L1139" s="177">
        <v>12</v>
      </c>
      <c r="M1139" s="163" t="s">
        <v>268</v>
      </c>
      <c r="N1139" s="163" t="s">
        <v>269</v>
      </c>
      <c r="O1139" s="163" t="s">
        <v>271</v>
      </c>
      <c r="P1139" s="164">
        <v>3058347.5</v>
      </c>
      <c r="Q1139" s="164">
        <v>0</v>
      </c>
      <c r="R1139" s="164">
        <v>0</v>
      </c>
      <c r="S1139" s="164">
        <f t="shared" si="353"/>
        <v>3058347.5</v>
      </c>
      <c r="T1139" s="167">
        <f t="shared" si="338"/>
        <v>13205.300086355786</v>
      </c>
      <c r="U1139" s="167">
        <v>18806.533031088082</v>
      </c>
      <c r="V1139" s="149">
        <f t="shared" si="346"/>
        <v>5601.2329447322954</v>
      </c>
      <c r="W1139" s="149">
        <f t="shared" si="354"/>
        <v>18806.533031088082</v>
      </c>
      <c r="X1139" s="149">
        <v>0</v>
      </c>
      <c r="Y1139" s="368">
        <v>0</v>
      </c>
      <c r="Z1139" s="368">
        <v>0</v>
      </c>
      <c r="AA1139" s="368">
        <v>0</v>
      </c>
      <c r="AB1139" s="368">
        <v>0</v>
      </c>
      <c r="AC1139" s="368">
        <v>0</v>
      </c>
      <c r="AD1139" s="368">
        <v>0</v>
      </c>
      <c r="AE1139" s="368">
        <v>0</v>
      </c>
      <c r="AF1139" s="396">
        <v>0</v>
      </c>
      <c r="AG1139" s="368">
        <v>0</v>
      </c>
      <c r="AH1139" s="396">
        <v>0</v>
      </c>
      <c r="AI1139" s="368">
        <v>585.5</v>
      </c>
      <c r="AJ1139" s="397">
        <f>7439.1*AI1139/I1139</f>
        <v>18806.533031088082</v>
      </c>
      <c r="AK1139" s="368">
        <v>0</v>
      </c>
      <c r="AL1139" s="368">
        <v>0</v>
      </c>
      <c r="AM1139" s="368">
        <v>0</v>
      </c>
      <c r="AN1139" s="368"/>
      <c r="AO1139" s="368">
        <v>0</v>
      </c>
      <c r="AP1139" s="152"/>
      <c r="DQ1139" s="123"/>
      <c r="DR1139" s="123"/>
      <c r="DS1139" s="123"/>
      <c r="EG1139" s="124"/>
      <c r="EP1139" s="125"/>
      <c r="FS1139" s="126"/>
      <c r="GI1139" s="127"/>
    </row>
    <row r="1140" spans="1:191" s="121" customFormat="1" ht="36" customHeight="1" x14ac:dyDescent="0.9">
      <c r="A1140" s="152">
        <v>1</v>
      </c>
      <c r="B1140" s="90">
        <f>SUBTOTAL(103,$A$988:A1140)</f>
        <v>139</v>
      </c>
      <c r="C1140" s="176" t="s">
        <v>680</v>
      </c>
      <c r="D1140" s="163">
        <v>1993</v>
      </c>
      <c r="E1140" s="163"/>
      <c r="F1140" s="178" t="s">
        <v>315</v>
      </c>
      <c r="G1140" s="163">
        <v>5</v>
      </c>
      <c r="H1140" s="163">
        <v>5</v>
      </c>
      <c r="I1140" s="164">
        <v>3247</v>
      </c>
      <c r="J1140" s="164">
        <v>3245</v>
      </c>
      <c r="K1140" s="164">
        <v>3245</v>
      </c>
      <c r="L1140" s="177">
        <v>121</v>
      </c>
      <c r="M1140" s="163" t="s">
        <v>268</v>
      </c>
      <c r="N1140" s="163" t="s">
        <v>345</v>
      </c>
      <c r="O1140" s="163" t="s">
        <v>733</v>
      </c>
      <c r="P1140" s="164">
        <v>5240868.3999999994</v>
      </c>
      <c r="Q1140" s="164">
        <v>0</v>
      </c>
      <c r="R1140" s="164">
        <v>0</v>
      </c>
      <c r="S1140" s="164">
        <f t="shared" si="353"/>
        <v>5240868.3999999994</v>
      </c>
      <c r="T1140" s="167">
        <f t="shared" si="338"/>
        <v>1614.064798275331</v>
      </c>
      <c r="U1140" s="167">
        <v>1825.3663381582999</v>
      </c>
      <c r="V1140" s="149">
        <f t="shared" si="346"/>
        <v>211.30153988296888</v>
      </c>
      <c r="W1140" s="149">
        <f t="shared" si="354"/>
        <v>1825.3663381582999</v>
      </c>
      <c r="X1140" s="149">
        <v>0</v>
      </c>
      <c r="Y1140" s="368">
        <v>0</v>
      </c>
      <c r="Z1140" s="368">
        <v>0</v>
      </c>
      <c r="AA1140" s="368">
        <v>0</v>
      </c>
      <c r="AB1140" s="368">
        <v>0</v>
      </c>
      <c r="AC1140" s="368">
        <v>0</v>
      </c>
      <c r="AD1140" s="368">
        <v>0</v>
      </c>
      <c r="AE1140" s="368">
        <v>950</v>
      </c>
      <c r="AF1140" s="396">
        <f t="shared" ref="AF1140:AF1141" si="356">6238.91*AE1140/I1140</f>
        <v>1825.3663381582999</v>
      </c>
      <c r="AG1140" s="368">
        <v>0</v>
      </c>
      <c r="AH1140" s="396">
        <v>0</v>
      </c>
      <c r="AI1140" s="368">
        <v>0</v>
      </c>
      <c r="AJ1140" s="396">
        <v>0</v>
      </c>
      <c r="AK1140" s="368">
        <v>0</v>
      </c>
      <c r="AL1140" s="368">
        <v>0</v>
      </c>
      <c r="AM1140" s="368">
        <v>0</v>
      </c>
      <c r="AN1140" s="368"/>
      <c r="AO1140" s="368">
        <v>0</v>
      </c>
      <c r="AP1140" s="152"/>
      <c r="DQ1140" s="123"/>
      <c r="DR1140" s="123"/>
      <c r="DS1140" s="123"/>
      <c r="EG1140" s="124"/>
      <c r="EP1140" s="125"/>
      <c r="FS1140" s="126"/>
      <c r="GI1140" s="127"/>
    </row>
    <row r="1141" spans="1:191" s="121" customFormat="1" ht="36" customHeight="1" x14ac:dyDescent="0.9">
      <c r="A1141" s="152">
        <v>1</v>
      </c>
      <c r="B1141" s="90">
        <f>SUBTOTAL(103,$A$988:A1141)</f>
        <v>140</v>
      </c>
      <c r="C1141" s="176" t="s">
        <v>666</v>
      </c>
      <c r="D1141" s="163">
        <v>1927</v>
      </c>
      <c r="E1141" s="163"/>
      <c r="F1141" s="178" t="s">
        <v>270</v>
      </c>
      <c r="G1141" s="163">
        <v>2</v>
      </c>
      <c r="H1141" s="163">
        <v>2</v>
      </c>
      <c r="I1141" s="164">
        <v>525.4</v>
      </c>
      <c r="J1141" s="164">
        <v>408.7</v>
      </c>
      <c r="K1141" s="164">
        <v>282</v>
      </c>
      <c r="L1141" s="177">
        <v>32</v>
      </c>
      <c r="M1141" s="163" t="s">
        <v>268</v>
      </c>
      <c r="N1141" s="163" t="s">
        <v>269</v>
      </c>
      <c r="O1141" s="163" t="s">
        <v>271</v>
      </c>
      <c r="P1141" s="164">
        <v>2526766.84</v>
      </c>
      <c r="Q1141" s="164">
        <v>0</v>
      </c>
      <c r="R1141" s="164">
        <v>0</v>
      </c>
      <c r="S1141" s="164">
        <f t="shared" si="353"/>
        <v>2526766.84</v>
      </c>
      <c r="T1141" s="167">
        <f t="shared" si="338"/>
        <v>4809.2250475827941</v>
      </c>
      <c r="U1141" s="167">
        <v>6531.0249333840884</v>
      </c>
      <c r="V1141" s="149">
        <f t="shared" si="346"/>
        <v>1721.7998858012943</v>
      </c>
      <c r="W1141" s="149">
        <f t="shared" si="354"/>
        <v>6531.0249333840884</v>
      </c>
      <c r="X1141" s="149">
        <v>0</v>
      </c>
      <c r="Y1141" s="368">
        <v>0</v>
      </c>
      <c r="Z1141" s="368">
        <v>0</v>
      </c>
      <c r="AA1141" s="368">
        <v>0</v>
      </c>
      <c r="AB1141" s="368">
        <v>0</v>
      </c>
      <c r="AC1141" s="368">
        <v>0</v>
      </c>
      <c r="AD1141" s="368">
        <v>0</v>
      </c>
      <c r="AE1141" s="368">
        <v>550</v>
      </c>
      <c r="AF1141" s="396">
        <f t="shared" si="356"/>
        <v>6531.0249333840884</v>
      </c>
      <c r="AG1141" s="368">
        <v>0</v>
      </c>
      <c r="AH1141" s="396">
        <v>0</v>
      </c>
      <c r="AI1141" s="368">
        <v>0</v>
      </c>
      <c r="AJ1141" s="396">
        <v>0</v>
      </c>
      <c r="AK1141" s="368">
        <v>0</v>
      </c>
      <c r="AL1141" s="368">
        <v>0</v>
      </c>
      <c r="AM1141" s="368">
        <v>0</v>
      </c>
      <c r="AN1141" s="368"/>
      <c r="AO1141" s="368">
        <v>0</v>
      </c>
      <c r="AP1141" s="152"/>
      <c r="DQ1141" s="123"/>
      <c r="DR1141" s="123"/>
      <c r="DS1141" s="123"/>
      <c r="EG1141" s="124"/>
      <c r="EP1141" s="125"/>
      <c r="FS1141" s="126"/>
      <c r="GI1141" s="127"/>
    </row>
    <row r="1142" spans="1:191" s="121" customFormat="1" ht="36" customHeight="1" x14ac:dyDescent="0.9">
      <c r="A1142" s="152">
        <v>1</v>
      </c>
      <c r="B1142" s="90">
        <f>SUBTOTAL(103,$A$988:A1142)</f>
        <v>141</v>
      </c>
      <c r="C1142" s="176" t="s">
        <v>667</v>
      </c>
      <c r="D1142" s="163">
        <v>1983</v>
      </c>
      <c r="E1142" s="163"/>
      <c r="F1142" s="178" t="s">
        <v>270</v>
      </c>
      <c r="G1142" s="163">
        <v>9</v>
      </c>
      <c r="H1142" s="163">
        <v>2</v>
      </c>
      <c r="I1142" s="164">
        <v>3834</v>
      </c>
      <c r="J1142" s="164">
        <v>3834</v>
      </c>
      <c r="K1142" s="164">
        <v>3802</v>
      </c>
      <c r="L1142" s="177">
        <v>87</v>
      </c>
      <c r="M1142" s="163" t="s">
        <v>268</v>
      </c>
      <c r="N1142" s="163" t="s">
        <v>345</v>
      </c>
      <c r="O1142" s="163" t="s">
        <v>737</v>
      </c>
      <c r="P1142" s="164">
        <v>4496606</v>
      </c>
      <c r="Q1142" s="164">
        <v>0</v>
      </c>
      <c r="R1142" s="164">
        <v>0</v>
      </c>
      <c r="S1142" s="164">
        <f t="shared" si="353"/>
        <v>4496606</v>
      </c>
      <c r="T1142" s="167">
        <f t="shared" si="338"/>
        <v>1172.8236828377674</v>
      </c>
      <c r="U1142" s="167">
        <v>1282.1074595722482</v>
      </c>
      <c r="V1142" s="149">
        <f t="shared" si="346"/>
        <v>109.28377673448085</v>
      </c>
      <c r="W1142" s="149">
        <f t="shared" si="354"/>
        <v>1282.1074595722482</v>
      </c>
      <c r="X1142" s="149">
        <v>0</v>
      </c>
      <c r="Y1142" s="368">
        <v>0</v>
      </c>
      <c r="Z1142" s="368">
        <v>0</v>
      </c>
      <c r="AA1142" s="368">
        <v>0</v>
      </c>
      <c r="AB1142" s="368">
        <v>0</v>
      </c>
      <c r="AC1142" s="368">
        <v>2</v>
      </c>
      <c r="AD1142" s="396">
        <f>2457800*AC1142/I1142</f>
        <v>1282.1074595722482</v>
      </c>
      <c r="AE1142" s="368">
        <v>0</v>
      </c>
      <c r="AF1142" s="396">
        <v>0</v>
      </c>
      <c r="AG1142" s="368">
        <v>0</v>
      </c>
      <c r="AH1142" s="396">
        <v>0</v>
      </c>
      <c r="AI1142" s="368">
        <v>0</v>
      </c>
      <c r="AJ1142" s="396">
        <v>0</v>
      </c>
      <c r="AK1142" s="368">
        <v>0</v>
      </c>
      <c r="AL1142" s="368">
        <v>0</v>
      </c>
      <c r="AM1142" s="368">
        <v>0</v>
      </c>
      <c r="AN1142" s="368"/>
      <c r="AO1142" s="368">
        <v>0</v>
      </c>
      <c r="AP1142" s="152"/>
      <c r="DQ1142" s="123"/>
      <c r="DR1142" s="123"/>
      <c r="DS1142" s="123"/>
      <c r="EG1142" s="124"/>
      <c r="EP1142" s="125"/>
      <c r="FS1142" s="126"/>
      <c r="GI1142" s="127"/>
    </row>
    <row r="1143" spans="1:191" s="152" customFormat="1" ht="36" customHeight="1" x14ac:dyDescent="0.9">
      <c r="B1143" s="382" t="s">
        <v>837</v>
      </c>
      <c r="C1143" s="388"/>
      <c r="D1143" s="384" t="s">
        <v>903</v>
      </c>
      <c r="E1143" s="163" t="s">
        <v>903</v>
      </c>
      <c r="F1143" s="384" t="s">
        <v>903</v>
      </c>
      <c r="G1143" s="384" t="s">
        <v>903</v>
      </c>
      <c r="H1143" s="163" t="s">
        <v>903</v>
      </c>
      <c r="I1143" s="386">
        <f>SUM(I1144:I1145)</f>
        <v>5829.2</v>
      </c>
      <c r="J1143" s="164">
        <f>SUM(J1144:J1145)</f>
        <v>5360.1</v>
      </c>
      <c r="K1143" s="164">
        <f>SUM(K1144:K1145)</f>
        <v>4964.8</v>
      </c>
      <c r="L1143" s="165">
        <f>SUM(L1144:L1145)</f>
        <v>215</v>
      </c>
      <c r="M1143" s="163" t="s">
        <v>903</v>
      </c>
      <c r="N1143" s="163" t="s">
        <v>903</v>
      </c>
      <c r="O1143" s="166" t="s">
        <v>903</v>
      </c>
      <c r="P1143" s="387">
        <v>12591900</v>
      </c>
      <c r="Q1143" s="167">
        <f>Q1144+Q1145</f>
        <v>0</v>
      </c>
      <c r="R1143" s="167">
        <f>R1144+R1145</f>
        <v>0</v>
      </c>
      <c r="S1143" s="167">
        <f>S1144+S1145</f>
        <v>12591900</v>
      </c>
      <c r="T1143" s="387">
        <f t="shared" si="338"/>
        <v>2160.1420435051123</v>
      </c>
      <c r="U1143" s="387">
        <f>MAX(U1144:U1145)</f>
        <v>6848.9669938204297</v>
      </c>
      <c r="V1143" s="149">
        <f t="shared" si="346"/>
        <v>4688.8249503153174</v>
      </c>
      <c r="W1143" s="149"/>
      <c r="X1143" s="149"/>
      <c r="Y1143" s="368"/>
      <c r="Z1143" s="368"/>
      <c r="AA1143" s="368"/>
      <c r="AB1143" s="368"/>
      <c r="AC1143" s="368"/>
      <c r="AD1143" s="368"/>
      <c r="AE1143" s="368"/>
      <c r="AF1143" s="368"/>
      <c r="AG1143" s="368"/>
      <c r="AH1143" s="368"/>
      <c r="AI1143" s="368"/>
      <c r="AJ1143" s="368"/>
      <c r="AK1143" s="368"/>
      <c r="AL1143" s="368"/>
      <c r="AM1143" s="368"/>
      <c r="AN1143" s="368"/>
      <c r="AO1143" s="368"/>
    </row>
    <row r="1144" spans="1:191" s="121" customFormat="1" ht="36" customHeight="1" x14ac:dyDescent="0.9">
      <c r="A1144" s="152">
        <v>1</v>
      </c>
      <c r="B1144" s="90">
        <f>SUBTOTAL(103,$A$988:A1144)</f>
        <v>142</v>
      </c>
      <c r="C1144" s="176" t="s">
        <v>236</v>
      </c>
      <c r="D1144" s="163">
        <v>1954</v>
      </c>
      <c r="E1144" s="163"/>
      <c r="F1144" s="178" t="s">
        <v>340</v>
      </c>
      <c r="G1144" s="163">
        <v>2</v>
      </c>
      <c r="H1144" s="163">
        <v>2</v>
      </c>
      <c r="I1144" s="164">
        <v>825.3</v>
      </c>
      <c r="J1144" s="164">
        <v>722</v>
      </c>
      <c r="K1144" s="164">
        <v>638.6</v>
      </c>
      <c r="L1144" s="177">
        <v>34</v>
      </c>
      <c r="M1144" s="163" t="s">
        <v>268</v>
      </c>
      <c r="N1144" s="163" t="s">
        <v>272</v>
      </c>
      <c r="O1144" s="163" t="s">
        <v>339</v>
      </c>
      <c r="P1144" s="164">
        <v>4620600</v>
      </c>
      <c r="Q1144" s="164">
        <v>0</v>
      </c>
      <c r="R1144" s="164">
        <v>0</v>
      </c>
      <c r="S1144" s="164">
        <f>P1144-Q1144-R1144</f>
        <v>4620600</v>
      </c>
      <c r="T1144" s="167">
        <f t="shared" si="338"/>
        <v>5598.6913849509274</v>
      </c>
      <c r="U1144" s="167">
        <v>6848.9669938204297</v>
      </c>
      <c r="V1144" s="149">
        <f t="shared" si="346"/>
        <v>1250.2756088695023</v>
      </c>
      <c r="W1144" s="149">
        <f t="shared" ref="W1144:W1145" si="357">X1144+Y1144+Z1144+AA1144+AB1144+AD1144+AF1144+AH1144+AJ1144+AL1144+AN1144+AO1144</f>
        <v>6848.9669938204297</v>
      </c>
      <c r="X1144" s="149">
        <v>0</v>
      </c>
      <c r="Y1144" s="368">
        <v>0</v>
      </c>
      <c r="Z1144" s="368">
        <v>0</v>
      </c>
      <c r="AA1144" s="368">
        <v>0</v>
      </c>
      <c r="AB1144" s="368">
        <v>0</v>
      </c>
      <c r="AC1144" s="368">
        <v>0</v>
      </c>
      <c r="AD1144" s="368">
        <v>0</v>
      </c>
      <c r="AE1144" s="368">
        <v>906</v>
      </c>
      <c r="AF1144" s="396">
        <f t="shared" ref="AF1144:AF1145" si="358">6238.91*AE1144/I1144</f>
        <v>6848.9669938204297</v>
      </c>
      <c r="AG1144" s="368">
        <v>0</v>
      </c>
      <c r="AH1144" s="396">
        <v>0</v>
      </c>
      <c r="AI1144" s="368">
        <v>0</v>
      </c>
      <c r="AJ1144" s="396">
        <v>0</v>
      </c>
      <c r="AK1144" s="368">
        <v>0</v>
      </c>
      <c r="AL1144" s="368">
        <v>0</v>
      </c>
      <c r="AM1144" s="368">
        <v>0</v>
      </c>
      <c r="AN1144" s="368"/>
      <c r="AO1144" s="368">
        <v>0</v>
      </c>
      <c r="AP1144" s="152"/>
      <c r="DQ1144" s="123"/>
      <c r="DR1144" s="123"/>
      <c r="DS1144" s="123"/>
      <c r="EG1144" s="124"/>
      <c r="EP1144" s="125"/>
      <c r="FS1144" s="126"/>
      <c r="GI1144" s="127"/>
    </row>
    <row r="1145" spans="1:191" s="121" customFormat="1" ht="36" customHeight="1" x14ac:dyDescent="0.9">
      <c r="A1145" s="152">
        <v>1</v>
      </c>
      <c r="B1145" s="90">
        <f>SUBTOTAL(103,$A$988:A1145)</f>
        <v>143</v>
      </c>
      <c r="C1145" s="176" t="s">
        <v>240</v>
      </c>
      <c r="D1145" s="163">
        <v>1970</v>
      </c>
      <c r="E1145" s="163"/>
      <c r="F1145" s="178" t="s">
        <v>270</v>
      </c>
      <c r="G1145" s="163">
        <v>5</v>
      </c>
      <c r="H1145" s="163">
        <v>6</v>
      </c>
      <c r="I1145" s="164">
        <v>5003.8999999999996</v>
      </c>
      <c r="J1145" s="164">
        <v>4638.1000000000004</v>
      </c>
      <c r="K1145" s="164">
        <v>4326.2</v>
      </c>
      <c r="L1145" s="177">
        <v>181</v>
      </c>
      <c r="M1145" s="163" t="s">
        <v>268</v>
      </c>
      <c r="N1145" s="163" t="s">
        <v>272</v>
      </c>
      <c r="O1145" s="163" t="s">
        <v>337</v>
      </c>
      <c r="P1145" s="164">
        <v>7971300</v>
      </c>
      <c r="Q1145" s="164">
        <v>0</v>
      </c>
      <c r="R1145" s="164">
        <v>0</v>
      </c>
      <c r="S1145" s="164">
        <f>P1145-Q1145-R1145</f>
        <v>7971300</v>
      </c>
      <c r="T1145" s="167">
        <f t="shared" si="338"/>
        <v>1593.0174463918145</v>
      </c>
      <c r="U1145" s="167">
        <v>1948.7632306800697</v>
      </c>
      <c r="V1145" s="149">
        <f t="shared" si="346"/>
        <v>355.74578428825521</v>
      </c>
      <c r="W1145" s="149">
        <f t="shared" si="357"/>
        <v>1948.7632306800697</v>
      </c>
      <c r="X1145" s="149">
        <v>0</v>
      </c>
      <c r="Y1145" s="368">
        <v>0</v>
      </c>
      <c r="Z1145" s="368">
        <v>0</v>
      </c>
      <c r="AA1145" s="368">
        <v>0</v>
      </c>
      <c r="AB1145" s="368">
        <v>0</v>
      </c>
      <c r="AC1145" s="368">
        <v>0</v>
      </c>
      <c r="AD1145" s="368">
        <v>0</v>
      </c>
      <c r="AE1145" s="368">
        <v>1563</v>
      </c>
      <c r="AF1145" s="396">
        <f t="shared" si="358"/>
        <v>1948.7632306800697</v>
      </c>
      <c r="AG1145" s="368">
        <v>0</v>
      </c>
      <c r="AH1145" s="396">
        <v>0</v>
      </c>
      <c r="AI1145" s="368">
        <v>0</v>
      </c>
      <c r="AJ1145" s="396">
        <v>0</v>
      </c>
      <c r="AK1145" s="368">
        <v>0</v>
      </c>
      <c r="AL1145" s="368">
        <v>0</v>
      </c>
      <c r="AM1145" s="368">
        <v>0</v>
      </c>
      <c r="AN1145" s="368"/>
      <c r="AO1145" s="368">
        <v>0</v>
      </c>
      <c r="AP1145" s="152"/>
      <c r="DQ1145" s="123"/>
      <c r="DR1145" s="123"/>
      <c r="DS1145" s="123"/>
      <c r="EG1145" s="124"/>
      <c r="EP1145" s="125"/>
      <c r="FS1145" s="126"/>
      <c r="GI1145" s="127"/>
    </row>
    <row r="1146" spans="1:191" s="152" customFormat="1" ht="36" customHeight="1" x14ac:dyDescent="0.9">
      <c r="B1146" s="382" t="s">
        <v>838</v>
      </c>
      <c r="C1146" s="382"/>
      <c r="D1146" s="384" t="s">
        <v>903</v>
      </c>
      <c r="E1146" s="163" t="s">
        <v>903</v>
      </c>
      <c r="F1146" s="384" t="s">
        <v>903</v>
      </c>
      <c r="G1146" s="384" t="s">
        <v>903</v>
      </c>
      <c r="H1146" s="163" t="s">
        <v>903</v>
      </c>
      <c r="I1146" s="386">
        <f>I1147</f>
        <v>396.2</v>
      </c>
      <c r="J1146" s="164">
        <f>J1147</f>
        <v>372.4</v>
      </c>
      <c r="K1146" s="164">
        <f>K1147</f>
        <v>187.9</v>
      </c>
      <c r="L1146" s="165">
        <f>L1147</f>
        <v>21</v>
      </c>
      <c r="M1146" s="163" t="s">
        <v>903</v>
      </c>
      <c r="N1146" s="163" t="s">
        <v>903</v>
      </c>
      <c r="O1146" s="166" t="s">
        <v>903</v>
      </c>
      <c r="P1146" s="387">
        <v>1724820</v>
      </c>
      <c r="Q1146" s="167">
        <f>Q1147</f>
        <v>0</v>
      </c>
      <c r="R1146" s="167">
        <f>R1147</f>
        <v>0</v>
      </c>
      <c r="S1146" s="167">
        <f>S1147</f>
        <v>1724820</v>
      </c>
      <c r="T1146" s="387">
        <f t="shared" si="338"/>
        <v>4353.4073700151439</v>
      </c>
      <c r="U1146" s="387">
        <f>U1147</f>
        <v>5325.5915244825837</v>
      </c>
      <c r="V1146" s="149">
        <f t="shared" si="346"/>
        <v>972.18415446743984</v>
      </c>
      <c r="W1146" s="149"/>
      <c r="X1146" s="149"/>
      <c r="Y1146" s="368"/>
      <c r="Z1146" s="368"/>
      <c r="AA1146" s="368"/>
      <c r="AB1146" s="368"/>
      <c r="AC1146" s="368"/>
      <c r="AD1146" s="368"/>
      <c r="AE1146" s="368"/>
      <c r="AF1146" s="368"/>
      <c r="AG1146" s="368"/>
      <c r="AH1146" s="368"/>
      <c r="AI1146" s="368"/>
      <c r="AJ1146" s="368"/>
      <c r="AK1146" s="368"/>
      <c r="AL1146" s="368"/>
      <c r="AM1146" s="368"/>
      <c r="AN1146" s="368"/>
      <c r="AO1146" s="368"/>
    </row>
    <row r="1147" spans="1:191" s="121" customFormat="1" ht="36" customHeight="1" x14ac:dyDescent="0.9">
      <c r="A1147" s="152">
        <v>1</v>
      </c>
      <c r="B1147" s="90">
        <f>SUBTOTAL(103,$A$988:A1147)</f>
        <v>144</v>
      </c>
      <c r="C1147" s="176" t="s">
        <v>245</v>
      </c>
      <c r="D1147" s="163">
        <v>1977</v>
      </c>
      <c r="E1147" s="163"/>
      <c r="F1147" s="178" t="s">
        <v>270</v>
      </c>
      <c r="G1147" s="163">
        <v>2</v>
      </c>
      <c r="H1147" s="163">
        <v>1</v>
      </c>
      <c r="I1147" s="164">
        <v>396.2</v>
      </c>
      <c r="J1147" s="164">
        <v>372.4</v>
      </c>
      <c r="K1147" s="164">
        <v>187.9</v>
      </c>
      <c r="L1147" s="177">
        <v>21</v>
      </c>
      <c r="M1147" s="163" t="s">
        <v>268</v>
      </c>
      <c r="N1147" s="163" t="s">
        <v>269</v>
      </c>
      <c r="O1147" s="163" t="s">
        <v>271</v>
      </c>
      <c r="P1147" s="164">
        <v>1724820</v>
      </c>
      <c r="Q1147" s="164">
        <v>0</v>
      </c>
      <c r="R1147" s="164">
        <v>0</v>
      </c>
      <c r="S1147" s="164">
        <f>P1147-Q1147-R1147</f>
        <v>1724820</v>
      </c>
      <c r="T1147" s="167">
        <f t="shared" si="338"/>
        <v>4353.4073700151439</v>
      </c>
      <c r="U1147" s="167">
        <v>5325.5915244825837</v>
      </c>
      <c r="V1147" s="149">
        <f>U1147-T1147</f>
        <v>972.18415446743984</v>
      </c>
      <c r="W1147" s="149">
        <f>X1147+Y1147+Z1147+AA1147+AB1147+AD1147+AF1147+AH1147+AJ1147+AL1147+AN1147+AO1147</f>
        <v>5325.5915244825837</v>
      </c>
      <c r="X1147" s="149">
        <v>0</v>
      </c>
      <c r="Y1147" s="368">
        <v>0</v>
      </c>
      <c r="Z1147" s="368">
        <v>0</v>
      </c>
      <c r="AA1147" s="368">
        <v>0</v>
      </c>
      <c r="AB1147" s="368">
        <v>0</v>
      </c>
      <c r="AC1147" s="368">
        <v>0</v>
      </c>
      <c r="AD1147" s="368">
        <v>0</v>
      </c>
      <c r="AE1147" s="368">
        <v>338.2</v>
      </c>
      <c r="AF1147" s="396">
        <f>6238.91*AE1147/I1147</f>
        <v>5325.5915244825837</v>
      </c>
      <c r="AG1147" s="368">
        <v>0</v>
      </c>
      <c r="AH1147" s="396">
        <v>0</v>
      </c>
      <c r="AI1147" s="368">
        <v>0</v>
      </c>
      <c r="AJ1147" s="396">
        <v>0</v>
      </c>
      <c r="AK1147" s="368">
        <v>0</v>
      </c>
      <c r="AL1147" s="368">
        <v>0</v>
      </c>
      <c r="AM1147" s="368">
        <v>0</v>
      </c>
      <c r="AN1147" s="368"/>
      <c r="AO1147" s="368">
        <v>0</v>
      </c>
      <c r="AP1147" s="152"/>
      <c r="DQ1147" s="123"/>
      <c r="DR1147" s="123"/>
      <c r="DS1147" s="123"/>
      <c r="EG1147" s="124"/>
      <c r="EP1147" s="125"/>
      <c r="FS1147" s="126"/>
      <c r="GI1147" s="127"/>
    </row>
    <row r="1148" spans="1:191" s="152" customFormat="1" ht="36" customHeight="1" x14ac:dyDescent="0.9">
      <c r="B1148" s="382" t="s">
        <v>839</v>
      </c>
      <c r="C1148" s="382"/>
      <c r="D1148" s="384" t="s">
        <v>903</v>
      </c>
      <c r="E1148" s="163" t="s">
        <v>903</v>
      </c>
      <c r="F1148" s="384" t="s">
        <v>903</v>
      </c>
      <c r="G1148" s="384" t="s">
        <v>903</v>
      </c>
      <c r="H1148" s="163" t="s">
        <v>903</v>
      </c>
      <c r="I1148" s="386">
        <f>I1149</f>
        <v>1011.8</v>
      </c>
      <c r="J1148" s="164">
        <f>J1149</f>
        <v>928.8</v>
      </c>
      <c r="K1148" s="164">
        <f>K1149</f>
        <v>827.3</v>
      </c>
      <c r="L1148" s="165">
        <f>L1149</f>
        <v>26</v>
      </c>
      <c r="M1148" s="163" t="s">
        <v>903</v>
      </c>
      <c r="N1148" s="163" t="s">
        <v>903</v>
      </c>
      <c r="O1148" s="166" t="s">
        <v>903</v>
      </c>
      <c r="P1148" s="387">
        <v>1739107.3499999999</v>
      </c>
      <c r="Q1148" s="167">
        <f>Q1149</f>
        <v>0</v>
      </c>
      <c r="R1148" s="167">
        <f>R1149</f>
        <v>0</v>
      </c>
      <c r="S1148" s="167">
        <f>S1149</f>
        <v>1739107.3499999999</v>
      </c>
      <c r="T1148" s="387">
        <f t="shared" si="338"/>
        <v>1718.8252124925873</v>
      </c>
      <c r="U1148" s="387">
        <f>U1149</f>
        <v>4385.594294326942</v>
      </c>
      <c r="V1148" s="149">
        <f t="shared" si="346"/>
        <v>2666.7690818343544</v>
      </c>
      <c r="W1148" s="149"/>
      <c r="X1148" s="149"/>
      <c r="Y1148" s="368"/>
      <c r="Z1148" s="368"/>
      <c r="AA1148" s="368"/>
      <c r="AB1148" s="368"/>
      <c r="AC1148" s="368"/>
      <c r="AD1148" s="368"/>
      <c r="AE1148" s="368"/>
      <c r="AF1148" s="368"/>
      <c r="AG1148" s="368"/>
      <c r="AH1148" s="368"/>
      <c r="AI1148" s="368"/>
      <c r="AJ1148" s="368"/>
      <c r="AK1148" s="368"/>
      <c r="AL1148" s="368"/>
      <c r="AM1148" s="368"/>
      <c r="AN1148" s="368"/>
      <c r="AO1148" s="368"/>
    </row>
    <row r="1149" spans="1:191" s="121" customFormat="1" ht="36" customHeight="1" x14ac:dyDescent="0.9">
      <c r="A1149" s="152">
        <v>1</v>
      </c>
      <c r="B1149" s="90">
        <f>SUBTOTAL(103,$A$988:A1149)</f>
        <v>145</v>
      </c>
      <c r="C1149" s="176" t="s">
        <v>247</v>
      </c>
      <c r="D1149" s="163">
        <v>1979</v>
      </c>
      <c r="E1149" s="163"/>
      <c r="F1149" s="178" t="s">
        <v>315</v>
      </c>
      <c r="G1149" s="163">
        <v>3</v>
      </c>
      <c r="H1149" s="163">
        <v>2</v>
      </c>
      <c r="I1149" s="164">
        <v>1011.8</v>
      </c>
      <c r="J1149" s="164">
        <v>928.8</v>
      </c>
      <c r="K1149" s="164">
        <v>827.3</v>
      </c>
      <c r="L1149" s="177">
        <v>26</v>
      </c>
      <c r="M1149" s="163" t="s">
        <v>268</v>
      </c>
      <c r="N1149" s="163" t="s">
        <v>269</v>
      </c>
      <c r="O1149" s="163" t="s">
        <v>271</v>
      </c>
      <c r="P1149" s="164">
        <v>1739107.3499999999</v>
      </c>
      <c r="Q1149" s="164">
        <v>0</v>
      </c>
      <c r="R1149" s="164">
        <v>0</v>
      </c>
      <c r="S1149" s="164">
        <f>P1149-Q1149-R1149</f>
        <v>1739107.3499999999</v>
      </c>
      <c r="T1149" s="167">
        <f t="shared" si="338"/>
        <v>1718.8252124925873</v>
      </c>
      <c r="U1149" s="167">
        <v>4385.594294326942</v>
      </c>
      <c r="V1149" s="149">
        <f>U1149-T1149</f>
        <v>2666.7690818343544</v>
      </c>
      <c r="W1149" s="149">
        <f>X1149+Y1149+Z1149+AA1149+AB1149+AD1149+AF1149+AH1149+AJ1149+AL1149+AN1149+AO1149</f>
        <v>4385.594294326942</v>
      </c>
      <c r="X1149" s="149">
        <v>0</v>
      </c>
      <c r="Y1149" s="368">
        <v>0</v>
      </c>
      <c r="Z1149" s="368">
        <v>0</v>
      </c>
      <c r="AA1149" s="368">
        <v>0</v>
      </c>
      <c r="AB1149" s="368">
        <v>0</v>
      </c>
      <c r="AC1149" s="368">
        <v>0</v>
      </c>
      <c r="AD1149" s="368">
        <v>0</v>
      </c>
      <c r="AE1149" s="368">
        <v>0</v>
      </c>
      <c r="AF1149" s="396">
        <v>0</v>
      </c>
      <c r="AG1149" s="368">
        <v>0</v>
      </c>
      <c r="AH1149" s="396">
        <v>0</v>
      </c>
      <c r="AI1149" s="368">
        <v>568.70000000000005</v>
      </c>
      <c r="AJ1149" s="397">
        <f>7802.61*AI1149/I1149</f>
        <v>4385.594294326942</v>
      </c>
      <c r="AK1149" s="368">
        <v>0</v>
      </c>
      <c r="AL1149" s="368">
        <v>0</v>
      </c>
      <c r="AM1149" s="368">
        <v>0</v>
      </c>
      <c r="AN1149" s="368"/>
      <c r="AO1149" s="368">
        <v>0</v>
      </c>
      <c r="AP1149" s="152"/>
      <c r="DQ1149" s="123"/>
      <c r="DR1149" s="123"/>
      <c r="DS1149" s="123"/>
      <c r="EG1149" s="124"/>
      <c r="EP1149" s="125"/>
      <c r="FS1149" s="126"/>
      <c r="GI1149" s="127"/>
    </row>
    <row r="1150" spans="1:191" s="152" customFormat="1" ht="36" customHeight="1" x14ac:dyDescent="0.9">
      <c r="B1150" s="382" t="s">
        <v>898</v>
      </c>
      <c r="C1150" s="389"/>
      <c r="D1150" s="384" t="s">
        <v>903</v>
      </c>
      <c r="E1150" s="163" t="s">
        <v>903</v>
      </c>
      <c r="F1150" s="384" t="s">
        <v>903</v>
      </c>
      <c r="G1150" s="384" t="s">
        <v>903</v>
      </c>
      <c r="H1150" s="163" t="s">
        <v>903</v>
      </c>
      <c r="I1150" s="386">
        <f>I1151</f>
        <v>594.20000000000005</v>
      </c>
      <c r="J1150" s="164">
        <f>J1151</f>
        <v>550.6</v>
      </c>
      <c r="K1150" s="164">
        <f>K1151</f>
        <v>550.6</v>
      </c>
      <c r="L1150" s="165">
        <f>L1151</f>
        <v>23</v>
      </c>
      <c r="M1150" s="163" t="s">
        <v>903</v>
      </c>
      <c r="N1150" s="163" t="s">
        <v>903</v>
      </c>
      <c r="O1150" s="166" t="s">
        <v>903</v>
      </c>
      <c r="P1150" s="387">
        <v>3373804.98</v>
      </c>
      <c r="Q1150" s="167">
        <f>Q1151</f>
        <v>0</v>
      </c>
      <c r="R1150" s="167">
        <f>R1151</f>
        <v>0</v>
      </c>
      <c r="S1150" s="167">
        <f>S1151</f>
        <v>3373804.98</v>
      </c>
      <c r="T1150" s="387">
        <f t="shared" si="338"/>
        <v>5677.8946146078761</v>
      </c>
      <c r="U1150" s="387">
        <f>U1151</f>
        <v>6783.843404577583</v>
      </c>
      <c r="V1150" s="149">
        <f t="shared" si="346"/>
        <v>1105.9487899697069</v>
      </c>
      <c r="W1150" s="149"/>
      <c r="X1150" s="149"/>
      <c r="Y1150" s="368"/>
      <c r="Z1150" s="368"/>
      <c r="AA1150" s="368"/>
      <c r="AB1150" s="368"/>
      <c r="AC1150" s="368"/>
      <c r="AD1150" s="368"/>
      <c r="AE1150" s="368"/>
      <c r="AF1150" s="368"/>
      <c r="AG1150" s="368"/>
      <c r="AH1150" s="368"/>
      <c r="AI1150" s="368"/>
      <c r="AJ1150" s="368"/>
      <c r="AK1150" s="368"/>
      <c r="AL1150" s="368"/>
      <c r="AM1150" s="368"/>
      <c r="AN1150" s="368"/>
      <c r="AO1150" s="368"/>
    </row>
    <row r="1151" spans="1:191" s="121" customFormat="1" ht="36" customHeight="1" x14ac:dyDescent="0.9">
      <c r="A1151" s="152">
        <v>1</v>
      </c>
      <c r="B1151" s="90">
        <f>SUBTOTAL(103,$A$988:A1151)</f>
        <v>146</v>
      </c>
      <c r="C1151" s="176" t="s">
        <v>4</v>
      </c>
      <c r="D1151" s="163">
        <v>1977</v>
      </c>
      <c r="E1151" s="163"/>
      <c r="F1151" s="178" t="s">
        <v>270</v>
      </c>
      <c r="G1151" s="163">
        <v>2</v>
      </c>
      <c r="H1151" s="163">
        <v>2</v>
      </c>
      <c r="I1151" s="164">
        <v>594.20000000000005</v>
      </c>
      <c r="J1151" s="164">
        <v>550.6</v>
      </c>
      <c r="K1151" s="164">
        <v>550.6</v>
      </c>
      <c r="L1151" s="177">
        <v>23</v>
      </c>
      <c r="M1151" s="163" t="s">
        <v>268</v>
      </c>
      <c r="N1151" s="163" t="s">
        <v>269</v>
      </c>
      <c r="O1151" s="163" t="s">
        <v>271</v>
      </c>
      <c r="P1151" s="164">
        <v>3373804.98</v>
      </c>
      <c r="Q1151" s="164">
        <v>0</v>
      </c>
      <c r="R1151" s="164">
        <v>0</v>
      </c>
      <c r="S1151" s="164">
        <f>P1151-Q1151-R1151</f>
        <v>3373804.98</v>
      </c>
      <c r="T1151" s="167">
        <f t="shared" si="338"/>
        <v>5677.8946146078761</v>
      </c>
      <c r="U1151" s="167">
        <v>6783.843404577583</v>
      </c>
      <c r="V1151" s="149">
        <f>U1151-T1151</f>
        <v>1105.9487899697069</v>
      </c>
      <c r="W1151" s="149">
        <f>X1151+Y1151+Z1151+AA1151+AB1151+AD1151+AF1151+AH1151+AJ1151+AL1151+AN1151+AO1151</f>
        <v>6783.843404577583</v>
      </c>
      <c r="X1151" s="149">
        <v>0</v>
      </c>
      <c r="Y1151" s="368">
        <v>0</v>
      </c>
      <c r="Z1151" s="368">
        <v>0</v>
      </c>
      <c r="AA1151" s="368">
        <v>0</v>
      </c>
      <c r="AB1151" s="368">
        <v>0</v>
      </c>
      <c r="AC1151" s="368">
        <v>0</v>
      </c>
      <c r="AD1151" s="368">
        <v>0</v>
      </c>
      <c r="AE1151" s="368">
        <v>646.1</v>
      </c>
      <c r="AF1151" s="396">
        <f>6238.91*AE1151/I1151</f>
        <v>6783.843404577583</v>
      </c>
      <c r="AG1151" s="368">
        <v>0</v>
      </c>
      <c r="AH1151" s="396">
        <v>0</v>
      </c>
      <c r="AI1151" s="368">
        <v>0</v>
      </c>
      <c r="AJ1151" s="396">
        <v>0</v>
      </c>
      <c r="AK1151" s="368">
        <v>0</v>
      </c>
      <c r="AL1151" s="368">
        <v>0</v>
      </c>
      <c r="AM1151" s="368">
        <v>0</v>
      </c>
      <c r="AN1151" s="368"/>
      <c r="AO1151" s="368">
        <v>0</v>
      </c>
      <c r="AP1151" s="152"/>
      <c r="DQ1151" s="123"/>
      <c r="DR1151" s="123"/>
      <c r="DS1151" s="123"/>
      <c r="EG1151" s="124"/>
      <c r="EP1151" s="125"/>
      <c r="FS1151" s="126"/>
      <c r="GI1151" s="127"/>
    </row>
    <row r="1152" spans="1:191" s="152" customFormat="1" ht="36" customHeight="1" x14ac:dyDescent="0.9">
      <c r="B1152" s="382" t="s">
        <v>899</v>
      </c>
      <c r="C1152" s="390"/>
      <c r="D1152" s="384" t="s">
        <v>903</v>
      </c>
      <c r="E1152" s="163" t="s">
        <v>903</v>
      </c>
      <c r="F1152" s="384" t="s">
        <v>903</v>
      </c>
      <c r="G1152" s="384" t="s">
        <v>903</v>
      </c>
      <c r="H1152" s="163" t="s">
        <v>903</v>
      </c>
      <c r="I1152" s="386">
        <f>SUM(I1153:I1154)</f>
        <v>1532.1</v>
      </c>
      <c r="J1152" s="164">
        <f>SUM(J1153:J1154)</f>
        <v>1325.8000000000002</v>
      </c>
      <c r="K1152" s="164">
        <f>SUM(K1153:K1154)</f>
        <v>1325.8000000000002</v>
      </c>
      <c r="L1152" s="165">
        <f>SUM(L1153:L1154)</f>
        <v>39</v>
      </c>
      <c r="M1152" s="163" t="s">
        <v>903</v>
      </c>
      <c r="N1152" s="163" t="s">
        <v>903</v>
      </c>
      <c r="O1152" s="166" t="s">
        <v>903</v>
      </c>
      <c r="P1152" s="387">
        <v>3916350</v>
      </c>
      <c r="Q1152" s="167">
        <f>SUM(Q1153:Q1154)</f>
        <v>0</v>
      </c>
      <c r="R1152" s="167">
        <f>SUM(R1153:R1154)</f>
        <v>0</v>
      </c>
      <c r="S1152" s="167">
        <f>SUM(S1153:S1154)</f>
        <v>3916350</v>
      </c>
      <c r="T1152" s="387">
        <f t="shared" si="338"/>
        <v>2556.1973761503818</v>
      </c>
      <c r="U1152" s="387">
        <f>MAX(U1153:U1154)</f>
        <v>5014.975435637999</v>
      </c>
      <c r="V1152" s="149">
        <f t="shared" si="346"/>
        <v>2458.7780594876172</v>
      </c>
      <c r="W1152" s="149"/>
      <c r="X1152" s="149"/>
      <c r="Y1152" s="368"/>
      <c r="Z1152" s="368"/>
      <c r="AA1152" s="368"/>
      <c r="AB1152" s="368"/>
      <c r="AC1152" s="368"/>
      <c r="AD1152" s="368"/>
      <c r="AE1152" s="368"/>
      <c r="AF1152" s="368"/>
      <c r="AG1152" s="368"/>
      <c r="AH1152" s="368"/>
      <c r="AI1152" s="368"/>
      <c r="AJ1152" s="368"/>
      <c r="AK1152" s="368"/>
      <c r="AL1152" s="368"/>
      <c r="AM1152" s="368"/>
      <c r="AN1152" s="368"/>
      <c r="AO1152" s="368"/>
    </row>
    <row r="1153" spans="1:191" s="121" customFormat="1" ht="36" customHeight="1" x14ac:dyDescent="0.9">
      <c r="A1153" s="152">
        <v>1</v>
      </c>
      <c r="B1153" s="90">
        <f>SUBTOTAL(103,$A$988:A1153)</f>
        <v>147</v>
      </c>
      <c r="C1153" s="176" t="s">
        <v>1717</v>
      </c>
      <c r="D1153" s="163">
        <v>1984</v>
      </c>
      <c r="E1153" s="163"/>
      <c r="F1153" s="178" t="s">
        <v>315</v>
      </c>
      <c r="G1153" s="163">
        <v>2</v>
      </c>
      <c r="H1153" s="163">
        <v>2</v>
      </c>
      <c r="I1153" s="164">
        <v>998.4</v>
      </c>
      <c r="J1153" s="164">
        <v>805.1</v>
      </c>
      <c r="K1153" s="164">
        <v>805.1</v>
      </c>
      <c r="L1153" s="177">
        <v>19</v>
      </c>
      <c r="M1153" s="163" t="s">
        <v>268</v>
      </c>
      <c r="N1153" s="163" t="s">
        <v>269</v>
      </c>
      <c r="O1153" s="163" t="s">
        <v>271</v>
      </c>
      <c r="P1153" s="164">
        <v>2035617.4</v>
      </c>
      <c r="Q1153" s="164">
        <v>0</v>
      </c>
      <c r="R1153" s="164">
        <v>0</v>
      </c>
      <c r="S1153" s="164">
        <f>P1153-Q1153-R1153</f>
        <v>2035617.4</v>
      </c>
      <c r="T1153" s="167">
        <f t="shared" si="338"/>
        <v>2038.8796073717949</v>
      </c>
      <c r="U1153" s="167">
        <v>2924.4890624999998</v>
      </c>
      <c r="V1153" s="149">
        <f t="shared" si="346"/>
        <v>885.6094551282049</v>
      </c>
      <c r="W1153" s="149">
        <f t="shared" ref="W1153:W1154" si="359">X1153+Y1153+Z1153+AA1153+AB1153+AD1153+AF1153+AH1153+AJ1153+AL1153+AN1153+AO1153</f>
        <v>2924.4890624999998</v>
      </c>
      <c r="X1153" s="149">
        <v>0</v>
      </c>
      <c r="Y1153" s="368">
        <v>0</v>
      </c>
      <c r="Z1153" s="368">
        <v>0</v>
      </c>
      <c r="AA1153" s="368">
        <v>0</v>
      </c>
      <c r="AB1153" s="368">
        <v>0</v>
      </c>
      <c r="AC1153" s="368">
        <v>0</v>
      </c>
      <c r="AD1153" s="368">
        <v>0</v>
      </c>
      <c r="AE1153" s="368">
        <v>468</v>
      </c>
      <c r="AF1153" s="396">
        <f t="shared" ref="AF1153:AF1154" si="360">6238.91*AE1153/I1153</f>
        <v>2924.4890624999998</v>
      </c>
      <c r="AG1153" s="368">
        <v>0</v>
      </c>
      <c r="AH1153" s="396">
        <v>0</v>
      </c>
      <c r="AI1153" s="368">
        <v>0</v>
      </c>
      <c r="AJ1153" s="396">
        <v>0</v>
      </c>
      <c r="AK1153" s="368">
        <v>0</v>
      </c>
      <c r="AL1153" s="368">
        <v>0</v>
      </c>
      <c r="AM1153" s="368">
        <v>0</v>
      </c>
      <c r="AN1153" s="368"/>
      <c r="AO1153" s="368">
        <v>0</v>
      </c>
      <c r="AP1153" s="152"/>
      <c r="DQ1153" s="123"/>
      <c r="DR1153" s="123"/>
      <c r="DS1153" s="123"/>
      <c r="EG1153" s="124"/>
      <c r="EP1153" s="125"/>
      <c r="FS1153" s="126"/>
      <c r="GI1153" s="127"/>
    </row>
    <row r="1154" spans="1:191" s="121" customFormat="1" ht="36" customHeight="1" x14ac:dyDescent="0.9">
      <c r="A1154" s="152">
        <v>1</v>
      </c>
      <c r="B1154" s="90">
        <f>SUBTOTAL(103,$A$988:A1154)</f>
        <v>148</v>
      </c>
      <c r="C1154" s="176" t="s">
        <v>1718</v>
      </c>
      <c r="D1154" s="163">
        <v>1982</v>
      </c>
      <c r="E1154" s="163"/>
      <c r="F1154" s="178" t="s">
        <v>270</v>
      </c>
      <c r="G1154" s="163">
        <v>2</v>
      </c>
      <c r="H1154" s="163">
        <v>2</v>
      </c>
      <c r="I1154" s="164">
        <v>533.70000000000005</v>
      </c>
      <c r="J1154" s="164">
        <v>520.70000000000005</v>
      </c>
      <c r="K1154" s="164">
        <v>520.70000000000005</v>
      </c>
      <c r="L1154" s="177">
        <v>20</v>
      </c>
      <c r="M1154" s="163" t="s">
        <v>268</v>
      </c>
      <c r="N1154" s="163" t="s">
        <v>269</v>
      </c>
      <c r="O1154" s="163" t="s">
        <v>271</v>
      </c>
      <c r="P1154" s="164">
        <v>1880732.6</v>
      </c>
      <c r="Q1154" s="164">
        <v>0</v>
      </c>
      <c r="R1154" s="164">
        <v>0</v>
      </c>
      <c r="S1154" s="164">
        <f>P1154-Q1154-R1154</f>
        <v>1880732.6</v>
      </c>
      <c r="T1154" s="167">
        <f t="shared" si="338"/>
        <v>3523.9509087502342</v>
      </c>
      <c r="U1154" s="167">
        <v>5014.975435637999</v>
      </c>
      <c r="V1154" s="149">
        <f t="shared" si="346"/>
        <v>1491.0245268877648</v>
      </c>
      <c r="W1154" s="149">
        <f t="shared" si="359"/>
        <v>5014.975435637999</v>
      </c>
      <c r="X1154" s="149">
        <v>0</v>
      </c>
      <c r="Y1154" s="368">
        <v>0</v>
      </c>
      <c r="Z1154" s="368">
        <v>0</v>
      </c>
      <c r="AA1154" s="368">
        <v>0</v>
      </c>
      <c r="AB1154" s="368">
        <v>0</v>
      </c>
      <c r="AC1154" s="368">
        <v>0</v>
      </c>
      <c r="AD1154" s="368">
        <v>0</v>
      </c>
      <c r="AE1154" s="368">
        <v>429</v>
      </c>
      <c r="AF1154" s="396">
        <f t="shared" si="360"/>
        <v>5014.975435637999</v>
      </c>
      <c r="AG1154" s="368">
        <v>0</v>
      </c>
      <c r="AH1154" s="396">
        <v>0</v>
      </c>
      <c r="AI1154" s="368">
        <v>0</v>
      </c>
      <c r="AJ1154" s="396">
        <v>0</v>
      </c>
      <c r="AK1154" s="368">
        <v>0</v>
      </c>
      <c r="AL1154" s="368">
        <v>0</v>
      </c>
      <c r="AM1154" s="368">
        <v>0</v>
      </c>
      <c r="AN1154" s="368"/>
      <c r="AO1154" s="368">
        <v>0</v>
      </c>
      <c r="AP1154" s="152"/>
      <c r="DQ1154" s="123"/>
      <c r="DR1154" s="123"/>
      <c r="DS1154" s="123"/>
      <c r="EG1154" s="124"/>
      <c r="EP1154" s="125"/>
      <c r="FS1154" s="126"/>
      <c r="GI1154" s="127"/>
    </row>
    <row r="1155" spans="1:191" s="152" customFormat="1" ht="36" customHeight="1" x14ac:dyDescent="0.9">
      <c r="B1155" s="382" t="s">
        <v>841</v>
      </c>
      <c r="C1155" s="388"/>
      <c r="D1155" s="384" t="s">
        <v>903</v>
      </c>
      <c r="E1155" s="163" t="s">
        <v>903</v>
      </c>
      <c r="F1155" s="384" t="s">
        <v>903</v>
      </c>
      <c r="G1155" s="384" t="s">
        <v>903</v>
      </c>
      <c r="H1155" s="163" t="s">
        <v>903</v>
      </c>
      <c r="I1155" s="386">
        <f>SUM(I1156:I1157)</f>
        <v>2184</v>
      </c>
      <c r="J1155" s="164">
        <f>SUM(J1156:J1157)</f>
        <v>1641.1</v>
      </c>
      <c r="K1155" s="164">
        <f>SUM(K1156:K1157)</f>
        <v>1606.7</v>
      </c>
      <c r="L1155" s="165">
        <f>SUM(L1156:L1157)</f>
        <v>57</v>
      </c>
      <c r="M1155" s="163" t="s">
        <v>903</v>
      </c>
      <c r="N1155" s="163" t="s">
        <v>903</v>
      </c>
      <c r="O1155" s="166" t="s">
        <v>903</v>
      </c>
      <c r="P1155" s="387">
        <v>3516578.96</v>
      </c>
      <c r="Q1155" s="167">
        <f>Q1156+Q1157</f>
        <v>0</v>
      </c>
      <c r="R1155" s="167">
        <f>R1156+R1157</f>
        <v>0</v>
      </c>
      <c r="S1155" s="167">
        <f>S1156+S1157</f>
        <v>3516578.96</v>
      </c>
      <c r="T1155" s="387">
        <f t="shared" si="338"/>
        <v>1610.1552014652013</v>
      </c>
      <c r="U1155" s="387">
        <f>MAX(U1156:U1157)</f>
        <v>4213.9739568111709</v>
      </c>
      <c r="V1155" s="149">
        <f t="shared" si="346"/>
        <v>2603.8187553459693</v>
      </c>
      <c r="W1155" s="149"/>
      <c r="X1155" s="149"/>
      <c r="Y1155" s="368"/>
      <c r="Z1155" s="368"/>
      <c r="AA1155" s="368"/>
      <c r="AB1155" s="368"/>
      <c r="AC1155" s="368"/>
      <c r="AD1155" s="368"/>
      <c r="AE1155" s="368"/>
      <c r="AF1155" s="368"/>
      <c r="AG1155" s="368"/>
      <c r="AH1155" s="368"/>
      <c r="AI1155" s="368"/>
      <c r="AJ1155" s="368"/>
      <c r="AK1155" s="368"/>
      <c r="AL1155" s="368"/>
      <c r="AM1155" s="368"/>
      <c r="AN1155" s="368"/>
      <c r="AO1155" s="368"/>
    </row>
    <row r="1156" spans="1:191" s="121" customFormat="1" ht="36" customHeight="1" x14ac:dyDescent="0.9">
      <c r="A1156" s="152">
        <v>1</v>
      </c>
      <c r="B1156" s="90">
        <f>SUBTOTAL(103,$A$988:A1156)</f>
        <v>149</v>
      </c>
      <c r="C1156" s="176" t="s">
        <v>707</v>
      </c>
      <c r="D1156" s="163">
        <v>1962</v>
      </c>
      <c r="E1156" s="163"/>
      <c r="F1156" s="178" t="s">
        <v>270</v>
      </c>
      <c r="G1156" s="163">
        <v>5</v>
      </c>
      <c r="H1156" s="163">
        <v>2</v>
      </c>
      <c r="I1156" s="164">
        <v>1568.1</v>
      </c>
      <c r="J1156" s="164">
        <v>1273.0999999999999</v>
      </c>
      <c r="K1156" s="164">
        <v>1238.7</v>
      </c>
      <c r="L1156" s="177">
        <v>45</v>
      </c>
      <c r="M1156" s="163" t="s">
        <v>268</v>
      </c>
      <c r="N1156" s="163" t="s">
        <v>272</v>
      </c>
      <c r="O1156" s="163" t="s">
        <v>740</v>
      </c>
      <c r="P1156" s="164">
        <v>1913529.37</v>
      </c>
      <c r="Q1156" s="164">
        <v>0</v>
      </c>
      <c r="R1156" s="164">
        <v>0</v>
      </c>
      <c r="S1156" s="164">
        <f>P1156-Q1156-R1156</f>
        <v>1913529.37</v>
      </c>
      <c r="T1156" s="167">
        <f t="shared" si="338"/>
        <v>1220.2852943052103</v>
      </c>
      <c r="U1156" s="167">
        <v>1750.602895223519</v>
      </c>
      <c r="V1156" s="149">
        <f t="shared" si="346"/>
        <v>530.3176009183087</v>
      </c>
      <c r="W1156" s="149">
        <f t="shared" ref="W1156:W1157" si="361">X1156+Y1156+Z1156+AA1156+AB1156+AD1156+AF1156+AH1156+AJ1156+AL1156+AN1156+AO1156</f>
        <v>1750.602895223519</v>
      </c>
      <c r="X1156" s="149">
        <v>0</v>
      </c>
      <c r="Y1156" s="368">
        <v>0</v>
      </c>
      <c r="Z1156" s="368">
        <v>0</v>
      </c>
      <c r="AA1156" s="368">
        <v>0</v>
      </c>
      <c r="AB1156" s="368">
        <v>0</v>
      </c>
      <c r="AC1156" s="368">
        <v>0</v>
      </c>
      <c r="AD1156" s="368">
        <v>0</v>
      </c>
      <c r="AE1156" s="368">
        <v>440</v>
      </c>
      <c r="AF1156" s="396">
        <f t="shared" ref="AF1156:AF1157" si="362">6238.91*AE1156/I1156</f>
        <v>1750.602895223519</v>
      </c>
      <c r="AG1156" s="368">
        <v>0</v>
      </c>
      <c r="AH1156" s="396">
        <v>0</v>
      </c>
      <c r="AI1156" s="368">
        <v>0</v>
      </c>
      <c r="AJ1156" s="396">
        <v>0</v>
      </c>
      <c r="AK1156" s="368">
        <v>0</v>
      </c>
      <c r="AL1156" s="368">
        <v>0</v>
      </c>
      <c r="AM1156" s="368">
        <v>0</v>
      </c>
      <c r="AN1156" s="368"/>
      <c r="AO1156" s="368">
        <v>0</v>
      </c>
      <c r="AP1156" s="152"/>
      <c r="DQ1156" s="123"/>
      <c r="DR1156" s="123"/>
      <c r="DS1156" s="123"/>
      <c r="EG1156" s="124"/>
      <c r="EP1156" s="125"/>
      <c r="FS1156" s="126"/>
      <c r="GI1156" s="127"/>
    </row>
    <row r="1157" spans="1:191" s="121" customFormat="1" ht="36" customHeight="1" x14ac:dyDescent="0.9">
      <c r="A1157" s="152">
        <v>1</v>
      </c>
      <c r="B1157" s="90">
        <f>SUBTOTAL(103,$A$988:A1157)</f>
        <v>150</v>
      </c>
      <c r="C1157" s="176" t="s">
        <v>705</v>
      </c>
      <c r="D1157" s="163">
        <v>1988</v>
      </c>
      <c r="E1157" s="163" t="s">
        <v>742</v>
      </c>
      <c r="F1157" s="178" t="s">
        <v>270</v>
      </c>
      <c r="G1157" s="163">
        <v>2</v>
      </c>
      <c r="H1157" s="163">
        <v>1</v>
      </c>
      <c r="I1157" s="164">
        <v>615.9</v>
      </c>
      <c r="J1157" s="164">
        <v>368</v>
      </c>
      <c r="K1157" s="164">
        <v>368</v>
      </c>
      <c r="L1157" s="177">
        <v>12</v>
      </c>
      <c r="M1157" s="163" t="s">
        <v>268</v>
      </c>
      <c r="N1157" s="163" t="s">
        <v>272</v>
      </c>
      <c r="O1157" s="163" t="s">
        <v>740</v>
      </c>
      <c r="P1157" s="164">
        <v>1603049.59</v>
      </c>
      <c r="Q1157" s="164">
        <v>0</v>
      </c>
      <c r="R1157" s="164">
        <v>0</v>
      </c>
      <c r="S1157" s="164">
        <f>P1157-Q1157-R1157</f>
        <v>1603049.59</v>
      </c>
      <c r="T1157" s="167">
        <f t="shared" si="338"/>
        <v>2602.7757590517945</v>
      </c>
      <c r="U1157" s="167">
        <v>4213.9739568111709</v>
      </c>
      <c r="V1157" s="149">
        <f t="shared" si="346"/>
        <v>1611.1981977593764</v>
      </c>
      <c r="W1157" s="149">
        <f t="shared" si="361"/>
        <v>4213.9739568111709</v>
      </c>
      <c r="X1157" s="149">
        <v>0</v>
      </c>
      <c r="Y1157" s="368">
        <v>0</v>
      </c>
      <c r="Z1157" s="368">
        <v>0</v>
      </c>
      <c r="AA1157" s="368">
        <v>0</v>
      </c>
      <c r="AB1157" s="368">
        <v>0</v>
      </c>
      <c r="AC1157" s="368">
        <v>0</v>
      </c>
      <c r="AD1157" s="368">
        <v>0</v>
      </c>
      <c r="AE1157" s="368">
        <v>416</v>
      </c>
      <c r="AF1157" s="396">
        <f t="shared" si="362"/>
        <v>4213.9739568111709</v>
      </c>
      <c r="AG1157" s="368">
        <v>0</v>
      </c>
      <c r="AH1157" s="396">
        <v>0</v>
      </c>
      <c r="AI1157" s="368">
        <v>0</v>
      </c>
      <c r="AJ1157" s="396">
        <v>0</v>
      </c>
      <c r="AK1157" s="368">
        <v>0</v>
      </c>
      <c r="AL1157" s="368">
        <v>0</v>
      </c>
      <c r="AM1157" s="368">
        <v>0</v>
      </c>
      <c r="AN1157" s="368"/>
      <c r="AO1157" s="368">
        <v>0</v>
      </c>
      <c r="AP1157" s="152"/>
      <c r="DQ1157" s="123"/>
      <c r="DR1157" s="123"/>
      <c r="DS1157" s="123"/>
      <c r="EG1157" s="124"/>
      <c r="EP1157" s="125"/>
      <c r="FS1157" s="126"/>
      <c r="GI1157" s="127"/>
    </row>
    <row r="1158" spans="1:191" s="152" customFormat="1" ht="36" customHeight="1" x14ac:dyDescent="0.9">
      <c r="B1158" s="382" t="s">
        <v>883</v>
      </c>
      <c r="C1158" s="382"/>
      <c r="D1158" s="384" t="s">
        <v>903</v>
      </c>
      <c r="E1158" s="163" t="s">
        <v>903</v>
      </c>
      <c r="F1158" s="384" t="s">
        <v>903</v>
      </c>
      <c r="G1158" s="384" t="s">
        <v>903</v>
      </c>
      <c r="H1158" s="163" t="s">
        <v>903</v>
      </c>
      <c r="I1158" s="386">
        <f>I1159</f>
        <v>1069.5</v>
      </c>
      <c r="J1158" s="164">
        <f>J1159</f>
        <v>1035.2</v>
      </c>
      <c r="K1158" s="164">
        <f>K1159</f>
        <v>1035.2</v>
      </c>
      <c r="L1158" s="165">
        <f>L1159</f>
        <v>39</v>
      </c>
      <c r="M1158" s="163" t="s">
        <v>903</v>
      </c>
      <c r="N1158" s="163" t="s">
        <v>903</v>
      </c>
      <c r="O1158" s="166" t="s">
        <v>903</v>
      </c>
      <c r="P1158" s="387">
        <v>3598749.4899999998</v>
      </c>
      <c r="Q1158" s="167">
        <f>Q1159</f>
        <v>0</v>
      </c>
      <c r="R1158" s="167">
        <f>R1159</f>
        <v>0</v>
      </c>
      <c r="S1158" s="167">
        <f>S1159</f>
        <v>3598749.4899999998</v>
      </c>
      <c r="T1158" s="387">
        <f t="shared" si="338"/>
        <v>3364.8896587190275</v>
      </c>
      <c r="U1158" s="387">
        <f>U1159</f>
        <v>5692.3126489013557</v>
      </c>
      <c r="V1158" s="149">
        <f t="shared" si="346"/>
        <v>2327.4229901823282</v>
      </c>
      <c r="W1158" s="149"/>
      <c r="X1158" s="149"/>
      <c r="Y1158" s="368"/>
      <c r="Z1158" s="368"/>
      <c r="AA1158" s="368"/>
      <c r="AB1158" s="368"/>
      <c r="AC1158" s="368"/>
      <c r="AD1158" s="368"/>
      <c r="AE1158" s="368"/>
      <c r="AF1158" s="368"/>
      <c r="AG1158" s="368"/>
      <c r="AH1158" s="368"/>
      <c r="AI1158" s="368"/>
      <c r="AJ1158" s="368"/>
      <c r="AK1158" s="368"/>
      <c r="AL1158" s="368"/>
      <c r="AM1158" s="368"/>
      <c r="AN1158" s="368"/>
      <c r="AO1158" s="368"/>
    </row>
    <row r="1159" spans="1:191" s="121" customFormat="1" ht="36" customHeight="1" x14ac:dyDescent="0.9">
      <c r="A1159" s="152">
        <v>1</v>
      </c>
      <c r="B1159" s="90">
        <f>SUBTOTAL(103,$A$988:A1159)</f>
        <v>151</v>
      </c>
      <c r="C1159" s="176" t="s">
        <v>713</v>
      </c>
      <c r="D1159" s="163">
        <v>1995</v>
      </c>
      <c r="E1159" s="163"/>
      <c r="F1159" s="178" t="s">
        <v>270</v>
      </c>
      <c r="G1159" s="163">
        <v>2</v>
      </c>
      <c r="H1159" s="163">
        <v>2</v>
      </c>
      <c r="I1159" s="164">
        <v>1069.5</v>
      </c>
      <c r="J1159" s="164">
        <v>1035.2</v>
      </c>
      <c r="K1159" s="164">
        <v>1035.2</v>
      </c>
      <c r="L1159" s="177">
        <v>39</v>
      </c>
      <c r="M1159" s="163" t="s">
        <v>268</v>
      </c>
      <c r="N1159" s="163" t="s">
        <v>269</v>
      </c>
      <c r="O1159" s="163" t="s">
        <v>271</v>
      </c>
      <c r="P1159" s="164">
        <v>3598749.4899999998</v>
      </c>
      <c r="Q1159" s="164">
        <v>0</v>
      </c>
      <c r="R1159" s="164">
        <v>0</v>
      </c>
      <c r="S1159" s="164">
        <f>P1159-Q1159-R1159</f>
        <v>3598749.4899999998</v>
      </c>
      <c r="T1159" s="167">
        <f t="shared" si="338"/>
        <v>3364.8896587190275</v>
      </c>
      <c r="U1159" s="167">
        <v>5692.3126489013557</v>
      </c>
      <c r="V1159" s="149">
        <f>U1159-T1159</f>
        <v>2327.4229901823282</v>
      </c>
      <c r="W1159" s="149">
        <f>X1159+Y1159+Z1159+AA1159+AB1159+AD1159+AF1159+AH1159+AJ1159+AL1159+AN1159+AO1159</f>
        <v>5692.3126489013557</v>
      </c>
      <c r="X1159" s="149">
        <v>0</v>
      </c>
      <c r="Y1159" s="368">
        <v>0</v>
      </c>
      <c r="Z1159" s="368">
        <v>0</v>
      </c>
      <c r="AA1159" s="368">
        <v>0</v>
      </c>
      <c r="AB1159" s="368">
        <v>0</v>
      </c>
      <c r="AC1159" s="368">
        <v>0</v>
      </c>
      <c r="AD1159" s="368">
        <v>0</v>
      </c>
      <c r="AE1159" s="368">
        <v>975.8</v>
      </c>
      <c r="AF1159" s="396">
        <f>6238.91*AE1159/I1159</f>
        <v>5692.3126489013557</v>
      </c>
      <c r="AG1159" s="368">
        <v>0</v>
      </c>
      <c r="AH1159" s="396">
        <v>0</v>
      </c>
      <c r="AI1159" s="368">
        <v>0</v>
      </c>
      <c r="AJ1159" s="396">
        <v>0</v>
      </c>
      <c r="AK1159" s="368">
        <v>0</v>
      </c>
      <c r="AL1159" s="368">
        <v>0</v>
      </c>
      <c r="AM1159" s="368">
        <v>0</v>
      </c>
      <c r="AN1159" s="368"/>
      <c r="AO1159" s="368">
        <v>0</v>
      </c>
      <c r="AP1159" s="152"/>
      <c r="DQ1159" s="123"/>
      <c r="DR1159" s="123"/>
      <c r="DS1159" s="123"/>
      <c r="EG1159" s="124"/>
      <c r="EP1159" s="125"/>
      <c r="FS1159" s="126"/>
      <c r="GI1159" s="127"/>
    </row>
    <row r="1160" spans="1:191" s="152" customFormat="1" ht="36" customHeight="1" x14ac:dyDescent="0.9">
      <c r="B1160" s="382" t="s">
        <v>843</v>
      </c>
      <c r="C1160" s="382"/>
      <c r="D1160" s="384" t="s">
        <v>903</v>
      </c>
      <c r="E1160" s="163" t="s">
        <v>903</v>
      </c>
      <c r="F1160" s="384" t="s">
        <v>903</v>
      </c>
      <c r="G1160" s="384" t="s">
        <v>903</v>
      </c>
      <c r="H1160" s="163" t="s">
        <v>903</v>
      </c>
      <c r="I1160" s="386">
        <f>I1161</f>
        <v>630</v>
      </c>
      <c r="J1160" s="164">
        <f>J1161</f>
        <v>576.1</v>
      </c>
      <c r="K1160" s="164">
        <f>K1161</f>
        <v>576.1</v>
      </c>
      <c r="L1160" s="165">
        <f>L1161</f>
        <v>32</v>
      </c>
      <c r="M1160" s="163" t="s">
        <v>903</v>
      </c>
      <c r="N1160" s="163" t="s">
        <v>903</v>
      </c>
      <c r="O1160" s="166" t="s">
        <v>903</v>
      </c>
      <c r="P1160" s="387">
        <v>1925593.0499999998</v>
      </c>
      <c r="Q1160" s="167">
        <f>Q1161</f>
        <v>0</v>
      </c>
      <c r="R1160" s="167">
        <f>R1161</f>
        <v>0</v>
      </c>
      <c r="S1160" s="167">
        <f>S1161</f>
        <v>1925593.0499999998</v>
      </c>
      <c r="T1160" s="387">
        <f t="shared" ref="T1160:T1212" si="363">P1160/I1160</f>
        <v>3056.4969047619043</v>
      </c>
      <c r="U1160" s="387">
        <f>U1161</f>
        <v>9358.3649999999998</v>
      </c>
      <c r="V1160" s="149">
        <f t="shared" si="346"/>
        <v>6301.8680952380955</v>
      </c>
      <c r="W1160" s="149"/>
      <c r="X1160" s="149"/>
      <c r="Y1160" s="368"/>
      <c r="Z1160" s="368"/>
      <c r="AA1160" s="368"/>
      <c r="AB1160" s="368"/>
      <c r="AC1160" s="368"/>
      <c r="AD1160" s="368"/>
      <c r="AE1160" s="368"/>
      <c r="AF1160" s="368"/>
      <c r="AG1160" s="368"/>
      <c r="AH1160" s="368"/>
      <c r="AI1160" s="368"/>
      <c r="AJ1160" s="368"/>
      <c r="AK1160" s="368"/>
      <c r="AL1160" s="368"/>
      <c r="AM1160" s="368"/>
      <c r="AN1160" s="368"/>
      <c r="AO1160" s="368"/>
    </row>
    <row r="1161" spans="1:191" s="121" customFormat="1" ht="36" customHeight="1" x14ac:dyDescent="0.9">
      <c r="A1161" s="152">
        <v>1</v>
      </c>
      <c r="B1161" s="90">
        <f>SUBTOTAL(103,$A$988:A1161)</f>
        <v>152</v>
      </c>
      <c r="C1161" s="176" t="s">
        <v>711</v>
      </c>
      <c r="D1161" s="163">
        <v>1987</v>
      </c>
      <c r="E1161" s="163"/>
      <c r="F1161" s="178" t="s">
        <v>270</v>
      </c>
      <c r="G1161" s="163">
        <v>2</v>
      </c>
      <c r="H1161" s="163">
        <v>2</v>
      </c>
      <c r="I1161" s="164">
        <v>630</v>
      </c>
      <c r="J1161" s="164">
        <v>576.1</v>
      </c>
      <c r="K1161" s="164">
        <v>576.1</v>
      </c>
      <c r="L1161" s="177">
        <v>32</v>
      </c>
      <c r="M1161" s="163" t="s">
        <v>268</v>
      </c>
      <c r="N1161" s="163" t="s">
        <v>269</v>
      </c>
      <c r="O1161" s="163" t="s">
        <v>271</v>
      </c>
      <c r="P1161" s="164">
        <v>1925593.0499999998</v>
      </c>
      <c r="Q1161" s="164">
        <v>0</v>
      </c>
      <c r="R1161" s="164">
        <v>0</v>
      </c>
      <c r="S1161" s="164">
        <f>P1161-Q1161-R1161</f>
        <v>1925593.0499999998</v>
      </c>
      <c r="T1161" s="167">
        <f t="shared" si="363"/>
        <v>3056.4969047619043</v>
      </c>
      <c r="U1161" s="167">
        <v>9358.3649999999998</v>
      </c>
      <c r="V1161" s="149">
        <f>U1161-T1161</f>
        <v>6301.8680952380955</v>
      </c>
      <c r="W1161" s="149">
        <f>X1161+Y1161+Z1161+AA1161+AB1161+AD1161+AF1161+AH1161+AJ1161+AL1161+AN1161+AO1161</f>
        <v>9358.3649999999998</v>
      </c>
      <c r="X1161" s="149">
        <v>0</v>
      </c>
      <c r="Y1161" s="368">
        <v>0</v>
      </c>
      <c r="Z1161" s="368">
        <v>0</v>
      </c>
      <c r="AA1161" s="368">
        <v>0</v>
      </c>
      <c r="AB1161" s="368">
        <v>0</v>
      </c>
      <c r="AC1161" s="368">
        <v>0</v>
      </c>
      <c r="AD1161" s="368">
        <v>0</v>
      </c>
      <c r="AE1161" s="368">
        <v>945</v>
      </c>
      <c r="AF1161" s="396">
        <f>6238.91*AE1161/I1161</f>
        <v>9358.3649999999998</v>
      </c>
      <c r="AG1161" s="368">
        <v>0</v>
      </c>
      <c r="AH1161" s="396">
        <v>0</v>
      </c>
      <c r="AI1161" s="368">
        <v>0</v>
      </c>
      <c r="AJ1161" s="396">
        <v>0</v>
      </c>
      <c r="AK1161" s="368">
        <v>0</v>
      </c>
      <c r="AL1161" s="368">
        <v>0</v>
      </c>
      <c r="AM1161" s="368">
        <v>0</v>
      </c>
      <c r="AN1161" s="368"/>
      <c r="AO1161" s="368">
        <v>0</v>
      </c>
      <c r="AP1161" s="152"/>
      <c r="DQ1161" s="123"/>
      <c r="DR1161" s="123"/>
      <c r="DS1161" s="123"/>
      <c r="EG1161" s="124"/>
      <c r="EP1161" s="125"/>
      <c r="FS1161" s="126"/>
      <c r="GI1161" s="127"/>
    </row>
    <row r="1162" spans="1:191" s="152" customFormat="1" ht="36" customHeight="1" x14ac:dyDescent="0.9">
      <c r="B1162" s="382" t="s">
        <v>900</v>
      </c>
      <c r="C1162" s="382"/>
      <c r="D1162" s="384" t="s">
        <v>903</v>
      </c>
      <c r="E1162" s="163" t="s">
        <v>903</v>
      </c>
      <c r="F1162" s="384" t="s">
        <v>903</v>
      </c>
      <c r="G1162" s="384" t="s">
        <v>903</v>
      </c>
      <c r="H1162" s="163" t="s">
        <v>903</v>
      </c>
      <c r="I1162" s="386">
        <f>I1163</f>
        <v>626.5</v>
      </c>
      <c r="J1162" s="164">
        <f>J1163</f>
        <v>568.5</v>
      </c>
      <c r="K1162" s="164">
        <f>K1163</f>
        <v>568.5</v>
      </c>
      <c r="L1162" s="165">
        <f>L1163</f>
        <v>23</v>
      </c>
      <c r="M1162" s="163" t="s">
        <v>903</v>
      </c>
      <c r="N1162" s="163" t="s">
        <v>903</v>
      </c>
      <c r="O1162" s="166" t="s">
        <v>903</v>
      </c>
      <c r="P1162" s="387">
        <v>1538879.17</v>
      </c>
      <c r="Q1162" s="167">
        <f>Q1163</f>
        <v>0</v>
      </c>
      <c r="R1162" s="167">
        <f>R1163</f>
        <v>0</v>
      </c>
      <c r="S1162" s="167">
        <f>S1163</f>
        <v>1538879.17</v>
      </c>
      <c r="T1162" s="387">
        <f t="shared" si="363"/>
        <v>2456.31152434158</v>
      </c>
      <c r="U1162" s="387">
        <f>U1163</f>
        <v>3963.4256664006389</v>
      </c>
      <c r="V1162" s="149">
        <f t="shared" si="346"/>
        <v>1507.1141420590588</v>
      </c>
      <c r="W1162" s="149"/>
      <c r="X1162" s="149"/>
      <c r="Y1162" s="368"/>
      <c r="Z1162" s="368"/>
      <c r="AA1162" s="368"/>
      <c r="AB1162" s="368"/>
      <c r="AC1162" s="368"/>
      <c r="AD1162" s="368"/>
      <c r="AE1162" s="368"/>
      <c r="AF1162" s="368"/>
      <c r="AG1162" s="368"/>
      <c r="AH1162" s="368"/>
      <c r="AI1162" s="368"/>
      <c r="AJ1162" s="368"/>
      <c r="AK1162" s="368"/>
      <c r="AL1162" s="368"/>
      <c r="AM1162" s="368"/>
      <c r="AN1162" s="368"/>
      <c r="AO1162" s="368"/>
    </row>
    <row r="1163" spans="1:191" s="121" customFormat="1" ht="36" customHeight="1" x14ac:dyDescent="0.9">
      <c r="A1163" s="152">
        <v>1</v>
      </c>
      <c r="B1163" s="90">
        <f>SUBTOTAL(103,$A$988:A1163)</f>
        <v>153</v>
      </c>
      <c r="C1163" s="176" t="s">
        <v>708</v>
      </c>
      <c r="D1163" s="163">
        <v>1978</v>
      </c>
      <c r="E1163" s="163"/>
      <c r="F1163" s="178" t="s">
        <v>270</v>
      </c>
      <c r="G1163" s="163">
        <v>2</v>
      </c>
      <c r="H1163" s="163">
        <v>2</v>
      </c>
      <c r="I1163" s="164">
        <v>626.5</v>
      </c>
      <c r="J1163" s="164">
        <v>568.5</v>
      </c>
      <c r="K1163" s="164">
        <v>568.5</v>
      </c>
      <c r="L1163" s="177">
        <v>23</v>
      </c>
      <c r="M1163" s="163" t="s">
        <v>268</v>
      </c>
      <c r="N1163" s="163" t="s">
        <v>269</v>
      </c>
      <c r="O1163" s="163" t="s">
        <v>271</v>
      </c>
      <c r="P1163" s="164">
        <v>1538879.17</v>
      </c>
      <c r="Q1163" s="164">
        <v>0</v>
      </c>
      <c r="R1163" s="164">
        <v>0</v>
      </c>
      <c r="S1163" s="164">
        <f>P1163-Q1163-R1163</f>
        <v>1538879.17</v>
      </c>
      <c r="T1163" s="167">
        <f t="shared" si="363"/>
        <v>2456.31152434158</v>
      </c>
      <c r="U1163" s="167">
        <v>3963.4256664006389</v>
      </c>
      <c r="V1163" s="149">
        <f>U1163-T1163</f>
        <v>1507.1141420590588</v>
      </c>
      <c r="W1163" s="149">
        <f>X1163+Y1163+Z1163+AA1163+AB1163+AD1163+AF1163+AH1163+AJ1163+AL1163+AN1163+AO1163</f>
        <v>3963.4256664006389</v>
      </c>
      <c r="X1163" s="149">
        <v>0</v>
      </c>
      <c r="Y1163" s="368">
        <v>0</v>
      </c>
      <c r="Z1163" s="368">
        <v>0</v>
      </c>
      <c r="AA1163" s="368">
        <v>0</v>
      </c>
      <c r="AB1163" s="368">
        <v>0</v>
      </c>
      <c r="AC1163" s="368">
        <v>0</v>
      </c>
      <c r="AD1163" s="368">
        <v>0</v>
      </c>
      <c r="AE1163" s="368">
        <v>398</v>
      </c>
      <c r="AF1163" s="396">
        <f>6238.91*AE1163/I1163</f>
        <v>3963.4256664006389</v>
      </c>
      <c r="AG1163" s="368">
        <v>0</v>
      </c>
      <c r="AH1163" s="396">
        <v>0</v>
      </c>
      <c r="AI1163" s="368">
        <v>0</v>
      </c>
      <c r="AJ1163" s="396">
        <v>0</v>
      </c>
      <c r="AK1163" s="368">
        <v>0</v>
      </c>
      <c r="AL1163" s="368">
        <v>0</v>
      </c>
      <c r="AM1163" s="368">
        <v>0</v>
      </c>
      <c r="AN1163" s="368"/>
      <c r="AO1163" s="368">
        <v>0</v>
      </c>
      <c r="AP1163" s="152"/>
      <c r="DQ1163" s="123"/>
      <c r="DR1163" s="123"/>
      <c r="DS1163" s="123"/>
      <c r="EG1163" s="124"/>
      <c r="EP1163" s="125"/>
      <c r="FS1163" s="126"/>
      <c r="GI1163" s="127"/>
    </row>
    <row r="1164" spans="1:191" s="152" customFormat="1" ht="36" customHeight="1" x14ac:dyDescent="0.9">
      <c r="B1164" s="382" t="s">
        <v>844</v>
      </c>
      <c r="C1164" s="388"/>
      <c r="D1164" s="384" t="s">
        <v>903</v>
      </c>
      <c r="E1164" s="163" t="s">
        <v>903</v>
      </c>
      <c r="F1164" s="384" t="s">
        <v>903</v>
      </c>
      <c r="G1164" s="384" t="s">
        <v>903</v>
      </c>
      <c r="H1164" s="163" t="s">
        <v>903</v>
      </c>
      <c r="I1164" s="386">
        <f>SUM(I1165:I1170)</f>
        <v>14681.960000000001</v>
      </c>
      <c r="J1164" s="164">
        <f>SUM(J1165:J1170)</f>
        <v>10898.48</v>
      </c>
      <c r="K1164" s="164">
        <f>SUM(K1165:K1170)</f>
        <v>10621.810000000001</v>
      </c>
      <c r="L1164" s="165">
        <f>SUM(L1165:L1170)</f>
        <v>477</v>
      </c>
      <c r="M1164" s="163" t="s">
        <v>903</v>
      </c>
      <c r="N1164" s="163" t="s">
        <v>903</v>
      </c>
      <c r="O1164" s="166" t="s">
        <v>903</v>
      </c>
      <c r="P1164" s="386">
        <v>29368928.999999996</v>
      </c>
      <c r="Q1164" s="164">
        <f>SUM(Q1165:Q1170)</f>
        <v>0</v>
      </c>
      <c r="R1164" s="164">
        <f>SUM(R1165:R1170)</f>
        <v>0</v>
      </c>
      <c r="S1164" s="164">
        <f>SUM(S1165:S1170)</f>
        <v>29368928.999999996</v>
      </c>
      <c r="T1164" s="387">
        <f t="shared" si="363"/>
        <v>2000.3411669831544</v>
      </c>
      <c r="U1164" s="387">
        <f>MAX(U1165:U1170)</f>
        <v>5571.0582855287366</v>
      </c>
      <c r="V1164" s="149">
        <f t="shared" si="346"/>
        <v>3570.7171185455823</v>
      </c>
      <c r="W1164" s="149"/>
      <c r="X1164" s="149"/>
      <c r="Y1164" s="368"/>
      <c r="Z1164" s="368"/>
      <c r="AA1164" s="368"/>
      <c r="AB1164" s="368"/>
      <c r="AC1164" s="368"/>
      <c r="AD1164" s="368"/>
      <c r="AE1164" s="368"/>
      <c r="AF1164" s="368"/>
      <c r="AG1164" s="368"/>
      <c r="AH1164" s="368"/>
      <c r="AI1164" s="368"/>
      <c r="AJ1164" s="368"/>
      <c r="AK1164" s="368"/>
      <c r="AL1164" s="368"/>
      <c r="AM1164" s="368"/>
      <c r="AN1164" s="368"/>
      <c r="AO1164" s="368"/>
    </row>
    <row r="1165" spans="1:191" s="121" customFormat="1" ht="36" customHeight="1" x14ac:dyDescent="0.9">
      <c r="A1165" s="152">
        <v>1</v>
      </c>
      <c r="B1165" s="90">
        <f>SUBTOTAL(103,$A$988:A1165)</f>
        <v>154</v>
      </c>
      <c r="C1165" s="176" t="s">
        <v>134</v>
      </c>
      <c r="D1165" s="163">
        <v>1994</v>
      </c>
      <c r="E1165" s="163"/>
      <c r="F1165" s="178" t="s">
        <v>270</v>
      </c>
      <c r="G1165" s="163">
        <v>4</v>
      </c>
      <c r="H1165" s="163">
        <v>4</v>
      </c>
      <c r="I1165" s="164">
        <v>3731.88</v>
      </c>
      <c r="J1165" s="164">
        <v>2769.88</v>
      </c>
      <c r="K1165" s="164">
        <v>2769</v>
      </c>
      <c r="L1165" s="177">
        <v>112</v>
      </c>
      <c r="M1165" s="163" t="s">
        <v>268</v>
      </c>
      <c r="N1165" s="163" t="s">
        <v>272</v>
      </c>
      <c r="O1165" s="163" t="s">
        <v>287</v>
      </c>
      <c r="P1165" s="164">
        <v>6533531.75</v>
      </c>
      <c r="Q1165" s="164">
        <v>0</v>
      </c>
      <c r="R1165" s="164">
        <v>0</v>
      </c>
      <c r="S1165" s="164">
        <f t="shared" ref="S1165:S1170" si="364">P1165-Q1165-R1165</f>
        <v>6533531.75</v>
      </c>
      <c r="T1165" s="167">
        <f t="shared" si="363"/>
        <v>1750.7346833231506</v>
      </c>
      <c r="U1165" s="167">
        <v>1964.3502068662442</v>
      </c>
      <c r="V1165" s="149">
        <f t="shared" si="346"/>
        <v>213.61552354309356</v>
      </c>
      <c r="W1165" s="149">
        <f t="shared" ref="W1165:W1170" si="365">X1165+Y1165+Z1165+AA1165+AB1165+AD1165+AF1165+AH1165+AJ1165+AL1165+AN1165+AO1165</f>
        <v>1964.3502068662442</v>
      </c>
      <c r="X1165" s="149">
        <v>0</v>
      </c>
      <c r="Y1165" s="368">
        <v>0</v>
      </c>
      <c r="Z1165" s="368">
        <v>0</v>
      </c>
      <c r="AA1165" s="368">
        <v>0</v>
      </c>
      <c r="AB1165" s="368">
        <v>0</v>
      </c>
      <c r="AC1165" s="368">
        <v>0</v>
      </c>
      <c r="AD1165" s="368">
        <v>0</v>
      </c>
      <c r="AE1165" s="368">
        <v>1175</v>
      </c>
      <c r="AF1165" s="396">
        <f>6238.91*AE1165/I1165</f>
        <v>1964.3502068662442</v>
      </c>
      <c r="AG1165" s="368">
        <v>0</v>
      </c>
      <c r="AH1165" s="396">
        <v>0</v>
      </c>
      <c r="AI1165" s="368">
        <v>0</v>
      </c>
      <c r="AJ1165" s="396">
        <v>0</v>
      </c>
      <c r="AK1165" s="368">
        <v>0</v>
      </c>
      <c r="AL1165" s="368">
        <v>0</v>
      </c>
      <c r="AM1165" s="368">
        <v>0</v>
      </c>
      <c r="AN1165" s="368"/>
      <c r="AO1165" s="368">
        <v>0</v>
      </c>
      <c r="AP1165" s="152"/>
      <c r="DQ1165" s="123"/>
      <c r="DR1165" s="123"/>
      <c r="DS1165" s="123"/>
      <c r="EG1165" s="124"/>
      <c r="EP1165" s="125"/>
      <c r="FS1165" s="126"/>
      <c r="GI1165" s="127"/>
    </row>
    <row r="1166" spans="1:191" s="121" customFormat="1" ht="36" customHeight="1" x14ac:dyDescent="0.9">
      <c r="A1166" s="152">
        <v>1</v>
      </c>
      <c r="B1166" s="90">
        <f>SUBTOTAL(103,$A$988:A1166)</f>
        <v>155</v>
      </c>
      <c r="C1166" s="176" t="s">
        <v>131</v>
      </c>
      <c r="D1166" s="163">
        <v>1992</v>
      </c>
      <c r="E1166" s="163"/>
      <c r="F1166" s="178" t="s">
        <v>270</v>
      </c>
      <c r="G1166" s="163">
        <v>2</v>
      </c>
      <c r="H1166" s="163">
        <v>3</v>
      </c>
      <c r="I1166" s="164">
        <v>1621.8</v>
      </c>
      <c r="J1166" s="164">
        <v>965.3</v>
      </c>
      <c r="K1166" s="164">
        <v>915.9</v>
      </c>
      <c r="L1166" s="177">
        <v>39</v>
      </c>
      <c r="M1166" s="163" t="s">
        <v>268</v>
      </c>
      <c r="N1166" s="163" t="s">
        <v>272</v>
      </c>
      <c r="O1166" s="163" t="s">
        <v>287</v>
      </c>
      <c r="P1166" s="164">
        <v>5163742.3999999994</v>
      </c>
      <c r="Q1166" s="164">
        <v>0</v>
      </c>
      <c r="R1166" s="164">
        <v>0</v>
      </c>
      <c r="S1166" s="164">
        <f t="shared" si="364"/>
        <v>5163742.3999999994</v>
      </c>
      <c r="T1166" s="167">
        <f t="shared" si="363"/>
        <v>3183.9575779997531</v>
      </c>
      <c r="U1166" s="167">
        <v>3221.3719077568135</v>
      </c>
      <c r="V1166" s="149">
        <f t="shared" si="346"/>
        <v>37.414329757060386</v>
      </c>
      <c r="W1166" s="149">
        <f t="shared" si="365"/>
        <v>3221.3719077568135</v>
      </c>
      <c r="X1166" s="149">
        <v>0</v>
      </c>
      <c r="Y1166" s="368">
        <v>0</v>
      </c>
      <c r="Z1166" s="368">
        <v>0</v>
      </c>
      <c r="AA1166" s="368">
        <v>0</v>
      </c>
      <c r="AB1166" s="368">
        <v>0</v>
      </c>
      <c r="AC1166" s="368">
        <v>0</v>
      </c>
      <c r="AD1166" s="368">
        <v>0</v>
      </c>
      <c r="AE1166" s="368">
        <v>0</v>
      </c>
      <c r="AF1166" s="396">
        <v>0</v>
      </c>
      <c r="AG1166" s="368">
        <v>0</v>
      </c>
      <c r="AH1166" s="396">
        <v>0</v>
      </c>
      <c r="AI1166" s="368">
        <v>0</v>
      </c>
      <c r="AJ1166" s="396">
        <v>0</v>
      </c>
      <c r="AK1166" s="368">
        <v>0</v>
      </c>
      <c r="AL1166" s="368">
        <v>0</v>
      </c>
      <c r="AM1166" s="368">
        <v>748</v>
      </c>
      <c r="AN1166" s="368">
        <f>6984.52*AM1166/I1166</f>
        <v>3221.3719077568135</v>
      </c>
      <c r="AO1166" s="368">
        <v>0</v>
      </c>
      <c r="AP1166" s="152"/>
      <c r="DQ1166" s="123"/>
      <c r="DR1166" s="123"/>
      <c r="DS1166" s="123"/>
      <c r="EG1166" s="124"/>
      <c r="EP1166" s="125"/>
      <c r="FS1166" s="126"/>
      <c r="GI1166" s="127"/>
    </row>
    <row r="1167" spans="1:191" s="121" customFormat="1" ht="36" customHeight="1" x14ac:dyDescent="0.9">
      <c r="A1167" s="152">
        <v>1</v>
      </c>
      <c r="B1167" s="90">
        <f>SUBTOTAL(103,$A$988:A1167)</f>
        <v>156</v>
      </c>
      <c r="C1167" s="176" t="s">
        <v>136</v>
      </c>
      <c r="D1167" s="163">
        <v>1986</v>
      </c>
      <c r="E1167" s="163"/>
      <c r="F1167" s="178" t="s">
        <v>270</v>
      </c>
      <c r="G1167" s="163">
        <v>2</v>
      </c>
      <c r="H1167" s="163">
        <v>3</v>
      </c>
      <c r="I1167" s="164">
        <v>923.9</v>
      </c>
      <c r="J1167" s="164">
        <v>841.9</v>
      </c>
      <c r="K1167" s="164">
        <v>646.1</v>
      </c>
      <c r="L1167" s="177">
        <v>47</v>
      </c>
      <c r="M1167" s="163" t="s">
        <v>268</v>
      </c>
      <c r="N1167" s="163" t="s">
        <v>272</v>
      </c>
      <c r="O1167" s="163" t="s">
        <v>287</v>
      </c>
      <c r="P1167" s="164">
        <v>4587373.3600000003</v>
      </c>
      <c r="Q1167" s="164">
        <v>0</v>
      </c>
      <c r="R1167" s="164">
        <v>0</v>
      </c>
      <c r="S1167" s="164">
        <f t="shared" si="364"/>
        <v>4587373.3600000003</v>
      </c>
      <c r="T1167" s="167">
        <f t="shared" si="363"/>
        <v>4965.2271457950001</v>
      </c>
      <c r="U1167" s="167">
        <v>5571.0582855287366</v>
      </c>
      <c r="V1167" s="149">
        <f t="shared" si="346"/>
        <v>605.83113973373656</v>
      </c>
      <c r="W1167" s="149">
        <f t="shared" si="365"/>
        <v>5571.0582855287366</v>
      </c>
      <c r="X1167" s="149">
        <v>0</v>
      </c>
      <c r="Y1167" s="368">
        <v>0</v>
      </c>
      <c r="Z1167" s="368">
        <v>0</v>
      </c>
      <c r="AA1167" s="368">
        <v>0</v>
      </c>
      <c r="AB1167" s="368">
        <v>0</v>
      </c>
      <c r="AC1167" s="368">
        <v>0</v>
      </c>
      <c r="AD1167" s="368">
        <v>0</v>
      </c>
      <c r="AE1167" s="368">
        <v>825</v>
      </c>
      <c r="AF1167" s="396">
        <f t="shared" ref="AF1167:AF1169" si="366">6238.91*AE1167/I1167</f>
        <v>5571.0582855287366</v>
      </c>
      <c r="AG1167" s="368">
        <v>0</v>
      </c>
      <c r="AH1167" s="396">
        <v>0</v>
      </c>
      <c r="AI1167" s="368">
        <v>0</v>
      </c>
      <c r="AJ1167" s="396">
        <v>0</v>
      </c>
      <c r="AK1167" s="368">
        <v>0</v>
      </c>
      <c r="AL1167" s="368">
        <v>0</v>
      </c>
      <c r="AM1167" s="368">
        <v>0</v>
      </c>
      <c r="AN1167" s="368"/>
      <c r="AO1167" s="368">
        <v>0</v>
      </c>
      <c r="AP1167" s="152"/>
      <c r="DQ1167" s="123"/>
      <c r="DR1167" s="123"/>
      <c r="DS1167" s="123"/>
      <c r="EG1167" s="124"/>
      <c r="EP1167" s="125"/>
      <c r="FS1167" s="126"/>
      <c r="GI1167" s="127"/>
    </row>
    <row r="1168" spans="1:191" s="121" customFormat="1" ht="36" customHeight="1" x14ac:dyDescent="0.9">
      <c r="A1168" s="152">
        <v>1</v>
      </c>
      <c r="B1168" s="90">
        <f>SUBTOTAL(103,$A$988:A1168)</f>
        <v>157</v>
      </c>
      <c r="C1168" s="176" t="s">
        <v>132</v>
      </c>
      <c r="D1168" s="163">
        <v>1972</v>
      </c>
      <c r="E1168" s="163"/>
      <c r="F1168" s="178" t="s">
        <v>270</v>
      </c>
      <c r="G1168" s="163">
        <v>5</v>
      </c>
      <c r="H1168" s="163">
        <v>4</v>
      </c>
      <c r="I1168" s="164">
        <v>3740.78</v>
      </c>
      <c r="J1168" s="164">
        <v>2819.9</v>
      </c>
      <c r="K1168" s="164">
        <v>2819.7</v>
      </c>
      <c r="L1168" s="177">
        <v>124</v>
      </c>
      <c r="M1168" s="163" t="s">
        <v>268</v>
      </c>
      <c r="N1168" s="163" t="s">
        <v>272</v>
      </c>
      <c r="O1168" s="163" t="s">
        <v>288</v>
      </c>
      <c r="P1168" s="164">
        <v>5599375.7199999997</v>
      </c>
      <c r="Q1168" s="164">
        <v>0</v>
      </c>
      <c r="R1168" s="164">
        <v>0</v>
      </c>
      <c r="S1168" s="164">
        <f t="shared" si="364"/>
        <v>5599375.7199999997</v>
      </c>
      <c r="T1168" s="167">
        <f t="shared" si="363"/>
        <v>1496.8471067531368</v>
      </c>
      <c r="U1168" s="167">
        <v>1679.4845914488421</v>
      </c>
      <c r="V1168" s="149">
        <f t="shared" si="346"/>
        <v>182.63748469570533</v>
      </c>
      <c r="W1168" s="149">
        <f t="shared" si="365"/>
        <v>1679.4845914488421</v>
      </c>
      <c r="X1168" s="149">
        <v>0</v>
      </c>
      <c r="Y1168" s="368">
        <v>0</v>
      </c>
      <c r="Z1168" s="368">
        <v>0</v>
      </c>
      <c r="AA1168" s="368">
        <v>0</v>
      </c>
      <c r="AB1168" s="368">
        <v>0</v>
      </c>
      <c r="AC1168" s="368">
        <v>0</v>
      </c>
      <c r="AD1168" s="368">
        <v>0</v>
      </c>
      <c r="AE1168" s="368">
        <v>1007</v>
      </c>
      <c r="AF1168" s="396">
        <f t="shared" si="366"/>
        <v>1679.4845914488421</v>
      </c>
      <c r="AG1168" s="368">
        <v>0</v>
      </c>
      <c r="AH1168" s="396">
        <v>0</v>
      </c>
      <c r="AI1168" s="368">
        <v>0</v>
      </c>
      <c r="AJ1168" s="396">
        <v>0</v>
      </c>
      <c r="AK1168" s="368">
        <v>0</v>
      </c>
      <c r="AL1168" s="368">
        <v>0</v>
      </c>
      <c r="AM1168" s="368">
        <v>0</v>
      </c>
      <c r="AN1168" s="368"/>
      <c r="AO1168" s="368">
        <v>0</v>
      </c>
      <c r="AP1168" s="152"/>
      <c r="DQ1168" s="123"/>
      <c r="DR1168" s="123"/>
      <c r="DS1168" s="123"/>
      <c r="EG1168" s="124"/>
      <c r="EP1168" s="125"/>
      <c r="FS1168" s="126"/>
      <c r="GI1168" s="127"/>
    </row>
    <row r="1169" spans="1:191" s="121" customFormat="1" ht="36" customHeight="1" x14ac:dyDescent="0.9">
      <c r="A1169" s="152">
        <v>1</v>
      </c>
      <c r="B1169" s="90">
        <f>SUBTOTAL(103,$A$988:A1169)</f>
        <v>158</v>
      </c>
      <c r="C1169" s="176" t="s">
        <v>133</v>
      </c>
      <c r="D1169" s="163">
        <v>1979</v>
      </c>
      <c r="E1169" s="163"/>
      <c r="F1169" s="178" t="s">
        <v>270</v>
      </c>
      <c r="G1169" s="163">
        <v>5</v>
      </c>
      <c r="H1169" s="163">
        <v>4</v>
      </c>
      <c r="I1169" s="164">
        <v>4025.6</v>
      </c>
      <c r="J1169" s="164">
        <v>3076</v>
      </c>
      <c r="K1169" s="164">
        <v>3076</v>
      </c>
      <c r="L1169" s="177">
        <v>133</v>
      </c>
      <c r="M1169" s="163" t="s">
        <v>268</v>
      </c>
      <c r="N1169" s="163" t="s">
        <v>272</v>
      </c>
      <c r="O1169" s="163" t="s">
        <v>288</v>
      </c>
      <c r="P1169" s="164">
        <v>4480243.62</v>
      </c>
      <c r="Q1169" s="164">
        <v>0</v>
      </c>
      <c r="R1169" s="164">
        <v>0</v>
      </c>
      <c r="S1169" s="164">
        <f t="shared" si="364"/>
        <v>4480243.62</v>
      </c>
      <c r="T1169" s="167">
        <f t="shared" si="363"/>
        <v>1112.9381011526232</v>
      </c>
      <c r="U1169" s="167">
        <v>1197.3822202901431</v>
      </c>
      <c r="V1169" s="149">
        <f t="shared" si="346"/>
        <v>84.44411913751992</v>
      </c>
      <c r="W1169" s="149">
        <f t="shared" si="365"/>
        <v>1197.3822202901431</v>
      </c>
      <c r="X1169" s="149">
        <v>0</v>
      </c>
      <c r="Y1169" s="368">
        <v>0</v>
      </c>
      <c r="Z1169" s="368">
        <v>0</v>
      </c>
      <c r="AA1169" s="368">
        <v>0</v>
      </c>
      <c r="AB1169" s="368">
        <v>0</v>
      </c>
      <c r="AC1169" s="368">
        <v>0</v>
      </c>
      <c r="AD1169" s="368">
        <v>0</v>
      </c>
      <c r="AE1169" s="368">
        <v>772.6</v>
      </c>
      <c r="AF1169" s="396">
        <f t="shared" si="366"/>
        <v>1197.3822202901431</v>
      </c>
      <c r="AG1169" s="368">
        <v>0</v>
      </c>
      <c r="AH1169" s="396">
        <v>0</v>
      </c>
      <c r="AI1169" s="368">
        <v>0</v>
      </c>
      <c r="AJ1169" s="396">
        <v>0</v>
      </c>
      <c r="AK1169" s="368">
        <v>0</v>
      </c>
      <c r="AL1169" s="368">
        <v>0</v>
      </c>
      <c r="AM1169" s="368">
        <v>0</v>
      </c>
      <c r="AN1169" s="368"/>
      <c r="AO1169" s="368">
        <v>0</v>
      </c>
      <c r="AP1169" s="152"/>
      <c r="DQ1169" s="123"/>
      <c r="DR1169" s="123"/>
      <c r="DS1169" s="123"/>
      <c r="EG1169" s="124"/>
      <c r="EP1169" s="125"/>
      <c r="FS1169" s="126"/>
      <c r="GI1169" s="127"/>
    </row>
    <row r="1170" spans="1:191" s="121" customFormat="1" ht="36" customHeight="1" x14ac:dyDescent="0.9">
      <c r="A1170" s="152">
        <v>1</v>
      </c>
      <c r="B1170" s="90">
        <f>SUBTOTAL(103,$A$988:A1170)</f>
        <v>159</v>
      </c>
      <c r="C1170" s="176" t="s">
        <v>1617</v>
      </c>
      <c r="D1170" s="163">
        <v>1967</v>
      </c>
      <c r="E1170" s="163"/>
      <c r="F1170" s="178" t="s">
        <v>322</v>
      </c>
      <c r="G1170" s="163">
        <v>2</v>
      </c>
      <c r="H1170" s="163">
        <v>2</v>
      </c>
      <c r="I1170" s="164">
        <v>638</v>
      </c>
      <c r="J1170" s="164">
        <v>425.5</v>
      </c>
      <c r="K1170" s="164">
        <f>J1170-30.39</f>
        <v>395.11</v>
      </c>
      <c r="L1170" s="177">
        <v>22</v>
      </c>
      <c r="M1170" s="163" t="s">
        <v>268</v>
      </c>
      <c r="N1170" s="163" t="s">
        <v>272</v>
      </c>
      <c r="O1170" s="163" t="s">
        <v>1603</v>
      </c>
      <c r="P1170" s="164">
        <v>3004662.15</v>
      </c>
      <c r="Q1170" s="164">
        <v>0</v>
      </c>
      <c r="R1170" s="164">
        <v>0</v>
      </c>
      <c r="S1170" s="164">
        <f t="shared" si="364"/>
        <v>3004662.15</v>
      </c>
      <c r="T1170" s="167">
        <f t="shared" si="363"/>
        <v>4709.5018025078371</v>
      </c>
      <c r="U1170" s="167">
        <v>4987.6917115987471</v>
      </c>
      <c r="V1170" s="149">
        <f t="shared" si="346"/>
        <v>278.18990909091008</v>
      </c>
      <c r="W1170" s="149">
        <f t="shared" si="365"/>
        <v>4987.6917115987471</v>
      </c>
      <c r="X1170" s="149">
        <v>0</v>
      </c>
      <c r="Y1170" s="368">
        <v>0</v>
      </c>
      <c r="Z1170" s="368">
        <v>0</v>
      </c>
      <c r="AA1170" s="368">
        <v>0</v>
      </c>
      <c r="AB1170" s="368">
        <v>0</v>
      </c>
      <c r="AC1170" s="368">
        <v>0</v>
      </c>
      <c r="AD1170" s="368">
        <v>0</v>
      </c>
      <c r="AE1170" s="368">
        <v>0</v>
      </c>
      <c r="AF1170" s="396">
        <v>0</v>
      </c>
      <c r="AG1170" s="368">
        <v>0</v>
      </c>
      <c r="AH1170" s="396">
        <v>0</v>
      </c>
      <c r="AI1170" s="368">
        <v>0</v>
      </c>
      <c r="AJ1170" s="396">
        <v>0</v>
      </c>
      <c r="AK1170" s="368">
        <v>0</v>
      </c>
      <c r="AL1170" s="368">
        <v>0</v>
      </c>
      <c r="AM1170" s="368">
        <v>455.6</v>
      </c>
      <c r="AN1170" s="368">
        <f>6984.52*AM1170/I1170</f>
        <v>4987.6917115987471</v>
      </c>
      <c r="AO1170" s="368">
        <v>0</v>
      </c>
      <c r="AP1170" s="152"/>
      <c r="DQ1170" s="153"/>
      <c r="DR1170" s="153"/>
      <c r="DS1170" s="153"/>
      <c r="EG1170" s="124"/>
      <c r="EP1170" s="125"/>
      <c r="FS1170" s="126"/>
      <c r="GI1170" s="127"/>
    </row>
    <row r="1171" spans="1:191" s="152" customFormat="1" ht="36" customHeight="1" x14ac:dyDescent="0.9">
      <c r="B1171" s="382" t="s">
        <v>850</v>
      </c>
      <c r="C1171" s="388"/>
      <c r="D1171" s="384" t="s">
        <v>903</v>
      </c>
      <c r="E1171" s="163" t="s">
        <v>903</v>
      </c>
      <c r="F1171" s="384" t="s">
        <v>903</v>
      </c>
      <c r="G1171" s="384" t="s">
        <v>903</v>
      </c>
      <c r="H1171" s="163" t="s">
        <v>903</v>
      </c>
      <c r="I1171" s="386">
        <f>SUM(I1172:I1173)</f>
        <v>1573</v>
      </c>
      <c r="J1171" s="164">
        <f>SUM(J1172:J1173)</f>
        <v>1423.2</v>
      </c>
      <c r="K1171" s="164">
        <f>SUM(K1172:K1173)</f>
        <v>1423.2</v>
      </c>
      <c r="L1171" s="165">
        <f>SUM(L1172:L1173)</f>
        <v>68</v>
      </c>
      <c r="M1171" s="163" t="s">
        <v>903</v>
      </c>
      <c r="N1171" s="163" t="s">
        <v>903</v>
      </c>
      <c r="O1171" s="166" t="s">
        <v>903</v>
      </c>
      <c r="P1171" s="387">
        <v>5777967.8699999992</v>
      </c>
      <c r="Q1171" s="167">
        <f>Q1172+Q1173</f>
        <v>0</v>
      </c>
      <c r="R1171" s="167">
        <f>R1172+R1173</f>
        <v>0</v>
      </c>
      <c r="S1171" s="167">
        <f>S1172+S1173</f>
        <v>5777967.8699999992</v>
      </c>
      <c r="T1171" s="387">
        <f t="shared" si="363"/>
        <v>3673.2154291163379</v>
      </c>
      <c r="U1171" s="387">
        <f>MAX(U1172:U1173)</f>
        <v>5289.4349170191999</v>
      </c>
      <c r="V1171" s="149">
        <f t="shared" si="346"/>
        <v>1616.2194879028621</v>
      </c>
      <c r="W1171" s="149"/>
      <c r="X1171" s="149"/>
      <c r="Y1171" s="368"/>
      <c r="Z1171" s="368"/>
      <c r="AA1171" s="368"/>
      <c r="AB1171" s="368"/>
      <c r="AC1171" s="368"/>
      <c r="AD1171" s="368"/>
      <c r="AE1171" s="368"/>
      <c r="AF1171" s="368"/>
      <c r="AG1171" s="368"/>
      <c r="AH1171" s="368"/>
      <c r="AI1171" s="368"/>
      <c r="AJ1171" s="368"/>
      <c r="AK1171" s="368"/>
      <c r="AL1171" s="368"/>
      <c r="AM1171" s="368"/>
      <c r="AN1171" s="368"/>
      <c r="AO1171" s="368"/>
    </row>
    <row r="1172" spans="1:191" s="121" customFormat="1" ht="36" customHeight="1" x14ac:dyDescent="0.9">
      <c r="A1172" s="152">
        <v>1</v>
      </c>
      <c r="B1172" s="90">
        <f>SUBTOTAL(103,$A$988:A1172)</f>
        <v>160</v>
      </c>
      <c r="C1172" s="176" t="s">
        <v>180</v>
      </c>
      <c r="D1172" s="163">
        <v>1985</v>
      </c>
      <c r="E1172" s="163">
        <v>2009</v>
      </c>
      <c r="F1172" s="178" t="s">
        <v>270</v>
      </c>
      <c r="G1172" s="163">
        <v>2</v>
      </c>
      <c r="H1172" s="163">
        <v>3</v>
      </c>
      <c r="I1172" s="164">
        <v>958.4</v>
      </c>
      <c r="J1172" s="164">
        <v>858.1</v>
      </c>
      <c r="K1172" s="164">
        <v>858.1</v>
      </c>
      <c r="L1172" s="177">
        <v>48</v>
      </c>
      <c r="M1172" s="163" t="s">
        <v>268</v>
      </c>
      <c r="N1172" s="163" t="s">
        <v>269</v>
      </c>
      <c r="O1172" s="163" t="s">
        <v>271</v>
      </c>
      <c r="P1172" s="164">
        <v>3457143.9</v>
      </c>
      <c r="Q1172" s="164">
        <v>0</v>
      </c>
      <c r="R1172" s="164">
        <v>0</v>
      </c>
      <c r="S1172" s="164">
        <f>P1172-Q1172-R1172</f>
        <v>3457143.9</v>
      </c>
      <c r="T1172" s="167">
        <f t="shared" si="363"/>
        <v>3607.2035684474122</v>
      </c>
      <c r="U1172" s="167">
        <v>4101.1198873121866</v>
      </c>
      <c r="V1172" s="149">
        <f t="shared" ref="V1172:V1173" si="367">U1172-T1172</f>
        <v>493.91631886477444</v>
      </c>
      <c r="W1172" s="149">
        <f t="shared" ref="W1172:W1173" si="368">X1172+Y1172+Z1172+AA1172+AB1172+AD1172+AF1172+AH1172+AJ1172+AL1172+AN1172+AO1172</f>
        <v>4101.1198873121866</v>
      </c>
      <c r="X1172" s="149">
        <v>0</v>
      </c>
      <c r="Y1172" s="368">
        <v>0</v>
      </c>
      <c r="Z1172" s="368">
        <v>0</v>
      </c>
      <c r="AA1172" s="368">
        <v>0</v>
      </c>
      <c r="AB1172" s="368">
        <v>0</v>
      </c>
      <c r="AC1172" s="368">
        <v>0</v>
      </c>
      <c r="AD1172" s="368">
        <v>0</v>
      </c>
      <c r="AE1172" s="368">
        <v>630</v>
      </c>
      <c r="AF1172" s="396">
        <f>6238.91*AE1172/I1172</f>
        <v>4101.1198873121866</v>
      </c>
      <c r="AG1172" s="368">
        <v>0</v>
      </c>
      <c r="AH1172" s="396">
        <v>0</v>
      </c>
      <c r="AI1172" s="368">
        <v>0</v>
      </c>
      <c r="AJ1172" s="396">
        <v>0</v>
      </c>
      <c r="AK1172" s="368">
        <v>0</v>
      </c>
      <c r="AL1172" s="368">
        <v>0</v>
      </c>
      <c r="AM1172" s="368">
        <v>0</v>
      </c>
      <c r="AN1172" s="368"/>
      <c r="AO1172" s="368">
        <v>0</v>
      </c>
      <c r="AP1172" s="152"/>
      <c r="DQ1172" s="123"/>
      <c r="DR1172" s="123"/>
      <c r="DS1172" s="123"/>
      <c r="EG1172" s="124"/>
      <c r="EP1172" s="125"/>
      <c r="FS1172" s="126"/>
      <c r="GI1172" s="127"/>
    </row>
    <row r="1173" spans="1:191" s="121" customFormat="1" ht="36" customHeight="1" x14ac:dyDescent="0.9">
      <c r="A1173" s="152">
        <v>1</v>
      </c>
      <c r="B1173" s="90">
        <f>SUBTOTAL(103,$A$988:A1173)</f>
        <v>161</v>
      </c>
      <c r="C1173" s="176" t="s">
        <v>181</v>
      </c>
      <c r="D1173" s="163">
        <v>1961</v>
      </c>
      <c r="E1173" s="163">
        <v>2009</v>
      </c>
      <c r="F1173" s="178" t="s">
        <v>270</v>
      </c>
      <c r="G1173" s="163">
        <v>2</v>
      </c>
      <c r="H1173" s="163">
        <v>2</v>
      </c>
      <c r="I1173" s="164">
        <v>614.6</v>
      </c>
      <c r="J1173" s="164">
        <v>565.1</v>
      </c>
      <c r="K1173" s="164">
        <v>565.1</v>
      </c>
      <c r="L1173" s="177">
        <v>20</v>
      </c>
      <c r="M1173" s="163" t="s">
        <v>268</v>
      </c>
      <c r="N1173" s="163" t="s">
        <v>269</v>
      </c>
      <c r="O1173" s="163" t="s">
        <v>271</v>
      </c>
      <c r="P1173" s="164">
        <v>2320823.9699999997</v>
      </c>
      <c r="Q1173" s="164">
        <v>0</v>
      </c>
      <c r="R1173" s="164">
        <v>0</v>
      </c>
      <c r="S1173" s="164">
        <f>P1173-Q1173-R1173</f>
        <v>2320823.9699999997</v>
      </c>
      <c r="T1173" s="167">
        <f t="shared" si="363"/>
        <v>3776.153547022453</v>
      </c>
      <c r="U1173" s="167">
        <v>5289.4349170191999</v>
      </c>
      <c r="V1173" s="149">
        <f t="shared" si="367"/>
        <v>1513.2813699967469</v>
      </c>
      <c r="W1173" s="149">
        <f t="shared" si="368"/>
        <v>5289.4349170191999</v>
      </c>
      <c r="X1173" s="149">
        <v>0</v>
      </c>
      <c r="Y1173" s="368">
        <v>0</v>
      </c>
      <c r="Z1173" s="368">
        <v>0</v>
      </c>
      <c r="AA1173" s="368">
        <v>0</v>
      </c>
      <c r="AB1173" s="368">
        <v>0</v>
      </c>
      <c r="AC1173" s="368">
        <v>0</v>
      </c>
      <c r="AD1173" s="368">
        <v>0</v>
      </c>
      <c r="AE1173" s="368">
        <v>0</v>
      </c>
      <c r="AF1173" s="396">
        <v>0</v>
      </c>
      <c r="AG1173" s="368">
        <v>0</v>
      </c>
      <c r="AH1173" s="396">
        <v>0</v>
      </c>
      <c r="AI1173" s="368">
        <v>437</v>
      </c>
      <c r="AJ1173" s="397">
        <f>7439.1*AI1173/I1173</f>
        <v>5289.4349170191999</v>
      </c>
      <c r="AK1173" s="368">
        <v>0</v>
      </c>
      <c r="AL1173" s="368">
        <v>0</v>
      </c>
      <c r="AM1173" s="368">
        <v>0</v>
      </c>
      <c r="AN1173" s="368"/>
      <c r="AO1173" s="368">
        <v>0</v>
      </c>
      <c r="AP1173" s="152"/>
      <c r="DQ1173" s="123"/>
      <c r="DR1173" s="123"/>
      <c r="DS1173" s="123"/>
      <c r="EG1173" s="124"/>
      <c r="EP1173" s="125"/>
      <c r="FS1173" s="126"/>
      <c r="GI1173" s="127"/>
    </row>
    <row r="1174" spans="1:191" s="152" customFormat="1" ht="36" customHeight="1" x14ac:dyDescent="0.9">
      <c r="B1174" s="382" t="s">
        <v>847</v>
      </c>
      <c r="C1174" s="382"/>
      <c r="D1174" s="384" t="s">
        <v>903</v>
      </c>
      <c r="E1174" s="163" t="s">
        <v>903</v>
      </c>
      <c r="F1174" s="384" t="s">
        <v>903</v>
      </c>
      <c r="G1174" s="384" t="s">
        <v>903</v>
      </c>
      <c r="H1174" s="163" t="s">
        <v>903</v>
      </c>
      <c r="I1174" s="386">
        <f>SUM(I1175:I1177)</f>
        <v>1266.2</v>
      </c>
      <c r="J1174" s="164">
        <f>SUM(J1175:J1177)</f>
        <v>1144.9000000000001</v>
      </c>
      <c r="K1174" s="164">
        <f>SUM(K1175:K1177)</f>
        <v>922.5</v>
      </c>
      <c r="L1174" s="165">
        <f>SUM(L1175:L1177)</f>
        <v>52</v>
      </c>
      <c r="M1174" s="163" t="s">
        <v>903</v>
      </c>
      <c r="N1174" s="163" t="s">
        <v>903</v>
      </c>
      <c r="O1174" s="166" t="s">
        <v>903</v>
      </c>
      <c r="P1174" s="387">
        <v>4715781.71</v>
      </c>
      <c r="Q1174" s="167">
        <f>Q1175+Q1176+Q1177</f>
        <v>0</v>
      </c>
      <c r="R1174" s="167">
        <f>R1175+R1176+R1177</f>
        <v>0</v>
      </c>
      <c r="S1174" s="167">
        <f>S1175+S1176+S1177</f>
        <v>4715781.71</v>
      </c>
      <c r="T1174" s="387">
        <f t="shared" si="363"/>
        <v>3724.3576923076921</v>
      </c>
      <c r="U1174" s="387">
        <f>MAX(U1175:U1177)</f>
        <v>5409.6436314363145</v>
      </c>
      <c r="V1174" s="149">
        <f t="shared" ref="V1174:V1235" si="369">U1174-T1174</f>
        <v>1685.2859391286224</v>
      </c>
      <c r="W1174" s="149"/>
      <c r="X1174" s="149"/>
      <c r="Y1174" s="368"/>
      <c r="Z1174" s="368"/>
      <c r="AA1174" s="368"/>
      <c r="AB1174" s="368"/>
      <c r="AC1174" s="368"/>
      <c r="AD1174" s="368"/>
      <c r="AE1174" s="368"/>
      <c r="AF1174" s="368"/>
      <c r="AG1174" s="368"/>
      <c r="AH1174" s="368"/>
      <c r="AI1174" s="368"/>
      <c r="AJ1174" s="368"/>
      <c r="AK1174" s="368"/>
      <c r="AL1174" s="368"/>
      <c r="AM1174" s="368"/>
      <c r="AN1174" s="368"/>
      <c r="AO1174" s="368"/>
    </row>
    <row r="1175" spans="1:191" s="121" customFormat="1" ht="36" customHeight="1" x14ac:dyDescent="0.9">
      <c r="A1175" s="152">
        <v>1</v>
      </c>
      <c r="B1175" s="90">
        <f>SUBTOTAL(103,$A$988:A1175)</f>
        <v>162</v>
      </c>
      <c r="C1175" s="176" t="s">
        <v>805</v>
      </c>
      <c r="D1175" s="163">
        <v>1961</v>
      </c>
      <c r="E1175" s="163"/>
      <c r="F1175" s="178" t="s">
        <v>270</v>
      </c>
      <c r="G1175" s="163">
        <v>2</v>
      </c>
      <c r="H1175" s="163">
        <v>1</v>
      </c>
      <c r="I1175" s="164">
        <v>442.8</v>
      </c>
      <c r="J1175" s="164">
        <v>393.5</v>
      </c>
      <c r="K1175" s="164">
        <v>240.4</v>
      </c>
      <c r="L1175" s="177">
        <v>21</v>
      </c>
      <c r="M1175" s="163" t="s">
        <v>268</v>
      </c>
      <c r="N1175" s="163" t="s">
        <v>341</v>
      </c>
      <c r="O1175" s="163" t="s">
        <v>342</v>
      </c>
      <c r="P1175" s="164">
        <v>1710080.82</v>
      </c>
      <c r="Q1175" s="164">
        <v>0</v>
      </c>
      <c r="R1175" s="164">
        <v>0</v>
      </c>
      <c r="S1175" s="164">
        <f>P1175-Q1175-R1175</f>
        <v>1710080.82</v>
      </c>
      <c r="T1175" s="167">
        <f t="shared" si="363"/>
        <v>3861.9711382113824</v>
      </c>
      <c r="U1175" s="167">
        <v>5409.6436314363145</v>
      </c>
      <c r="V1175" s="149">
        <f t="shared" si="369"/>
        <v>1547.6724932249322</v>
      </c>
      <c r="W1175" s="149">
        <f t="shared" ref="W1175:W1177" si="370">X1175+Y1175+Z1175+AA1175+AB1175+AD1175+AF1175+AH1175+AJ1175+AL1175+AN1175+AO1175</f>
        <v>5409.6436314363145</v>
      </c>
      <c r="X1175" s="149">
        <v>0</v>
      </c>
      <c r="Y1175" s="368">
        <v>0</v>
      </c>
      <c r="Z1175" s="368">
        <v>0</v>
      </c>
      <c r="AA1175" s="368">
        <v>0</v>
      </c>
      <c r="AB1175" s="368">
        <v>0</v>
      </c>
      <c r="AC1175" s="368">
        <v>0</v>
      </c>
      <c r="AD1175" s="368">
        <v>0</v>
      </c>
      <c r="AE1175" s="368">
        <v>0</v>
      </c>
      <c r="AF1175" s="396">
        <v>0</v>
      </c>
      <c r="AG1175" s="368">
        <v>0</v>
      </c>
      <c r="AH1175" s="396">
        <v>0</v>
      </c>
      <c r="AI1175" s="368">
        <v>322</v>
      </c>
      <c r="AJ1175" s="397">
        <f>7439.1*AI1175/I1175</f>
        <v>5409.6436314363145</v>
      </c>
      <c r="AK1175" s="368">
        <v>0</v>
      </c>
      <c r="AL1175" s="368">
        <v>0</v>
      </c>
      <c r="AM1175" s="368">
        <v>0</v>
      </c>
      <c r="AN1175" s="368"/>
      <c r="AO1175" s="368">
        <v>0</v>
      </c>
      <c r="AP1175" s="152"/>
      <c r="DQ1175" s="123"/>
      <c r="DR1175" s="123"/>
      <c r="DS1175" s="123"/>
      <c r="EG1175" s="124"/>
      <c r="EP1175" s="125"/>
      <c r="FS1175" s="126"/>
      <c r="GI1175" s="127"/>
    </row>
    <row r="1176" spans="1:191" s="121" customFormat="1" ht="36" customHeight="1" x14ac:dyDescent="0.9">
      <c r="A1176" s="152">
        <v>1</v>
      </c>
      <c r="B1176" s="90">
        <f>SUBTOTAL(103,$A$988:A1176)</f>
        <v>163</v>
      </c>
      <c r="C1176" s="176" t="s">
        <v>184</v>
      </c>
      <c r="D1176" s="163">
        <v>1960</v>
      </c>
      <c r="E1176" s="163"/>
      <c r="F1176" s="178" t="s">
        <v>270</v>
      </c>
      <c r="G1176" s="163">
        <v>2</v>
      </c>
      <c r="H1176" s="163">
        <v>1</v>
      </c>
      <c r="I1176" s="164">
        <v>442.6</v>
      </c>
      <c r="J1176" s="164">
        <v>400.2</v>
      </c>
      <c r="K1176" s="164">
        <v>353.8</v>
      </c>
      <c r="L1176" s="177">
        <v>12</v>
      </c>
      <c r="M1176" s="163" t="s">
        <v>268</v>
      </c>
      <c r="N1176" s="163" t="s">
        <v>341</v>
      </c>
      <c r="O1176" s="163" t="s">
        <v>342</v>
      </c>
      <c r="P1176" s="164">
        <v>1452729.9</v>
      </c>
      <c r="Q1176" s="164">
        <v>0</v>
      </c>
      <c r="R1176" s="164">
        <v>0</v>
      </c>
      <c r="S1176" s="164">
        <f>P1176-Q1176-R1176</f>
        <v>1452729.9</v>
      </c>
      <c r="T1176" s="167">
        <f t="shared" si="363"/>
        <v>3282.2636692272927</v>
      </c>
      <c r="U1176" s="167">
        <v>3664.9719837324892</v>
      </c>
      <c r="V1176" s="149">
        <f t="shared" si="369"/>
        <v>382.70831450519654</v>
      </c>
      <c r="W1176" s="149">
        <f t="shared" si="370"/>
        <v>3664.9719837324892</v>
      </c>
      <c r="X1176" s="149">
        <v>0</v>
      </c>
      <c r="Y1176" s="368">
        <v>0</v>
      </c>
      <c r="Z1176" s="368">
        <v>0</v>
      </c>
      <c r="AA1176" s="368">
        <v>0</v>
      </c>
      <c r="AB1176" s="368">
        <v>0</v>
      </c>
      <c r="AC1176" s="368">
        <v>0</v>
      </c>
      <c r="AD1176" s="368">
        <v>0</v>
      </c>
      <c r="AE1176" s="368">
        <v>260</v>
      </c>
      <c r="AF1176" s="396">
        <f t="shared" ref="AF1176:AF1177" si="371">6238.91*AE1176/I1176</f>
        <v>3664.9719837324892</v>
      </c>
      <c r="AG1176" s="368">
        <v>0</v>
      </c>
      <c r="AH1176" s="396">
        <v>0</v>
      </c>
      <c r="AI1176" s="368">
        <v>0</v>
      </c>
      <c r="AJ1176" s="396">
        <v>0</v>
      </c>
      <c r="AK1176" s="368">
        <v>0</v>
      </c>
      <c r="AL1176" s="368">
        <v>0</v>
      </c>
      <c r="AM1176" s="368">
        <v>0</v>
      </c>
      <c r="AN1176" s="368"/>
      <c r="AO1176" s="368">
        <v>0</v>
      </c>
      <c r="AP1176" s="152"/>
      <c r="DQ1176" s="123"/>
      <c r="DR1176" s="123"/>
      <c r="DS1176" s="123"/>
      <c r="EG1176" s="124"/>
      <c r="EP1176" s="125"/>
      <c r="FS1176" s="126"/>
      <c r="GI1176" s="127"/>
    </row>
    <row r="1177" spans="1:191" s="121" customFormat="1" ht="36" customHeight="1" x14ac:dyDescent="0.9">
      <c r="A1177" s="152">
        <v>1</v>
      </c>
      <c r="B1177" s="90">
        <f>SUBTOTAL(103,$A$988:A1177)</f>
        <v>164</v>
      </c>
      <c r="C1177" s="176" t="s">
        <v>182</v>
      </c>
      <c r="D1177" s="163">
        <v>1968</v>
      </c>
      <c r="E1177" s="163"/>
      <c r="F1177" s="178" t="s">
        <v>270</v>
      </c>
      <c r="G1177" s="163">
        <v>2</v>
      </c>
      <c r="H1177" s="163">
        <v>1</v>
      </c>
      <c r="I1177" s="164">
        <v>380.8</v>
      </c>
      <c r="J1177" s="164">
        <v>351.2</v>
      </c>
      <c r="K1177" s="164">
        <v>328.3</v>
      </c>
      <c r="L1177" s="177">
        <v>19</v>
      </c>
      <c r="M1177" s="163" t="s">
        <v>268</v>
      </c>
      <c r="N1177" s="163" t="s">
        <v>341</v>
      </c>
      <c r="O1177" s="163" t="s">
        <v>342</v>
      </c>
      <c r="P1177" s="164">
        <v>1552970.99</v>
      </c>
      <c r="Q1177" s="164">
        <v>0</v>
      </c>
      <c r="R1177" s="164">
        <v>0</v>
      </c>
      <c r="S1177" s="164">
        <f>P1177-Q1177-R1177</f>
        <v>1552970.99</v>
      </c>
      <c r="T1177" s="167">
        <f t="shared" si="363"/>
        <v>4078.180120798319</v>
      </c>
      <c r="U1177" s="167">
        <v>4636.584900210084</v>
      </c>
      <c r="V1177" s="149">
        <f t="shared" si="369"/>
        <v>558.40477941176505</v>
      </c>
      <c r="W1177" s="149">
        <f t="shared" si="370"/>
        <v>4636.584900210084</v>
      </c>
      <c r="X1177" s="149">
        <v>0</v>
      </c>
      <c r="Y1177" s="368">
        <v>0</v>
      </c>
      <c r="Z1177" s="368">
        <v>0</v>
      </c>
      <c r="AA1177" s="368">
        <v>0</v>
      </c>
      <c r="AB1177" s="368">
        <v>0</v>
      </c>
      <c r="AC1177" s="368">
        <v>0</v>
      </c>
      <c r="AD1177" s="368">
        <v>0</v>
      </c>
      <c r="AE1177" s="368">
        <v>283</v>
      </c>
      <c r="AF1177" s="396">
        <f t="shared" si="371"/>
        <v>4636.584900210084</v>
      </c>
      <c r="AG1177" s="368">
        <v>0</v>
      </c>
      <c r="AH1177" s="396">
        <v>0</v>
      </c>
      <c r="AI1177" s="368">
        <v>0</v>
      </c>
      <c r="AJ1177" s="396">
        <v>0</v>
      </c>
      <c r="AK1177" s="368">
        <v>0</v>
      </c>
      <c r="AL1177" s="368">
        <v>0</v>
      </c>
      <c r="AM1177" s="368">
        <v>0</v>
      </c>
      <c r="AN1177" s="368"/>
      <c r="AO1177" s="368">
        <v>0</v>
      </c>
      <c r="AP1177" s="152"/>
      <c r="DQ1177" s="123"/>
      <c r="DR1177" s="123"/>
      <c r="DS1177" s="123"/>
      <c r="EG1177" s="124"/>
      <c r="EP1177" s="125"/>
      <c r="FS1177" s="126"/>
      <c r="GI1177" s="127"/>
    </row>
    <row r="1178" spans="1:191" s="152" customFormat="1" ht="36" customHeight="1" x14ac:dyDescent="0.9">
      <c r="B1178" s="382" t="s">
        <v>848</v>
      </c>
      <c r="C1178" s="382"/>
      <c r="D1178" s="384" t="s">
        <v>903</v>
      </c>
      <c r="E1178" s="163" t="s">
        <v>903</v>
      </c>
      <c r="F1178" s="384" t="s">
        <v>903</v>
      </c>
      <c r="G1178" s="384" t="s">
        <v>903</v>
      </c>
      <c r="H1178" s="163" t="s">
        <v>903</v>
      </c>
      <c r="I1178" s="386">
        <f>SUM(I1179:I1180)</f>
        <v>665.5</v>
      </c>
      <c r="J1178" s="164">
        <f>SUM(J1179:J1180)</f>
        <v>608.5</v>
      </c>
      <c r="K1178" s="164">
        <f>SUM(K1179:K1180)</f>
        <v>430.2</v>
      </c>
      <c r="L1178" s="165">
        <f>SUM(L1179:L1180)</f>
        <v>51</v>
      </c>
      <c r="M1178" s="163" t="s">
        <v>903</v>
      </c>
      <c r="N1178" s="163" t="s">
        <v>903</v>
      </c>
      <c r="O1178" s="166" t="s">
        <v>903</v>
      </c>
      <c r="P1178" s="387">
        <v>2590114.16</v>
      </c>
      <c r="Q1178" s="167">
        <f>Q1179+Q1180</f>
        <v>0</v>
      </c>
      <c r="R1178" s="167">
        <f>R1179+R1180</f>
        <v>0</v>
      </c>
      <c r="S1178" s="167">
        <f>S1179+S1180</f>
        <v>2590114.16</v>
      </c>
      <c r="T1178" s="387">
        <f t="shared" si="363"/>
        <v>3891.9822088655151</v>
      </c>
      <c r="U1178" s="387">
        <f>MAX(U1179:U1180)</f>
        <v>4456.3642857142859</v>
      </c>
      <c r="V1178" s="149">
        <f t="shared" si="369"/>
        <v>564.38207684877079</v>
      </c>
      <c r="W1178" s="149"/>
      <c r="X1178" s="149"/>
      <c r="Y1178" s="368"/>
      <c r="Z1178" s="368"/>
      <c r="AA1178" s="368"/>
      <c r="AB1178" s="368"/>
      <c r="AC1178" s="368"/>
      <c r="AD1178" s="368"/>
      <c r="AE1178" s="368"/>
      <c r="AF1178" s="368"/>
      <c r="AG1178" s="368"/>
      <c r="AH1178" s="368"/>
      <c r="AI1178" s="368"/>
      <c r="AJ1178" s="368"/>
      <c r="AK1178" s="368"/>
      <c r="AL1178" s="368"/>
      <c r="AM1178" s="368"/>
      <c r="AN1178" s="368"/>
      <c r="AO1178" s="368"/>
    </row>
    <row r="1179" spans="1:191" s="121" customFormat="1" ht="36" customHeight="1" x14ac:dyDescent="0.9">
      <c r="A1179" s="152">
        <v>1</v>
      </c>
      <c r="B1179" s="90">
        <f>SUBTOTAL(103,$A$988:A1179)</f>
        <v>165</v>
      </c>
      <c r="C1179" s="176" t="s">
        <v>1719</v>
      </c>
      <c r="D1179" s="163">
        <v>1968</v>
      </c>
      <c r="E1179" s="163"/>
      <c r="F1179" s="178" t="s">
        <v>270</v>
      </c>
      <c r="G1179" s="163">
        <v>2</v>
      </c>
      <c r="H1179" s="163">
        <v>1</v>
      </c>
      <c r="I1179" s="164">
        <v>322</v>
      </c>
      <c r="J1179" s="164">
        <v>293</v>
      </c>
      <c r="K1179" s="164">
        <v>114.7</v>
      </c>
      <c r="L1179" s="177">
        <v>30</v>
      </c>
      <c r="M1179" s="163" t="s">
        <v>268</v>
      </c>
      <c r="N1179" s="163" t="s">
        <v>341</v>
      </c>
      <c r="O1179" s="163" t="s">
        <v>343</v>
      </c>
      <c r="P1179" s="164">
        <v>1262131.9000000001</v>
      </c>
      <c r="Q1179" s="164">
        <v>0</v>
      </c>
      <c r="R1179" s="164">
        <v>0</v>
      </c>
      <c r="S1179" s="164">
        <f>P1179-Q1179-R1179</f>
        <v>1262131.9000000001</v>
      </c>
      <c r="T1179" s="167">
        <f t="shared" si="363"/>
        <v>3919.6642857142861</v>
      </c>
      <c r="U1179" s="167">
        <v>4456.3642857142859</v>
      </c>
      <c r="V1179" s="149">
        <f t="shared" si="369"/>
        <v>536.69999999999982</v>
      </c>
      <c r="W1179" s="149">
        <f t="shared" ref="W1179:W1180" si="372">X1179+Y1179+Z1179+AA1179+AB1179+AD1179+AF1179+AH1179+AJ1179+AL1179+AN1179+AO1179</f>
        <v>4456.3642857142859</v>
      </c>
      <c r="X1179" s="149">
        <v>0</v>
      </c>
      <c r="Y1179" s="368">
        <v>0</v>
      </c>
      <c r="Z1179" s="368">
        <v>0</v>
      </c>
      <c r="AA1179" s="368">
        <v>0</v>
      </c>
      <c r="AB1179" s="368">
        <v>0</v>
      </c>
      <c r="AC1179" s="368">
        <v>0</v>
      </c>
      <c r="AD1179" s="368">
        <v>0</v>
      </c>
      <c r="AE1179" s="368">
        <v>230</v>
      </c>
      <c r="AF1179" s="396">
        <f t="shared" ref="AF1179:AF1180" si="373">6238.91*AE1179/I1179</f>
        <v>4456.3642857142859</v>
      </c>
      <c r="AG1179" s="368">
        <v>0</v>
      </c>
      <c r="AH1179" s="396">
        <v>0</v>
      </c>
      <c r="AI1179" s="368">
        <v>0</v>
      </c>
      <c r="AJ1179" s="396">
        <v>0</v>
      </c>
      <c r="AK1179" s="368">
        <v>0</v>
      </c>
      <c r="AL1179" s="368">
        <v>0</v>
      </c>
      <c r="AM1179" s="368">
        <v>0</v>
      </c>
      <c r="AN1179" s="368"/>
      <c r="AO1179" s="368">
        <v>0</v>
      </c>
      <c r="AP1179" s="152"/>
      <c r="DQ1179" s="123"/>
      <c r="DR1179" s="123"/>
      <c r="DS1179" s="123"/>
      <c r="EG1179" s="124"/>
      <c r="EP1179" s="125"/>
      <c r="FS1179" s="126"/>
      <c r="GI1179" s="127"/>
    </row>
    <row r="1180" spans="1:191" s="121" customFormat="1" ht="36" customHeight="1" x14ac:dyDescent="0.9">
      <c r="A1180" s="152">
        <v>1</v>
      </c>
      <c r="B1180" s="90">
        <f>SUBTOTAL(103,$A$988:A1180)</f>
        <v>166</v>
      </c>
      <c r="C1180" s="176" t="s">
        <v>179</v>
      </c>
      <c r="D1180" s="163">
        <v>1970</v>
      </c>
      <c r="E1180" s="163"/>
      <c r="F1180" s="178" t="s">
        <v>270</v>
      </c>
      <c r="G1180" s="163">
        <v>2</v>
      </c>
      <c r="H1180" s="163">
        <v>1</v>
      </c>
      <c r="I1180" s="164">
        <v>343.5</v>
      </c>
      <c r="J1180" s="164">
        <v>315.5</v>
      </c>
      <c r="K1180" s="164">
        <v>315.5</v>
      </c>
      <c r="L1180" s="177">
        <v>21</v>
      </c>
      <c r="M1180" s="163" t="s">
        <v>268</v>
      </c>
      <c r="N1180" s="163" t="s">
        <v>341</v>
      </c>
      <c r="O1180" s="163" t="s">
        <v>343</v>
      </c>
      <c r="P1180" s="164">
        <v>1327982.26</v>
      </c>
      <c r="Q1180" s="164">
        <v>0</v>
      </c>
      <c r="R1180" s="164">
        <v>0</v>
      </c>
      <c r="S1180" s="164">
        <f>P1180-Q1180-R1180</f>
        <v>1327982.26</v>
      </c>
      <c r="T1180" s="167">
        <f t="shared" si="363"/>
        <v>3866.0327802037846</v>
      </c>
      <c r="U1180" s="167">
        <v>4395.3892867540026</v>
      </c>
      <c r="V1180" s="149">
        <f t="shared" si="369"/>
        <v>529.356506550218</v>
      </c>
      <c r="W1180" s="149">
        <f t="shared" si="372"/>
        <v>4395.3892867540026</v>
      </c>
      <c r="X1180" s="149">
        <v>0</v>
      </c>
      <c r="Y1180" s="368">
        <v>0</v>
      </c>
      <c r="Z1180" s="368">
        <v>0</v>
      </c>
      <c r="AA1180" s="368">
        <v>0</v>
      </c>
      <c r="AB1180" s="368">
        <v>0</v>
      </c>
      <c r="AC1180" s="368">
        <v>0</v>
      </c>
      <c r="AD1180" s="368">
        <v>0</v>
      </c>
      <c r="AE1180" s="368">
        <v>242</v>
      </c>
      <c r="AF1180" s="396">
        <f t="shared" si="373"/>
        <v>4395.3892867540026</v>
      </c>
      <c r="AG1180" s="368">
        <v>0</v>
      </c>
      <c r="AH1180" s="396">
        <v>0</v>
      </c>
      <c r="AI1180" s="368">
        <v>0</v>
      </c>
      <c r="AJ1180" s="396">
        <v>0</v>
      </c>
      <c r="AK1180" s="368">
        <v>0</v>
      </c>
      <c r="AL1180" s="368">
        <v>0</v>
      </c>
      <c r="AM1180" s="368">
        <v>0</v>
      </c>
      <c r="AN1180" s="368"/>
      <c r="AO1180" s="368">
        <v>0</v>
      </c>
      <c r="AP1180" s="152"/>
      <c r="DQ1180" s="123"/>
      <c r="DR1180" s="123"/>
      <c r="DS1180" s="123"/>
      <c r="EG1180" s="124"/>
      <c r="EP1180" s="125"/>
      <c r="FS1180" s="126"/>
      <c r="GI1180" s="127"/>
    </row>
    <row r="1181" spans="1:191" s="152" customFormat="1" ht="36" customHeight="1" x14ac:dyDescent="0.9">
      <c r="B1181" s="382" t="s">
        <v>849</v>
      </c>
      <c r="C1181" s="382"/>
      <c r="D1181" s="384" t="s">
        <v>903</v>
      </c>
      <c r="E1181" s="163" t="s">
        <v>903</v>
      </c>
      <c r="F1181" s="384" t="s">
        <v>903</v>
      </c>
      <c r="G1181" s="384" t="s">
        <v>903</v>
      </c>
      <c r="H1181" s="163" t="s">
        <v>903</v>
      </c>
      <c r="I1181" s="386">
        <f>I1182</f>
        <v>1217.2</v>
      </c>
      <c r="J1181" s="164">
        <f>J1182</f>
        <v>862.2</v>
      </c>
      <c r="K1181" s="164">
        <f>K1182</f>
        <v>862.2</v>
      </c>
      <c r="L1181" s="165">
        <f>L1182</f>
        <v>47</v>
      </c>
      <c r="M1181" s="163" t="s">
        <v>903</v>
      </c>
      <c r="N1181" s="163" t="s">
        <v>903</v>
      </c>
      <c r="O1181" s="166" t="s">
        <v>903</v>
      </c>
      <c r="P1181" s="387">
        <v>1456533.11</v>
      </c>
      <c r="Q1181" s="167">
        <f>Q1182</f>
        <v>0</v>
      </c>
      <c r="R1181" s="167">
        <f>R1182</f>
        <v>0</v>
      </c>
      <c r="S1181" s="167">
        <f>S1182</f>
        <v>1456533.11</v>
      </c>
      <c r="T1181" s="387">
        <f t="shared" si="363"/>
        <v>1196.6259530069012</v>
      </c>
      <c r="U1181" s="387">
        <f>U1182</f>
        <v>1435.1748274728886</v>
      </c>
      <c r="V1181" s="149">
        <f t="shared" si="369"/>
        <v>238.54887446598741</v>
      </c>
      <c r="W1181" s="149"/>
      <c r="X1181" s="149"/>
      <c r="Y1181" s="368"/>
      <c r="Z1181" s="368"/>
      <c r="AA1181" s="368"/>
      <c r="AB1181" s="368"/>
      <c r="AC1181" s="368"/>
      <c r="AD1181" s="368"/>
      <c r="AE1181" s="368"/>
      <c r="AF1181" s="368"/>
      <c r="AG1181" s="368"/>
      <c r="AH1181" s="368"/>
      <c r="AI1181" s="368"/>
      <c r="AJ1181" s="368"/>
      <c r="AK1181" s="368"/>
      <c r="AL1181" s="368"/>
      <c r="AM1181" s="368"/>
      <c r="AN1181" s="368"/>
      <c r="AO1181" s="368"/>
    </row>
    <row r="1182" spans="1:191" s="121" customFormat="1" ht="36" customHeight="1" x14ac:dyDescent="0.9">
      <c r="A1182" s="152">
        <v>1</v>
      </c>
      <c r="B1182" s="90">
        <f>SUBTOTAL(103,$A$988:A1182)</f>
        <v>167</v>
      </c>
      <c r="C1182" s="176" t="s">
        <v>806</v>
      </c>
      <c r="D1182" s="163">
        <v>1980</v>
      </c>
      <c r="E1182" s="163"/>
      <c r="F1182" s="178" t="s">
        <v>270</v>
      </c>
      <c r="G1182" s="163">
        <v>2</v>
      </c>
      <c r="H1182" s="163">
        <v>3</v>
      </c>
      <c r="I1182" s="164">
        <v>1217.2</v>
      </c>
      <c r="J1182" s="164">
        <v>862.2</v>
      </c>
      <c r="K1182" s="164">
        <v>862.2</v>
      </c>
      <c r="L1182" s="177">
        <v>47</v>
      </c>
      <c r="M1182" s="163" t="s">
        <v>268</v>
      </c>
      <c r="N1182" s="163" t="s">
        <v>345</v>
      </c>
      <c r="O1182" s="163" t="s">
        <v>825</v>
      </c>
      <c r="P1182" s="164">
        <v>1456533.11</v>
      </c>
      <c r="Q1182" s="164">
        <v>0</v>
      </c>
      <c r="R1182" s="164">
        <v>0</v>
      </c>
      <c r="S1182" s="164">
        <f>P1182-Q1182-R1182</f>
        <v>1456533.11</v>
      </c>
      <c r="T1182" s="167">
        <f t="shared" si="363"/>
        <v>1196.6259530069012</v>
      </c>
      <c r="U1182" s="167">
        <v>1435.1748274728886</v>
      </c>
      <c r="V1182" s="149">
        <f>U1182-T1182</f>
        <v>238.54887446598741</v>
      </c>
      <c r="W1182" s="149">
        <f>X1182+Y1182+Z1182+AA1182+AB1182+AD1182+AF1182+AH1182+AJ1182+AL1182+AN1182+AO1182</f>
        <v>1435.1748274728886</v>
      </c>
      <c r="X1182" s="149">
        <v>0</v>
      </c>
      <c r="Y1182" s="368">
        <v>0</v>
      </c>
      <c r="Z1182" s="368">
        <v>0</v>
      </c>
      <c r="AA1182" s="368">
        <v>0</v>
      </c>
      <c r="AB1182" s="368">
        <v>0</v>
      </c>
      <c r="AC1182" s="368">
        <v>0</v>
      </c>
      <c r="AD1182" s="368">
        <v>0</v>
      </c>
      <c r="AE1182" s="368">
        <v>280</v>
      </c>
      <c r="AF1182" s="396">
        <f>6238.91*AE1182/I1182</f>
        <v>1435.1748274728886</v>
      </c>
      <c r="AG1182" s="368">
        <v>0</v>
      </c>
      <c r="AH1182" s="396">
        <v>0</v>
      </c>
      <c r="AI1182" s="368">
        <v>0</v>
      </c>
      <c r="AJ1182" s="396">
        <v>0</v>
      </c>
      <c r="AK1182" s="368">
        <v>0</v>
      </c>
      <c r="AL1182" s="368">
        <v>0</v>
      </c>
      <c r="AM1182" s="368">
        <v>0</v>
      </c>
      <c r="AN1182" s="368"/>
      <c r="AO1182" s="368">
        <v>0</v>
      </c>
      <c r="AP1182" s="152"/>
      <c r="DQ1182" s="123"/>
      <c r="DR1182" s="123"/>
      <c r="DS1182" s="123"/>
      <c r="EG1182" s="124"/>
      <c r="EP1182" s="125"/>
      <c r="FS1182" s="126"/>
      <c r="GI1182" s="127"/>
    </row>
    <row r="1183" spans="1:191" s="152" customFormat="1" ht="36" customHeight="1" x14ac:dyDescent="0.9">
      <c r="B1183" s="382" t="s">
        <v>851</v>
      </c>
      <c r="C1183" s="388"/>
      <c r="D1183" s="384" t="s">
        <v>903</v>
      </c>
      <c r="E1183" s="163" t="s">
        <v>903</v>
      </c>
      <c r="F1183" s="384" t="s">
        <v>903</v>
      </c>
      <c r="G1183" s="384" t="s">
        <v>903</v>
      </c>
      <c r="H1183" s="163" t="s">
        <v>903</v>
      </c>
      <c r="I1183" s="386">
        <f>SUM(I1184:I1186)</f>
        <v>1774</v>
      </c>
      <c r="J1183" s="164">
        <f>SUM(J1184:J1186)</f>
        <v>1611</v>
      </c>
      <c r="K1183" s="164">
        <f>SUM(K1184:K1186)</f>
        <v>1526</v>
      </c>
      <c r="L1183" s="165">
        <f>SUM(L1184:L1186)</f>
        <v>80</v>
      </c>
      <c r="M1183" s="163" t="s">
        <v>903</v>
      </c>
      <c r="N1183" s="163" t="s">
        <v>903</v>
      </c>
      <c r="O1183" s="166" t="s">
        <v>903</v>
      </c>
      <c r="P1183" s="387">
        <v>10290828.25</v>
      </c>
      <c r="Q1183" s="167">
        <f>Q1184+Q1185+Q1186</f>
        <v>0</v>
      </c>
      <c r="R1183" s="167">
        <f>R1184+R1185+R1186</f>
        <v>0</v>
      </c>
      <c r="S1183" s="167">
        <f>S1184+S1185+S1186</f>
        <v>10290828.25</v>
      </c>
      <c r="T1183" s="387">
        <f t="shared" si="363"/>
        <v>5800.9178410372042</v>
      </c>
      <c r="U1183" s="387">
        <f>MAX(U1184:U1186)</f>
        <v>9415.4752597723909</v>
      </c>
      <c r="V1183" s="149">
        <f t="shared" si="369"/>
        <v>3614.5574187351867</v>
      </c>
      <c r="W1183" s="149"/>
      <c r="X1183" s="149"/>
      <c r="Y1183" s="368"/>
      <c r="Z1183" s="368"/>
      <c r="AA1183" s="368"/>
      <c r="AB1183" s="368"/>
      <c r="AC1183" s="368"/>
      <c r="AD1183" s="368"/>
      <c r="AE1183" s="368"/>
      <c r="AF1183" s="368"/>
      <c r="AG1183" s="368"/>
      <c r="AH1183" s="368"/>
      <c r="AI1183" s="368"/>
      <c r="AJ1183" s="368"/>
      <c r="AK1183" s="368"/>
      <c r="AL1183" s="368"/>
      <c r="AM1183" s="368"/>
      <c r="AN1183" s="368"/>
      <c r="AO1183" s="368"/>
    </row>
    <row r="1184" spans="1:191" s="121" customFormat="1" ht="36" customHeight="1" x14ac:dyDescent="0.9">
      <c r="A1184" s="152">
        <v>1</v>
      </c>
      <c r="B1184" s="90">
        <f>SUBTOTAL(103,$A$988:A1184)</f>
        <v>168</v>
      </c>
      <c r="C1184" s="176" t="s">
        <v>85</v>
      </c>
      <c r="D1184" s="163">
        <v>1952</v>
      </c>
      <c r="E1184" s="163"/>
      <c r="F1184" s="178" t="s">
        <v>270</v>
      </c>
      <c r="G1184" s="163">
        <v>2</v>
      </c>
      <c r="H1184" s="163">
        <v>2</v>
      </c>
      <c r="I1184" s="164">
        <v>744</v>
      </c>
      <c r="J1184" s="164">
        <v>670</v>
      </c>
      <c r="K1184" s="164">
        <v>617</v>
      </c>
      <c r="L1184" s="177">
        <v>23</v>
      </c>
      <c r="M1184" s="163" t="s">
        <v>268</v>
      </c>
      <c r="N1184" s="163" t="s">
        <v>269</v>
      </c>
      <c r="O1184" s="163" t="s">
        <v>271</v>
      </c>
      <c r="P1184" s="164">
        <v>3665226.5</v>
      </c>
      <c r="Q1184" s="164">
        <v>0</v>
      </c>
      <c r="R1184" s="164">
        <v>0</v>
      </c>
      <c r="S1184" s="164">
        <f>P1184-Q1184-R1184</f>
        <v>3665226.5</v>
      </c>
      <c r="T1184" s="167">
        <f t="shared" si="363"/>
        <v>4926.3797043010754</v>
      </c>
      <c r="U1184" s="167">
        <v>5450.6606182795695</v>
      </c>
      <c r="V1184" s="149">
        <f t="shared" si="369"/>
        <v>524.28091397849403</v>
      </c>
      <c r="W1184" s="149">
        <f t="shared" ref="W1184:W1186" si="374">X1184+Y1184+Z1184+AA1184+AB1184+AD1184+AF1184+AH1184+AJ1184+AL1184+AN1184+AO1184</f>
        <v>5450.6606182795695</v>
      </c>
      <c r="X1184" s="149">
        <v>0</v>
      </c>
      <c r="Y1184" s="368">
        <v>0</v>
      </c>
      <c r="Z1184" s="368">
        <v>0</v>
      </c>
      <c r="AA1184" s="368">
        <v>0</v>
      </c>
      <c r="AB1184" s="368">
        <v>0</v>
      </c>
      <c r="AC1184" s="368">
        <v>0</v>
      </c>
      <c r="AD1184" s="368">
        <v>0</v>
      </c>
      <c r="AE1184" s="368">
        <v>650</v>
      </c>
      <c r="AF1184" s="396">
        <f t="shared" ref="AF1184:AF1186" si="375">6238.91*AE1184/I1184</f>
        <v>5450.6606182795695</v>
      </c>
      <c r="AG1184" s="368">
        <v>0</v>
      </c>
      <c r="AH1184" s="396">
        <v>0</v>
      </c>
      <c r="AI1184" s="368">
        <v>0</v>
      </c>
      <c r="AJ1184" s="396">
        <v>0</v>
      </c>
      <c r="AK1184" s="368">
        <v>0</v>
      </c>
      <c r="AL1184" s="368">
        <v>0</v>
      </c>
      <c r="AM1184" s="368">
        <v>0</v>
      </c>
      <c r="AN1184" s="368"/>
      <c r="AO1184" s="368">
        <v>0</v>
      </c>
      <c r="AP1184" s="152"/>
      <c r="DQ1184" s="123"/>
      <c r="DR1184" s="123"/>
      <c r="DS1184" s="123"/>
      <c r="EG1184" s="124"/>
      <c r="EP1184" s="125"/>
      <c r="FS1184" s="126"/>
      <c r="GI1184" s="127"/>
    </row>
    <row r="1185" spans="1:191" s="121" customFormat="1" ht="36" customHeight="1" x14ac:dyDescent="0.9">
      <c r="A1185" s="152">
        <v>1</v>
      </c>
      <c r="B1185" s="90">
        <f>SUBTOTAL(103,$A$988:A1185)</f>
        <v>169</v>
      </c>
      <c r="C1185" s="176" t="s">
        <v>86</v>
      </c>
      <c r="D1185" s="163">
        <v>1951</v>
      </c>
      <c r="E1185" s="163"/>
      <c r="F1185" s="178" t="s">
        <v>270</v>
      </c>
      <c r="G1185" s="163">
        <v>2</v>
      </c>
      <c r="H1185" s="163">
        <v>2</v>
      </c>
      <c r="I1185" s="164">
        <v>625.79999999999995</v>
      </c>
      <c r="J1185" s="164">
        <v>578</v>
      </c>
      <c r="K1185" s="164">
        <v>546</v>
      </c>
      <c r="L1185" s="177">
        <v>42</v>
      </c>
      <c r="M1185" s="163" t="s">
        <v>268</v>
      </c>
      <c r="N1185" s="163" t="s">
        <v>269</v>
      </c>
      <c r="O1185" s="163" t="s">
        <v>271</v>
      </c>
      <c r="P1185" s="164">
        <v>3185927.6500000004</v>
      </c>
      <c r="Q1185" s="164">
        <v>0</v>
      </c>
      <c r="R1185" s="164">
        <v>0</v>
      </c>
      <c r="S1185" s="164">
        <f>P1185-Q1185-R1185</f>
        <v>3185927.6500000004</v>
      </c>
      <c r="T1185" s="167">
        <f t="shared" si="363"/>
        <v>5090.9678012144468</v>
      </c>
      <c r="U1185" s="167">
        <v>5632.7647011824865</v>
      </c>
      <c r="V1185" s="149">
        <f t="shared" si="369"/>
        <v>541.79689996803972</v>
      </c>
      <c r="W1185" s="149">
        <f t="shared" si="374"/>
        <v>5632.7647011824865</v>
      </c>
      <c r="X1185" s="149">
        <v>0</v>
      </c>
      <c r="Y1185" s="368">
        <v>0</v>
      </c>
      <c r="Z1185" s="368">
        <v>0</v>
      </c>
      <c r="AA1185" s="368">
        <v>0</v>
      </c>
      <c r="AB1185" s="368">
        <v>0</v>
      </c>
      <c r="AC1185" s="368">
        <v>0</v>
      </c>
      <c r="AD1185" s="368">
        <v>0</v>
      </c>
      <c r="AE1185" s="368">
        <v>565</v>
      </c>
      <c r="AF1185" s="396">
        <f t="shared" si="375"/>
        <v>5632.7647011824865</v>
      </c>
      <c r="AG1185" s="368">
        <v>0</v>
      </c>
      <c r="AH1185" s="396">
        <v>0</v>
      </c>
      <c r="AI1185" s="368">
        <v>0</v>
      </c>
      <c r="AJ1185" s="396">
        <v>0</v>
      </c>
      <c r="AK1185" s="368">
        <v>0</v>
      </c>
      <c r="AL1185" s="368">
        <v>0</v>
      </c>
      <c r="AM1185" s="368">
        <v>0</v>
      </c>
      <c r="AN1185" s="368"/>
      <c r="AO1185" s="368">
        <v>0</v>
      </c>
      <c r="AP1185" s="152"/>
      <c r="DQ1185" s="123"/>
      <c r="DR1185" s="123"/>
      <c r="DS1185" s="123"/>
      <c r="EG1185" s="124"/>
      <c r="EP1185" s="125"/>
      <c r="FS1185" s="126"/>
      <c r="GI1185" s="127"/>
    </row>
    <row r="1186" spans="1:191" s="121" customFormat="1" ht="36" customHeight="1" x14ac:dyDescent="0.9">
      <c r="A1186" s="152">
        <v>1</v>
      </c>
      <c r="B1186" s="90">
        <f>SUBTOTAL(103,$A$988:A1186)</f>
        <v>170</v>
      </c>
      <c r="C1186" s="176" t="s">
        <v>84</v>
      </c>
      <c r="D1186" s="163">
        <v>1951</v>
      </c>
      <c r="E1186" s="163"/>
      <c r="F1186" s="178" t="s">
        <v>270</v>
      </c>
      <c r="G1186" s="163">
        <v>2</v>
      </c>
      <c r="H1186" s="163">
        <v>2</v>
      </c>
      <c r="I1186" s="164">
        <v>404.2</v>
      </c>
      <c r="J1186" s="164">
        <v>363</v>
      </c>
      <c r="K1186" s="164">
        <v>363</v>
      </c>
      <c r="L1186" s="177">
        <v>15</v>
      </c>
      <c r="M1186" s="163" t="s">
        <v>268</v>
      </c>
      <c r="N1186" s="163" t="s">
        <v>269</v>
      </c>
      <c r="O1186" s="163" t="s">
        <v>271</v>
      </c>
      <c r="P1186" s="164">
        <v>3439674.1</v>
      </c>
      <c r="Q1186" s="164">
        <v>0</v>
      </c>
      <c r="R1186" s="164">
        <v>0</v>
      </c>
      <c r="S1186" s="164">
        <f>P1186-Q1186-R1186</f>
        <v>3439674.1</v>
      </c>
      <c r="T1186" s="167">
        <f t="shared" si="363"/>
        <v>8509.8320138545278</v>
      </c>
      <c r="U1186" s="167">
        <v>9415.4752597723909</v>
      </c>
      <c r="V1186" s="149">
        <f t="shared" si="369"/>
        <v>905.64324591786317</v>
      </c>
      <c r="W1186" s="149">
        <f t="shared" si="374"/>
        <v>9415.4752597723909</v>
      </c>
      <c r="X1186" s="149">
        <v>0</v>
      </c>
      <c r="Y1186" s="368">
        <v>0</v>
      </c>
      <c r="Z1186" s="368">
        <v>0</v>
      </c>
      <c r="AA1186" s="368">
        <v>0</v>
      </c>
      <c r="AB1186" s="368">
        <v>0</v>
      </c>
      <c r="AC1186" s="368">
        <v>0</v>
      </c>
      <c r="AD1186" s="368">
        <v>0</v>
      </c>
      <c r="AE1186" s="368">
        <v>610</v>
      </c>
      <c r="AF1186" s="396">
        <f t="shared" si="375"/>
        <v>9415.4752597723909</v>
      </c>
      <c r="AG1186" s="368">
        <v>0</v>
      </c>
      <c r="AH1186" s="396">
        <v>0</v>
      </c>
      <c r="AI1186" s="368">
        <v>0</v>
      </c>
      <c r="AJ1186" s="396">
        <v>0</v>
      </c>
      <c r="AK1186" s="368">
        <v>0</v>
      </c>
      <c r="AL1186" s="368">
        <v>0</v>
      </c>
      <c r="AM1186" s="368">
        <v>0</v>
      </c>
      <c r="AN1186" s="368"/>
      <c r="AO1186" s="368">
        <v>0</v>
      </c>
      <c r="AP1186" s="152"/>
      <c r="DQ1186" s="123"/>
      <c r="DR1186" s="123"/>
      <c r="DS1186" s="123"/>
      <c r="EG1186" s="124"/>
      <c r="EP1186" s="125"/>
      <c r="FS1186" s="126"/>
      <c r="GI1186" s="127"/>
    </row>
    <row r="1187" spans="1:191" s="152" customFormat="1" ht="36" customHeight="1" x14ac:dyDescent="0.9">
      <c r="B1187" s="382" t="s">
        <v>852</v>
      </c>
      <c r="C1187" s="382"/>
      <c r="D1187" s="384" t="s">
        <v>903</v>
      </c>
      <c r="E1187" s="163" t="s">
        <v>903</v>
      </c>
      <c r="F1187" s="384" t="s">
        <v>903</v>
      </c>
      <c r="G1187" s="384" t="s">
        <v>903</v>
      </c>
      <c r="H1187" s="163" t="s">
        <v>903</v>
      </c>
      <c r="I1187" s="386">
        <f>I1188</f>
        <v>609</v>
      </c>
      <c r="J1187" s="164">
        <f>J1188</f>
        <v>609</v>
      </c>
      <c r="K1187" s="164">
        <f>K1188</f>
        <v>579</v>
      </c>
      <c r="L1187" s="165">
        <f>L1188</f>
        <v>31</v>
      </c>
      <c r="M1187" s="163" t="s">
        <v>903</v>
      </c>
      <c r="N1187" s="163" t="s">
        <v>903</v>
      </c>
      <c r="O1187" s="166" t="s">
        <v>903</v>
      </c>
      <c r="P1187" s="387">
        <v>3013803.8600000003</v>
      </c>
      <c r="Q1187" s="167">
        <f>Q1188</f>
        <v>0</v>
      </c>
      <c r="R1187" s="167">
        <f>R1188</f>
        <v>0</v>
      </c>
      <c r="S1187" s="167">
        <f>S1188</f>
        <v>3013803.8600000003</v>
      </c>
      <c r="T1187" s="387">
        <f t="shared" si="363"/>
        <v>4948.7748111658466</v>
      </c>
      <c r="U1187" s="387">
        <f>U1188</f>
        <v>6003.286141215106</v>
      </c>
      <c r="V1187" s="149">
        <f t="shared" si="369"/>
        <v>1054.5113300492594</v>
      </c>
      <c r="W1187" s="149"/>
      <c r="X1187" s="149"/>
      <c r="Y1187" s="368"/>
      <c r="Z1187" s="368"/>
      <c r="AA1187" s="368"/>
      <c r="AB1187" s="368"/>
      <c r="AC1187" s="368"/>
      <c r="AD1187" s="368"/>
      <c r="AE1187" s="368"/>
      <c r="AF1187" s="368"/>
      <c r="AG1187" s="368"/>
      <c r="AH1187" s="368"/>
      <c r="AI1187" s="368"/>
      <c r="AJ1187" s="368"/>
      <c r="AK1187" s="368"/>
      <c r="AL1187" s="368"/>
      <c r="AM1187" s="368"/>
      <c r="AN1187" s="368"/>
      <c r="AO1187" s="368"/>
    </row>
    <row r="1188" spans="1:191" s="121" customFormat="1" ht="36" customHeight="1" x14ac:dyDescent="0.9">
      <c r="A1188" s="152">
        <v>1</v>
      </c>
      <c r="B1188" s="90">
        <f>SUBTOTAL(103,$A$988:A1188)</f>
        <v>171</v>
      </c>
      <c r="C1188" s="176" t="s">
        <v>88</v>
      </c>
      <c r="D1188" s="163">
        <v>1967</v>
      </c>
      <c r="E1188" s="163"/>
      <c r="F1188" s="178" t="s">
        <v>270</v>
      </c>
      <c r="G1188" s="163">
        <v>2</v>
      </c>
      <c r="H1188" s="163">
        <v>2</v>
      </c>
      <c r="I1188" s="164">
        <v>609</v>
      </c>
      <c r="J1188" s="164">
        <v>609</v>
      </c>
      <c r="K1188" s="164">
        <v>579</v>
      </c>
      <c r="L1188" s="177">
        <v>31</v>
      </c>
      <c r="M1188" s="163" t="s">
        <v>268</v>
      </c>
      <c r="N1188" s="163" t="s">
        <v>269</v>
      </c>
      <c r="O1188" s="163" t="s">
        <v>271</v>
      </c>
      <c r="P1188" s="164">
        <v>3013803.8600000003</v>
      </c>
      <c r="Q1188" s="164">
        <v>0</v>
      </c>
      <c r="R1188" s="164">
        <v>0</v>
      </c>
      <c r="S1188" s="164">
        <f>P1188-Q1188-R1188</f>
        <v>3013803.8600000003</v>
      </c>
      <c r="T1188" s="167">
        <f t="shared" si="363"/>
        <v>4948.7748111658466</v>
      </c>
      <c r="U1188" s="167">
        <v>6003.286141215106</v>
      </c>
      <c r="V1188" s="149">
        <f>U1188-T1188</f>
        <v>1054.5113300492594</v>
      </c>
      <c r="W1188" s="149">
        <f>X1188+Y1188+Z1188+AA1188+AB1188+AD1188+AF1188+AH1188+AJ1188+AL1188+AN1188+AO1188</f>
        <v>6003.286141215106</v>
      </c>
      <c r="X1188" s="149">
        <v>0</v>
      </c>
      <c r="Y1188" s="368">
        <v>0</v>
      </c>
      <c r="Z1188" s="368">
        <v>0</v>
      </c>
      <c r="AA1188" s="368">
        <v>0</v>
      </c>
      <c r="AB1188" s="368">
        <v>0</v>
      </c>
      <c r="AC1188" s="368">
        <v>0</v>
      </c>
      <c r="AD1188" s="368">
        <v>0</v>
      </c>
      <c r="AE1188" s="368">
        <v>586</v>
      </c>
      <c r="AF1188" s="396">
        <f>6238.91*AE1188/I1188</f>
        <v>6003.286141215106</v>
      </c>
      <c r="AG1188" s="368">
        <v>0</v>
      </c>
      <c r="AH1188" s="396">
        <v>0</v>
      </c>
      <c r="AI1188" s="368">
        <v>0</v>
      </c>
      <c r="AJ1188" s="396">
        <v>0</v>
      </c>
      <c r="AK1188" s="368">
        <v>0</v>
      </c>
      <c r="AL1188" s="368">
        <v>0</v>
      </c>
      <c r="AM1188" s="368">
        <v>0</v>
      </c>
      <c r="AN1188" s="368"/>
      <c r="AO1188" s="368">
        <v>0</v>
      </c>
      <c r="AP1188" s="152"/>
      <c r="DQ1188" s="123"/>
      <c r="DR1188" s="123"/>
      <c r="DS1188" s="123"/>
      <c r="EG1188" s="124"/>
      <c r="EP1188" s="125"/>
      <c r="FS1188" s="126"/>
      <c r="GI1188" s="127"/>
    </row>
    <row r="1189" spans="1:191" s="152" customFormat="1" ht="36" customHeight="1" x14ac:dyDescent="0.9">
      <c r="B1189" s="382" t="s">
        <v>901</v>
      </c>
      <c r="C1189" s="382"/>
      <c r="D1189" s="384" t="s">
        <v>903</v>
      </c>
      <c r="E1189" s="163" t="s">
        <v>903</v>
      </c>
      <c r="F1189" s="384" t="s">
        <v>903</v>
      </c>
      <c r="G1189" s="384" t="s">
        <v>903</v>
      </c>
      <c r="H1189" s="163" t="s">
        <v>903</v>
      </c>
      <c r="I1189" s="386">
        <f>I1190</f>
        <v>616.20000000000005</v>
      </c>
      <c r="J1189" s="164">
        <f>J1190</f>
        <v>315</v>
      </c>
      <c r="K1189" s="164">
        <f>K1190</f>
        <v>315</v>
      </c>
      <c r="L1189" s="165">
        <f>L1190</f>
        <v>21</v>
      </c>
      <c r="M1189" s="163" t="s">
        <v>903</v>
      </c>
      <c r="N1189" s="163" t="s">
        <v>903</v>
      </c>
      <c r="O1189" s="166" t="s">
        <v>903</v>
      </c>
      <c r="P1189" s="387">
        <v>2036502</v>
      </c>
      <c r="Q1189" s="167">
        <f>Q1190</f>
        <v>0</v>
      </c>
      <c r="R1189" s="167">
        <f>R1190</f>
        <v>0</v>
      </c>
      <c r="S1189" s="167">
        <f>S1190</f>
        <v>2036502</v>
      </c>
      <c r="T1189" s="387">
        <f t="shared" si="363"/>
        <v>3304.9367088607592</v>
      </c>
      <c r="U1189" s="387">
        <f>U1190</f>
        <v>3948.6772151898731</v>
      </c>
      <c r="V1189" s="149">
        <f t="shared" si="369"/>
        <v>643.74050632911394</v>
      </c>
      <c r="W1189" s="149"/>
      <c r="X1189" s="149"/>
      <c r="Y1189" s="368"/>
      <c r="Z1189" s="368"/>
      <c r="AA1189" s="368"/>
      <c r="AB1189" s="368"/>
      <c r="AC1189" s="368"/>
      <c r="AD1189" s="368"/>
      <c r="AE1189" s="368"/>
      <c r="AF1189" s="368"/>
      <c r="AG1189" s="368"/>
      <c r="AH1189" s="368"/>
      <c r="AI1189" s="368"/>
      <c r="AJ1189" s="368"/>
      <c r="AK1189" s="368"/>
      <c r="AL1189" s="368"/>
      <c r="AM1189" s="368"/>
      <c r="AN1189" s="368"/>
      <c r="AO1189" s="368"/>
    </row>
    <row r="1190" spans="1:191" s="121" customFormat="1" ht="36" customHeight="1" x14ac:dyDescent="0.9">
      <c r="A1190" s="152">
        <v>1</v>
      </c>
      <c r="B1190" s="90">
        <f>SUBTOTAL(103,$A$988:A1190)</f>
        <v>172</v>
      </c>
      <c r="C1190" s="176" t="s">
        <v>87</v>
      </c>
      <c r="D1190" s="163">
        <v>1982</v>
      </c>
      <c r="E1190" s="163"/>
      <c r="F1190" s="178" t="s">
        <v>270</v>
      </c>
      <c r="G1190" s="163">
        <v>2</v>
      </c>
      <c r="H1190" s="163">
        <v>2</v>
      </c>
      <c r="I1190" s="164">
        <v>616.20000000000005</v>
      </c>
      <c r="J1190" s="164">
        <v>315</v>
      </c>
      <c r="K1190" s="164">
        <v>315</v>
      </c>
      <c r="L1190" s="177">
        <v>21</v>
      </c>
      <c r="M1190" s="163" t="s">
        <v>268</v>
      </c>
      <c r="N1190" s="163" t="s">
        <v>269</v>
      </c>
      <c r="O1190" s="163" t="s">
        <v>271</v>
      </c>
      <c r="P1190" s="164">
        <v>2036502</v>
      </c>
      <c r="Q1190" s="164">
        <v>0</v>
      </c>
      <c r="R1190" s="164">
        <v>0</v>
      </c>
      <c r="S1190" s="164">
        <f>P1190-Q1190-R1190</f>
        <v>2036502</v>
      </c>
      <c r="T1190" s="167">
        <f t="shared" si="363"/>
        <v>3304.9367088607592</v>
      </c>
      <c r="U1190" s="167">
        <v>3948.6772151898731</v>
      </c>
      <c r="V1190" s="149">
        <f>U1190-T1190</f>
        <v>643.74050632911394</v>
      </c>
      <c r="W1190" s="149">
        <f>X1190+Y1190+Z1190+AA1190+AB1190+AD1190+AF1190+AH1190+AJ1190+AL1190+AN1190+AO1190</f>
        <v>3948.6772151898731</v>
      </c>
      <c r="X1190" s="149">
        <v>0</v>
      </c>
      <c r="Y1190" s="368">
        <v>0</v>
      </c>
      <c r="Z1190" s="368">
        <v>0</v>
      </c>
      <c r="AA1190" s="368">
        <v>0</v>
      </c>
      <c r="AB1190" s="368">
        <v>0</v>
      </c>
      <c r="AC1190" s="368">
        <v>0</v>
      </c>
      <c r="AD1190" s="368">
        <v>0</v>
      </c>
      <c r="AE1190" s="368">
        <v>390</v>
      </c>
      <c r="AF1190" s="396">
        <f>6238.91*AE1190/I1190</f>
        <v>3948.6772151898731</v>
      </c>
      <c r="AG1190" s="368">
        <v>0</v>
      </c>
      <c r="AH1190" s="396">
        <v>0</v>
      </c>
      <c r="AI1190" s="368">
        <v>0</v>
      </c>
      <c r="AJ1190" s="396">
        <v>0</v>
      </c>
      <c r="AK1190" s="368">
        <v>0</v>
      </c>
      <c r="AL1190" s="368">
        <v>0</v>
      </c>
      <c r="AM1190" s="368">
        <v>0</v>
      </c>
      <c r="AN1190" s="368"/>
      <c r="AO1190" s="368">
        <v>0</v>
      </c>
      <c r="AP1190" s="152"/>
      <c r="DQ1190" s="123"/>
      <c r="DR1190" s="123"/>
      <c r="DS1190" s="123"/>
      <c r="EG1190" s="124"/>
      <c r="EP1190" s="125"/>
      <c r="FS1190" s="126"/>
      <c r="GI1190" s="127"/>
    </row>
    <row r="1191" spans="1:191" s="152" customFormat="1" ht="36" customHeight="1" x14ac:dyDescent="0.9">
      <c r="B1191" s="382" t="s">
        <v>853</v>
      </c>
      <c r="C1191" s="388"/>
      <c r="D1191" s="384" t="s">
        <v>903</v>
      </c>
      <c r="E1191" s="163" t="s">
        <v>903</v>
      </c>
      <c r="F1191" s="384" t="s">
        <v>903</v>
      </c>
      <c r="G1191" s="384" t="s">
        <v>903</v>
      </c>
      <c r="H1191" s="163" t="s">
        <v>903</v>
      </c>
      <c r="I1191" s="386">
        <f>I1192</f>
        <v>772.9</v>
      </c>
      <c r="J1191" s="164">
        <f>J1192</f>
        <v>728.9</v>
      </c>
      <c r="K1191" s="164">
        <f>K1192</f>
        <v>650.20000000000005</v>
      </c>
      <c r="L1191" s="165">
        <f>L1192</f>
        <v>32</v>
      </c>
      <c r="M1191" s="163" t="s">
        <v>903</v>
      </c>
      <c r="N1191" s="163" t="s">
        <v>903</v>
      </c>
      <c r="O1191" s="166" t="s">
        <v>903</v>
      </c>
      <c r="P1191" s="387">
        <v>3592598.4</v>
      </c>
      <c r="Q1191" s="167">
        <f>Q1192</f>
        <v>0</v>
      </c>
      <c r="R1191" s="167">
        <f>R1192</f>
        <v>0</v>
      </c>
      <c r="S1191" s="167">
        <f>S1192</f>
        <v>3592598.4</v>
      </c>
      <c r="T1191" s="387">
        <f t="shared" si="363"/>
        <v>4648.2059774873851</v>
      </c>
      <c r="U1191" s="387">
        <f>U1192</f>
        <v>5553.5904774226938</v>
      </c>
      <c r="V1191" s="149">
        <f t="shared" si="369"/>
        <v>905.38449993530867</v>
      </c>
      <c r="W1191" s="149"/>
      <c r="X1191" s="149"/>
      <c r="Y1191" s="368"/>
      <c r="Z1191" s="368"/>
      <c r="AA1191" s="368"/>
      <c r="AB1191" s="368"/>
      <c r="AC1191" s="368"/>
      <c r="AD1191" s="368"/>
      <c r="AE1191" s="368"/>
      <c r="AF1191" s="368"/>
      <c r="AG1191" s="368"/>
      <c r="AH1191" s="368"/>
      <c r="AI1191" s="368"/>
      <c r="AJ1191" s="368"/>
      <c r="AK1191" s="368"/>
      <c r="AL1191" s="368"/>
      <c r="AM1191" s="368"/>
      <c r="AN1191" s="368"/>
      <c r="AO1191" s="368"/>
    </row>
    <row r="1192" spans="1:191" s="121" customFormat="1" ht="36" customHeight="1" x14ac:dyDescent="0.9">
      <c r="A1192" s="152">
        <v>1</v>
      </c>
      <c r="B1192" s="90">
        <f>SUBTOTAL(103,$A$988:A1192)</f>
        <v>173</v>
      </c>
      <c r="C1192" s="176" t="s">
        <v>108</v>
      </c>
      <c r="D1192" s="163">
        <v>1971</v>
      </c>
      <c r="E1192" s="163"/>
      <c r="F1192" s="178" t="s">
        <v>270</v>
      </c>
      <c r="G1192" s="163">
        <v>2</v>
      </c>
      <c r="H1192" s="163">
        <v>2</v>
      </c>
      <c r="I1192" s="164">
        <v>772.9</v>
      </c>
      <c r="J1192" s="164">
        <v>728.9</v>
      </c>
      <c r="K1192" s="164">
        <v>650.20000000000005</v>
      </c>
      <c r="L1192" s="177">
        <v>32</v>
      </c>
      <c r="M1192" s="163" t="s">
        <v>268</v>
      </c>
      <c r="N1192" s="163" t="s">
        <v>269</v>
      </c>
      <c r="O1192" s="163" t="s">
        <v>271</v>
      </c>
      <c r="P1192" s="164">
        <v>3592598.4</v>
      </c>
      <c r="Q1192" s="164">
        <v>0</v>
      </c>
      <c r="R1192" s="164">
        <v>0</v>
      </c>
      <c r="S1192" s="164">
        <f>P1192-Q1192-R1192</f>
        <v>3592598.4</v>
      </c>
      <c r="T1192" s="167">
        <f t="shared" si="363"/>
        <v>4648.2059774873851</v>
      </c>
      <c r="U1192" s="167">
        <v>5553.5904774226938</v>
      </c>
      <c r="V1192" s="149">
        <f>U1192-T1192</f>
        <v>905.38449993530867</v>
      </c>
      <c r="W1192" s="149">
        <f>X1192+Y1192+Z1192+AA1192+AB1192+AD1192+AF1192+AH1192+AJ1192+AL1192+AN1192+AO1192</f>
        <v>5553.5904774226938</v>
      </c>
      <c r="X1192" s="149">
        <v>0</v>
      </c>
      <c r="Y1192" s="368">
        <v>0</v>
      </c>
      <c r="Z1192" s="368">
        <v>0</v>
      </c>
      <c r="AA1192" s="368">
        <v>0</v>
      </c>
      <c r="AB1192" s="368">
        <v>0</v>
      </c>
      <c r="AC1192" s="368">
        <v>0</v>
      </c>
      <c r="AD1192" s="368">
        <v>0</v>
      </c>
      <c r="AE1192" s="368">
        <v>688</v>
      </c>
      <c r="AF1192" s="396">
        <f>6238.91*AE1192/I1192</f>
        <v>5553.5904774226938</v>
      </c>
      <c r="AG1192" s="368">
        <v>0</v>
      </c>
      <c r="AH1192" s="396">
        <v>0</v>
      </c>
      <c r="AI1192" s="368">
        <v>0</v>
      </c>
      <c r="AJ1192" s="396">
        <v>0</v>
      </c>
      <c r="AK1192" s="368">
        <v>0</v>
      </c>
      <c r="AL1192" s="368">
        <v>0</v>
      </c>
      <c r="AM1192" s="368">
        <v>0</v>
      </c>
      <c r="AN1192" s="368"/>
      <c r="AO1192" s="368">
        <v>0</v>
      </c>
      <c r="AP1192" s="152"/>
      <c r="DQ1192" s="123"/>
      <c r="DR1192" s="123"/>
      <c r="DS1192" s="123"/>
      <c r="EG1192" s="124"/>
      <c r="EP1192" s="125"/>
      <c r="FS1192" s="126"/>
      <c r="GI1192" s="127"/>
    </row>
    <row r="1193" spans="1:191" s="152" customFormat="1" ht="36" customHeight="1" x14ac:dyDescent="0.9">
      <c r="B1193" s="382" t="s">
        <v>888</v>
      </c>
      <c r="C1193" s="382"/>
      <c r="D1193" s="384" t="s">
        <v>903</v>
      </c>
      <c r="E1193" s="163" t="s">
        <v>903</v>
      </c>
      <c r="F1193" s="384" t="s">
        <v>903</v>
      </c>
      <c r="G1193" s="384" t="s">
        <v>903</v>
      </c>
      <c r="H1193" s="163" t="s">
        <v>903</v>
      </c>
      <c r="I1193" s="386">
        <f>I1194</f>
        <v>976.3</v>
      </c>
      <c r="J1193" s="164">
        <f>J1194</f>
        <v>880.1</v>
      </c>
      <c r="K1193" s="164">
        <f>K1194</f>
        <v>880.1</v>
      </c>
      <c r="L1193" s="165">
        <f>L1194</f>
        <v>36</v>
      </c>
      <c r="M1193" s="163" t="s">
        <v>903</v>
      </c>
      <c r="N1193" s="163" t="s">
        <v>903</v>
      </c>
      <c r="O1193" s="166" t="s">
        <v>903</v>
      </c>
      <c r="P1193" s="387">
        <v>4454195.3999999994</v>
      </c>
      <c r="Q1193" s="167">
        <f>Q1194</f>
        <v>0</v>
      </c>
      <c r="R1193" s="167">
        <f>R1194</f>
        <v>0</v>
      </c>
      <c r="S1193" s="167">
        <f>S1194</f>
        <v>4454195.3999999994</v>
      </c>
      <c r="T1193" s="387">
        <f t="shared" si="363"/>
        <v>4562.3224418723748</v>
      </c>
      <c r="U1193" s="387">
        <f>U1194</f>
        <v>5450.9784185188973</v>
      </c>
      <c r="V1193" s="149">
        <f t="shared" si="369"/>
        <v>888.6559766465225</v>
      </c>
      <c r="W1193" s="149"/>
      <c r="X1193" s="149"/>
      <c r="Y1193" s="368"/>
      <c r="Z1193" s="368"/>
      <c r="AA1193" s="368"/>
      <c r="AB1193" s="368"/>
      <c r="AC1193" s="368"/>
      <c r="AD1193" s="368"/>
      <c r="AE1193" s="368"/>
      <c r="AF1193" s="368"/>
      <c r="AG1193" s="368"/>
      <c r="AH1193" s="368"/>
      <c r="AI1193" s="368"/>
      <c r="AJ1193" s="368"/>
      <c r="AK1193" s="368"/>
      <c r="AL1193" s="368"/>
      <c r="AM1193" s="368"/>
      <c r="AN1193" s="368"/>
      <c r="AO1193" s="368"/>
    </row>
    <row r="1194" spans="1:191" s="121" customFormat="1" ht="36" customHeight="1" x14ac:dyDescent="0.9">
      <c r="A1194" s="152">
        <v>1</v>
      </c>
      <c r="B1194" s="90">
        <f>SUBTOTAL(103,$A$988:A1194)</f>
        <v>174</v>
      </c>
      <c r="C1194" s="176" t="s">
        <v>110</v>
      </c>
      <c r="D1194" s="163">
        <v>1987</v>
      </c>
      <c r="E1194" s="163"/>
      <c r="F1194" s="178" t="s">
        <v>270</v>
      </c>
      <c r="G1194" s="163">
        <v>2</v>
      </c>
      <c r="H1194" s="163">
        <v>3</v>
      </c>
      <c r="I1194" s="164">
        <v>976.3</v>
      </c>
      <c r="J1194" s="164">
        <v>880.1</v>
      </c>
      <c r="K1194" s="164">
        <v>880.1</v>
      </c>
      <c r="L1194" s="177">
        <v>36</v>
      </c>
      <c r="M1194" s="163" t="s">
        <v>268</v>
      </c>
      <c r="N1194" s="163" t="s">
        <v>269</v>
      </c>
      <c r="O1194" s="163" t="s">
        <v>271</v>
      </c>
      <c r="P1194" s="164">
        <v>4454195.3999999994</v>
      </c>
      <c r="Q1194" s="164">
        <v>0</v>
      </c>
      <c r="R1194" s="164">
        <v>0</v>
      </c>
      <c r="S1194" s="164">
        <f>P1194-Q1194-R1194</f>
        <v>4454195.3999999994</v>
      </c>
      <c r="T1194" s="167">
        <f t="shared" si="363"/>
        <v>4562.3224418723748</v>
      </c>
      <c r="U1194" s="167">
        <v>5450.9784185188973</v>
      </c>
      <c r="V1194" s="149">
        <f>U1194-T1194</f>
        <v>888.6559766465225</v>
      </c>
      <c r="W1194" s="149">
        <f>X1194+Y1194+Z1194+AA1194+AB1194+AD1194+AF1194+AH1194+AJ1194+AL1194+AN1194+AO1194</f>
        <v>5450.9784185188973</v>
      </c>
      <c r="X1194" s="149">
        <v>0</v>
      </c>
      <c r="Y1194" s="368">
        <v>0</v>
      </c>
      <c r="Z1194" s="368">
        <v>0</v>
      </c>
      <c r="AA1194" s="368">
        <v>0</v>
      </c>
      <c r="AB1194" s="368">
        <v>0</v>
      </c>
      <c r="AC1194" s="368">
        <v>0</v>
      </c>
      <c r="AD1194" s="368">
        <v>0</v>
      </c>
      <c r="AE1194" s="368">
        <v>853</v>
      </c>
      <c r="AF1194" s="396">
        <f>6238.91*AE1194/I1194</f>
        <v>5450.9784185188973</v>
      </c>
      <c r="AG1194" s="368">
        <v>0</v>
      </c>
      <c r="AH1194" s="396">
        <v>0</v>
      </c>
      <c r="AI1194" s="368">
        <v>0</v>
      </c>
      <c r="AJ1194" s="396">
        <v>0</v>
      </c>
      <c r="AK1194" s="368">
        <v>0</v>
      </c>
      <c r="AL1194" s="368">
        <v>0</v>
      </c>
      <c r="AM1194" s="368">
        <v>0</v>
      </c>
      <c r="AN1194" s="368"/>
      <c r="AO1194" s="368">
        <v>0</v>
      </c>
      <c r="AP1194" s="152"/>
      <c r="DQ1194" s="123"/>
      <c r="DR1194" s="123"/>
      <c r="DS1194" s="123"/>
      <c r="EG1194" s="124"/>
      <c r="EP1194" s="125"/>
      <c r="FS1194" s="126"/>
      <c r="GI1194" s="127"/>
    </row>
    <row r="1195" spans="1:191" s="152" customFormat="1" ht="36" customHeight="1" x14ac:dyDescent="0.9">
      <c r="B1195" s="382" t="s">
        <v>902</v>
      </c>
      <c r="C1195" s="388"/>
      <c r="D1195" s="384" t="s">
        <v>903</v>
      </c>
      <c r="E1195" s="163" t="s">
        <v>903</v>
      </c>
      <c r="F1195" s="384" t="s">
        <v>903</v>
      </c>
      <c r="G1195" s="384" t="s">
        <v>903</v>
      </c>
      <c r="H1195" s="163" t="s">
        <v>903</v>
      </c>
      <c r="I1195" s="386">
        <f>I1196</f>
        <v>781.7</v>
      </c>
      <c r="J1195" s="164">
        <f>J1196</f>
        <v>722.5</v>
      </c>
      <c r="K1195" s="164">
        <f>K1196</f>
        <v>505.6</v>
      </c>
      <c r="L1195" s="165">
        <f>L1196</f>
        <v>25</v>
      </c>
      <c r="M1195" s="163" t="s">
        <v>903</v>
      </c>
      <c r="N1195" s="163" t="s">
        <v>903</v>
      </c>
      <c r="O1195" s="166" t="s">
        <v>903</v>
      </c>
      <c r="P1195" s="387">
        <v>5304624.57</v>
      </c>
      <c r="Q1195" s="167">
        <f>Q1196</f>
        <v>0</v>
      </c>
      <c r="R1195" s="167">
        <f>R1196</f>
        <v>0</v>
      </c>
      <c r="S1195" s="167">
        <f>S1196</f>
        <v>5304624.57</v>
      </c>
      <c r="T1195" s="387">
        <f t="shared" si="363"/>
        <v>6786.0107074325188</v>
      </c>
      <c r="U1195" s="387">
        <f>U1196</f>
        <v>7397.2226625303829</v>
      </c>
      <c r="V1195" s="149">
        <f t="shared" si="369"/>
        <v>611.21195509786412</v>
      </c>
      <c r="W1195" s="149"/>
      <c r="X1195" s="149"/>
      <c r="Y1195" s="368"/>
      <c r="Z1195" s="368"/>
      <c r="AA1195" s="368"/>
      <c r="AB1195" s="368"/>
      <c r="AC1195" s="368"/>
      <c r="AD1195" s="368"/>
      <c r="AE1195" s="368"/>
      <c r="AF1195" s="368"/>
      <c r="AG1195" s="368"/>
      <c r="AH1195" s="368"/>
      <c r="AI1195" s="368"/>
      <c r="AJ1195" s="368"/>
      <c r="AK1195" s="368"/>
      <c r="AL1195" s="368"/>
      <c r="AM1195" s="368"/>
      <c r="AN1195" s="368"/>
      <c r="AO1195" s="368"/>
    </row>
    <row r="1196" spans="1:191" s="121" customFormat="1" ht="36" customHeight="1" x14ac:dyDescent="0.9">
      <c r="A1196" s="152">
        <v>1</v>
      </c>
      <c r="B1196" s="90">
        <f>SUBTOTAL(103,$A$988:A1196)</f>
        <v>175</v>
      </c>
      <c r="C1196" s="176" t="s">
        <v>212</v>
      </c>
      <c r="D1196" s="163">
        <v>1968</v>
      </c>
      <c r="E1196" s="163"/>
      <c r="F1196" s="178" t="s">
        <v>270</v>
      </c>
      <c r="G1196" s="163">
        <v>2</v>
      </c>
      <c r="H1196" s="163">
        <v>2</v>
      </c>
      <c r="I1196" s="164">
        <v>781.7</v>
      </c>
      <c r="J1196" s="164">
        <v>722.5</v>
      </c>
      <c r="K1196" s="164">
        <v>505.6</v>
      </c>
      <c r="L1196" s="177">
        <v>25</v>
      </c>
      <c r="M1196" s="163" t="s">
        <v>268</v>
      </c>
      <c r="N1196" s="163" t="s">
        <v>272</v>
      </c>
      <c r="O1196" s="163" t="s">
        <v>335</v>
      </c>
      <c r="P1196" s="164">
        <v>5304624.57</v>
      </c>
      <c r="Q1196" s="164">
        <v>0</v>
      </c>
      <c r="R1196" s="164">
        <v>0</v>
      </c>
      <c r="S1196" s="164">
        <f>P1196-Q1196-R1196</f>
        <v>5304624.57</v>
      </c>
      <c r="T1196" s="167">
        <f t="shared" si="363"/>
        <v>6786.0107074325188</v>
      </c>
      <c r="U1196" s="167">
        <v>7397.2226625303829</v>
      </c>
      <c r="V1196" s="149">
        <f>U1196-T1196</f>
        <v>611.21195509786412</v>
      </c>
      <c r="W1196" s="149">
        <f>X1196+Y1196+Z1196+AA1196+AB1196+AD1196+AF1196+AH1196+AJ1196+AL1196+AN1196+AO1196</f>
        <v>7397.2226625303829</v>
      </c>
      <c r="X1196" s="149">
        <v>0</v>
      </c>
      <c r="Y1196" s="368">
        <v>0</v>
      </c>
      <c r="Z1196" s="368">
        <v>0</v>
      </c>
      <c r="AA1196" s="368">
        <v>0</v>
      </c>
      <c r="AB1196" s="368">
        <v>0</v>
      </c>
      <c r="AC1196" s="368">
        <v>0</v>
      </c>
      <c r="AD1196" s="368">
        <v>0</v>
      </c>
      <c r="AE1196" s="368">
        <v>926.83</v>
      </c>
      <c r="AF1196" s="396">
        <f>6238.91*AE1196/I1196</f>
        <v>7397.2226625303829</v>
      </c>
      <c r="AG1196" s="368">
        <v>0</v>
      </c>
      <c r="AH1196" s="396">
        <v>0</v>
      </c>
      <c r="AI1196" s="368">
        <v>0</v>
      </c>
      <c r="AJ1196" s="396">
        <v>0</v>
      </c>
      <c r="AK1196" s="368">
        <v>0</v>
      </c>
      <c r="AL1196" s="368">
        <v>0</v>
      </c>
      <c r="AM1196" s="368">
        <v>0</v>
      </c>
      <c r="AN1196" s="368"/>
      <c r="AO1196" s="368">
        <v>0</v>
      </c>
      <c r="AP1196" s="152"/>
      <c r="DQ1196" s="123"/>
      <c r="DR1196" s="123"/>
      <c r="DS1196" s="123"/>
      <c r="EG1196" s="124"/>
      <c r="EP1196" s="125"/>
      <c r="FS1196" s="126"/>
      <c r="GI1196" s="127"/>
    </row>
    <row r="1197" spans="1:191" s="152" customFormat="1" ht="36" customHeight="1" x14ac:dyDescent="0.9">
      <c r="B1197" s="382" t="s">
        <v>854</v>
      </c>
      <c r="C1197" s="388"/>
      <c r="D1197" s="384" t="s">
        <v>903</v>
      </c>
      <c r="E1197" s="163" t="s">
        <v>903</v>
      </c>
      <c r="F1197" s="384" t="s">
        <v>903</v>
      </c>
      <c r="G1197" s="384" t="s">
        <v>903</v>
      </c>
      <c r="H1197" s="163" t="s">
        <v>903</v>
      </c>
      <c r="I1197" s="386">
        <f>I1198</f>
        <v>736.7</v>
      </c>
      <c r="J1197" s="164">
        <f>J1198</f>
        <v>736.7</v>
      </c>
      <c r="K1197" s="164">
        <f>K1198</f>
        <v>450.8</v>
      </c>
      <c r="L1197" s="165">
        <f>L1198</f>
        <v>42</v>
      </c>
      <c r="M1197" s="163" t="s">
        <v>903</v>
      </c>
      <c r="N1197" s="163" t="s">
        <v>903</v>
      </c>
      <c r="O1197" s="166" t="s">
        <v>903</v>
      </c>
      <c r="P1197" s="387">
        <v>3231458.3</v>
      </c>
      <c r="Q1197" s="167">
        <f>Q1198</f>
        <v>0</v>
      </c>
      <c r="R1197" s="167">
        <f>R1198</f>
        <v>1851570.68</v>
      </c>
      <c r="S1197" s="167">
        <f>S1198</f>
        <v>1379887.6199999999</v>
      </c>
      <c r="T1197" s="387">
        <f t="shared" si="363"/>
        <v>4386.3964978960221</v>
      </c>
      <c r="U1197" s="387">
        <f>U1198</f>
        <v>6773.6504411565084</v>
      </c>
      <c r="V1197" s="149">
        <f t="shared" si="369"/>
        <v>2387.2539432604863</v>
      </c>
      <c r="W1197" s="149"/>
      <c r="X1197" s="149"/>
      <c r="Y1197" s="368"/>
      <c r="Z1197" s="368"/>
      <c r="AA1197" s="368"/>
      <c r="AB1197" s="368"/>
      <c r="AC1197" s="368"/>
      <c r="AD1197" s="368"/>
      <c r="AE1197" s="368"/>
      <c r="AF1197" s="368"/>
      <c r="AG1197" s="368"/>
      <c r="AH1197" s="368"/>
      <c r="AI1197" s="368"/>
      <c r="AJ1197" s="368"/>
      <c r="AK1197" s="368"/>
      <c r="AL1197" s="368"/>
      <c r="AM1197" s="368"/>
      <c r="AN1197" s="368"/>
      <c r="AO1197" s="368"/>
    </row>
    <row r="1198" spans="1:191" s="121" customFormat="1" ht="36" customHeight="1" x14ac:dyDescent="0.9">
      <c r="A1198" s="152">
        <v>1</v>
      </c>
      <c r="B1198" s="90">
        <f>SUBTOTAL(103,$A$988:A1198)</f>
        <v>176</v>
      </c>
      <c r="C1198" s="176" t="s">
        <v>66</v>
      </c>
      <c r="D1198" s="163">
        <v>1978</v>
      </c>
      <c r="E1198" s="163"/>
      <c r="F1198" s="178" t="s">
        <v>270</v>
      </c>
      <c r="G1198" s="163">
        <v>2</v>
      </c>
      <c r="H1198" s="163">
        <v>2</v>
      </c>
      <c r="I1198" s="164">
        <v>736.7</v>
      </c>
      <c r="J1198" s="164">
        <v>736.7</v>
      </c>
      <c r="K1198" s="164">
        <v>450.8</v>
      </c>
      <c r="L1198" s="177">
        <v>42</v>
      </c>
      <c r="M1198" s="163" t="s">
        <v>268</v>
      </c>
      <c r="N1198" s="163" t="s">
        <v>269</v>
      </c>
      <c r="O1198" s="163" t="s">
        <v>271</v>
      </c>
      <c r="P1198" s="164">
        <v>3231458.3</v>
      </c>
      <c r="Q1198" s="164">
        <v>0</v>
      </c>
      <c r="R1198" s="164">
        <v>1851570.68</v>
      </c>
      <c r="S1198" s="164">
        <f>P1198-Q1198-R1198</f>
        <v>1379887.6199999999</v>
      </c>
      <c r="T1198" s="167">
        <f t="shared" si="363"/>
        <v>4386.3964978960221</v>
      </c>
      <c r="U1198" s="167">
        <v>6773.6504411565084</v>
      </c>
      <c r="V1198" s="149">
        <f>U1198-T1198</f>
        <v>2387.2539432604863</v>
      </c>
      <c r="W1198" s="149">
        <f>X1198+Y1198+Z1198+AA1198+AB1198+AD1198+AF1198+AH1198+AJ1198+AL1198+AN1198+AO1198</f>
        <v>6773.6504411565084</v>
      </c>
      <c r="X1198" s="149">
        <v>0</v>
      </c>
      <c r="Y1198" s="368">
        <v>0</v>
      </c>
      <c r="Z1198" s="368">
        <v>0</v>
      </c>
      <c r="AA1198" s="368">
        <v>0</v>
      </c>
      <c r="AB1198" s="368">
        <v>0</v>
      </c>
      <c r="AC1198" s="368">
        <v>0</v>
      </c>
      <c r="AD1198" s="368">
        <v>0</v>
      </c>
      <c r="AE1198" s="368">
        <v>0</v>
      </c>
      <c r="AF1198" s="396">
        <v>0</v>
      </c>
      <c r="AG1198" s="368">
        <v>0</v>
      </c>
      <c r="AH1198" s="396">
        <v>0</v>
      </c>
      <c r="AI1198" s="368">
        <v>670.8</v>
      </c>
      <c r="AJ1198" s="397">
        <f>7439.1*AI1198/I1198</f>
        <v>6773.6504411565084</v>
      </c>
      <c r="AK1198" s="368">
        <v>0</v>
      </c>
      <c r="AL1198" s="368">
        <v>0</v>
      </c>
      <c r="AM1198" s="368">
        <v>0</v>
      </c>
      <c r="AN1198" s="368"/>
      <c r="AO1198" s="368">
        <v>0</v>
      </c>
      <c r="AP1198" s="152"/>
      <c r="DQ1198" s="123"/>
      <c r="DR1198" s="123"/>
      <c r="DS1198" s="123"/>
      <c r="EG1198" s="124"/>
      <c r="EP1198" s="125"/>
      <c r="FS1198" s="126"/>
      <c r="GI1198" s="127"/>
    </row>
    <row r="1199" spans="1:191" s="152" customFormat="1" ht="36" customHeight="1" x14ac:dyDescent="0.9">
      <c r="B1199" s="382" t="s">
        <v>856</v>
      </c>
      <c r="C1199" s="382"/>
      <c r="D1199" s="384" t="s">
        <v>903</v>
      </c>
      <c r="E1199" s="163" t="s">
        <v>903</v>
      </c>
      <c r="F1199" s="384" t="s">
        <v>903</v>
      </c>
      <c r="G1199" s="384" t="s">
        <v>903</v>
      </c>
      <c r="H1199" s="163" t="s">
        <v>903</v>
      </c>
      <c r="I1199" s="386">
        <f>SUM(I1200:I1202)</f>
        <v>9352.4</v>
      </c>
      <c r="J1199" s="164">
        <f>SUM(J1200:J1202)</f>
        <v>9253</v>
      </c>
      <c r="K1199" s="164">
        <f>SUM(K1200:K1202)</f>
        <v>9002.2999999999993</v>
      </c>
      <c r="L1199" s="165">
        <f>SUM(L1200:L1202)</f>
        <v>371</v>
      </c>
      <c r="M1199" s="163" t="s">
        <v>903</v>
      </c>
      <c r="N1199" s="163" t="s">
        <v>903</v>
      </c>
      <c r="O1199" s="166" t="s">
        <v>903</v>
      </c>
      <c r="P1199" s="387">
        <v>16849360.93</v>
      </c>
      <c r="Q1199" s="167">
        <f>Q1200+Q1201+Q1202</f>
        <v>0</v>
      </c>
      <c r="R1199" s="167">
        <f>R1200+R1201+R1202</f>
        <v>0</v>
      </c>
      <c r="S1199" s="167">
        <f>S1200+S1201+S1202</f>
        <v>16849360.93</v>
      </c>
      <c r="T1199" s="387">
        <f t="shared" si="363"/>
        <v>1801.6082428039863</v>
      </c>
      <c r="U1199" s="387">
        <f>MAX(U1200:U1202)</f>
        <v>3791.6299999999997</v>
      </c>
      <c r="V1199" s="149">
        <f t="shared" si="369"/>
        <v>1990.0217571960134</v>
      </c>
      <c r="W1199" s="149"/>
      <c r="X1199" s="149"/>
      <c r="Y1199" s="368"/>
      <c r="Z1199" s="368"/>
      <c r="AA1199" s="368"/>
      <c r="AB1199" s="368"/>
      <c r="AC1199" s="368"/>
      <c r="AD1199" s="368"/>
      <c r="AE1199" s="368"/>
      <c r="AF1199" s="368"/>
      <c r="AG1199" s="368"/>
      <c r="AH1199" s="368"/>
      <c r="AI1199" s="368"/>
      <c r="AJ1199" s="368"/>
      <c r="AK1199" s="368"/>
      <c r="AL1199" s="368"/>
      <c r="AM1199" s="368"/>
      <c r="AN1199" s="368"/>
      <c r="AO1199" s="368"/>
    </row>
    <row r="1200" spans="1:191" s="121" customFormat="1" ht="36" customHeight="1" x14ac:dyDescent="0.9">
      <c r="A1200" s="152">
        <v>1</v>
      </c>
      <c r="B1200" s="90">
        <f>SUBTOTAL(103,$A$988:A1200)</f>
        <v>177</v>
      </c>
      <c r="C1200" s="176" t="s">
        <v>69</v>
      </c>
      <c r="D1200" s="163">
        <v>1977</v>
      </c>
      <c r="E1200" s="163"/>
      <c r="F1200" s="178" t="s">
        <v>270</v>
      </c>
      <c r="G1200" s="163">
        <v>5</v>
      </c>
      <c r="H1200" s="163">
        <v>6</v>
      </c>
      <c r="I1200" s="164">
        <v>4338.6000000000004</v>
      </c>
      <c r="J1200" s="164">
        <v>4331.6000000000004</v>
      </c>
      <c r="K1200" s="164">
        <v>4154.6000000000004</v>
      </c>
      <c r="L1200" s="177">
        <v>174</v>
      </c>
      <c r="M1200" s="163" t="s">
        <v>268</v>
      </c>
      <c r="N1200" s="163" t="s">
        <v>272</v>
      </c>
      <c r="O1200" s="163" t="s">
        <v>274</v>
      </c>
      <c r="P1200" s="164">
        <v>5782944.25</v>
      </c>
      <c r="Q1200" s="164">
        <v>0</v>
      </c>
      <c r="R1200" s="164">
        <v>0</v>
      </c>
      <c r="S1200" s="164">
        <f>P1200-Q1200-R1200</f>
        <v>5782944.25</v>
      </c>
      <c r="T1200" s="167">
        <f t="shared" si="363"/>
        <v>1332.905603189969</v>
      </c>
      <c r="U1200" s="167">
        <v>1506.4495726732123</v>
      </c>
      <c r="V1200" s="149">
        <f t="shared" si="369"/>
        <v>173.54396948324325</v>
      </c>
      <c r="W1200" s="149">
        <f t="shared" ref="W1200:W1202" si="376">X1200+Y1200+Z1200+AA1200+AB1200+AD1200+AF1200+AH1200+AJ1200+AL1200+AN1200+AO1200</f>
        <v>1506.4495726732123</v>
      </c>
      <c r="X1200" s="149">
        <v>0</v>
      </c>
      <c r="Y1200" s="368">
        <v>0</v>
      </c>
      <c r="Z1200" s="368">
        <v>0</v>
      </c>
      <c r="AA1200" s="368">
        <v>0</v>
      </c>
      <c r="AB1200" s="368">
        <v>0</v>
      </c>
      <c r="AC1200" s="368">
        <v>0</v>
      </c>
      <c r="AD1200" s="368">
        <v>0</v>
      </c>
      <c r="AE1200" s="368">
        <v>1047.5999999999999</v>
      </c>
      <c r="AF1200" s="396">
        <f t="shared" ref="AF1200:AF1201" si="377">6238.91*AE1200/I1200</f>
        <v>1506.4495726732123</v>
      </c>
      <c r="AG1200" s="368">
        <v>0</v>
      </c>
      <c r="AH1200" s="396">
        <v>0</v>
      </c>
      <c r="AI1200" s="368">
        <v>0</v>
      </c>
      <c r="AJ1200" s="396">
        <v>0</v>
      </c>
      <c r="AK1200" s="368">
        <v>0</v>
      </c>
      <c r="AL1200" s="368">
        <v>0</v>
      </c>
      <c r="AM1200" s="368">
        <v>0</v>
      </c>
      <c r="AN1200" s="368"/>
      <c r="AO1200" s="368">
        <v>0</v>
      </c>
      <c r="AP1200" s="152"/>
      <c r="DQ1200" s="123"/>
      <c r="DR1200" s="123"/>
      <c r="DS1200" s="123"/>
      <c r="EG1200" s="124"/>
      <c r="EP1200" s="125"/>
      <c r="FS1200" s="126"/>
      <c r="GI1200" s="127"/>
    </row>
    <row r="1201" spans="1:191" s="121" customFormat="1" ht="36" customHeight="1" x14ac:dyDescent="0.9">
      <c r="A1201" s="152">
        <v>1</v>
      </c>
      <c r="B1201" s="90">
        <f>SUBTOTAL(103,$A$988:A1201)</f>
        <v>178</v>
      </c>
      <c r="C1201" s="176" t="s">
        <v>68</v>
      </c>
      <c r="D1201" s="163">
        <v>1965</v>
      </c>
      <c r="E1201" s="163"/>
      <c r="F1201" s="178" t="s">
        <v>270</v>
      </c>
      <c r="G1201" s="163">
        <v>4</v>
      </c>
      <c r="H1201" s="163">
        <v>4</v>
      </c>
      <c r="I1201" s="164">
        <v>2512.9</v>
      </c>
      <c r="J1201" s="164">
        <v>2463.4</v>
      </c>
      <c r="K1201" s="164">
        <v>2431.4</v>
      </c>
      <c r="L1201" s="177">
        <v>86</v>
      </c>
      <c r="M1201" s="163" t="s">
        <v>268</v>
      </c>
      <c r="N1201" s="163" t="s">
        <v>272</v>
      </c>
      <c r="O1201" s="163" t="s">
        <v>274</v>
      </c>
      <c r="P1201" s="164">
        <v>6823737.3099999996</v>
      </c>
      <c r="Q1201" s="164">
        <v>0</v>
      </c>
      <c r="R1201" s="164">
        <v>0</v>
      </c>
      <c r="S1201" s="164">
        <f>P1201-Q1201-R1201</f>
        <v>6823737.3099999996</v>
      </c>
      <c r="T1201" s="167">
        <f t="shared" si="363"/>
        <v>2715.4830315571648</v>
      </c>
      <c r="U1201" s="167">
        <v>3075.8826849456805</v>
      </c>
      <c r="V1201" s="149">
        <f t="shared" si="369"/>
        <v>360.39965338851562</v>
      </c>
      <c r="W1201" s="149">
        <f t="shared" si="376"/>
        <v>3075.8826849456805</v>
      </c>
      <c r="X1201" s="149">
        <v>0</v>
      </c>
      <c r="Y1201" s="368">
        <v>0</v>
      </c>
      <c r="Z1201" s="368">
        <v>0</v>
      </c>
      <c r="AA1201" s="368">
        <v>0</v>
      </c>
      <c r="AB1201" s="368">
        <v>0</v>
      </c>
      <c r="AC1201" s="368">
        <v>0</v>
      </c>
      <c r="AD1201" s="368">
        <v>0</v>
      </c>
      <c r="AE1201" s="368">
        <v>1238.9000000000001</v>
      </c>
      <c r="AF1201" s="396">
        <f t="shared" si="377"/>
        <v>3075.8826849456805</v>
      </c>
      <c r="AG1201" s="368">
        <v>0</v>
      </c>
      <c r="AH1201" s="396">
        <v>0</v>
      </c>
      <c r="AI1201" s="368">
        <v>0</v>
      </c>
      <c r="AJ1201" s="396">
        <v>0</v>
      </c>
      <c r="AK1201" s="368">
        <v>0</v>
      </c>
      <c r="AL1201" s="368">
        <v>0</v>
      </c>
      <c r="AM1201" s="368">
        <v>0</v>
      </c>
      <c r="AN1201" s="368"/>
      <c r="AO1201" s="368">
        <v>0</v>
      </c>
      <c r="AP1201" s="152"/>
      <c r="DQ1201" s="123"/>
      <c r="DR1201" s="123"/>
      <c r="DS1201" s="123"/>
      <c r="EG1201" s="124"/>
      <c r="EP1201" s="125"/>
      <c r="FS1201" s="126"/>
      <c r="GI1201" s="127"/>
    </row>
    <row r="1202" spans="1:191" s="121" customFormat="1" ht="36" customHeight="1" x14ac:dyDescent="0.9">
      <c r="A1202" s="152">
        <v>1</v>
      </c>
      <c r="B1202" s="90">
        <f>SUBTOTAL(103,$A$988:A1202)</f>
        <v>179</v>
      </c>
      <c r="C1202" s="176" t="s">
        <v>67</v>
      </c>
      <c r="D1202" s="163">
        <v>1967</v>
      </c>
      <c r="E1202" s="163"/>
      <c r="F1202" s="178" t="s">
        <v>270</v>
      </c>
      <c r="G1202" s="163">
        <v>4</v>
      </c>
      <c r="H1202" s="163">
        <v>4</v>
      </c>
      <c r="I1202" s="164">
        <v>2500.9</v>
      </c>
      <c r="J1202" s="164">
        <v>2458</v>
      </c>
      <c r="K1202" s="164">
        <v>2416.3000000000002</v>
      </c>
      <c r="L1202" s="177">
        <v>111</v>
      </c>
      <c r="M1202" s="163" t="s">
        <v>268</v>
      </c>
      <c r="N1202" s="163" t="s">
        <v>272</v>
      </c>
      <c r="O1202" s="163" t="s">
        <v>274</v>
      </c>
      <c r="P1202" s="164">
        <v>4242679.37</v>
      </c>
      <c r="Q1202" s="164">
        <v>0</v>
      </c>
      <c r="R1202" s="164">
        <v>0</v>
      </c>
      <c r="S1202" s="164">
        <f>P1202-Q1202-R1202</f>
        <v>4242679.37</v>
      </c>
      <c r="T1202" s="167">
        <f t="shared" si="363"/>
        <v>1696.4610220320685</v>
      </c>
      <c r="U1202" s="167">
        <v>3791.6299999999997</v>
      </c>
      <c r="V1202" s="149">
        <f t="shared" si="369"/>
        <v>2095.1689779679309</v>
      </c>
      <c r="W1202" s="149">
        <f t="shared" si="376"/>
        <v>3791.6299999999997</v>
      </c>
      <c r="X1202" s="149">
        <v>101.55</v>
      </c>
      <c r="Y1202" s="368">
        <v>245.44</v>
      </c>
      <c r="Z1202" s="368">
        <v>3259.66</v>
      </c>
      <c r="AA1202" s="368">
        <v>184.98</v>
      </c>
      <c r="AB1202" s="368">
        <v>0</v>
      </c>
      <c r="AC1202" s="368">
        <v>0</v>
      </c>
      <c r="AD1202" s="368">
        <v>0</v>
      </c>
      <c r="AE1202" s="368">
        <v>0</v>
      </c>
      <c r="AF1202" s="396">
        <v>0</v>
      </c>
      <c r="AG1202" s="368">
        <v>0</v>
      </c>
      <c r="AH1202" s="396">
        <v>0</v>
      </c>
      <c r="AI1202" s="368">
        <v>0</v>
      </c>
      <c r="AJ1202" s="396">
        <v>0</v>
      </c>
      <c r="AK1202" s="368">
        <v>0</v>
      </c>
      <c r="AL1202" s="368">
        <v>0</v>
      </c>
      <c r="AM1202" s="368">
        <v>0</v>
      </c>
      <c r="AN1202" s="368"/>
      <c r="AO1202" s="368">
        <v>0</v>
      </c>
      <c r="AP1202" s="152"/>
      <c r="DQ1202" s="123"/>
      <c r="DR1202" s="123"/>
      <c r="DS1202" s="123"/>
      <c r="EG1202" s="124"/>
      <c r="EP1202" s="125"/>
      <c r="FS1202" s="126"/>
      <c r="GI1202" s="127"/>
    </row>
    <row r="1203" spans="1:191" s="152" customFormat="1" ht="36" customHeight="1" x14ac:dyDescent="0.9">
      <c r="B1203" s="382" t="s">
        <v>857</v>
      </c>
      <c r="C1203" s="382"/>
      <c r="D1203" s="384" t="s">
        <v>903</v>
      </c>
      <c r="E1203" s="163" t="s">
        <v>903</v>
      </c>
      <c r="F1203" s="384" t="s">
        <v>903</v>
      </c>
      <c r="G1203" s="384" t="s">
        <v>903</v>
      </c>
      <c r="H1203" s="163" t="s">
        <v>903</v>
      </c>
      <c r="I1203" s="386">
        <f>I1204</f>
        <v>2168.41</v>
      </c>
      <c r="J1203" s="164">
        <f>J1204</f>
        <v>1286.56</v>
      </c>
      <c r="K1203" s="164">
        <f>K1204</f>
        <v>1251.51</v>
      </c>
      <c r="L1203" s="165">
        <f>L1204</f>
        <v>62</v>
      </c>
      <c r="M1203" s="163" t="s">
        <v>903</v>
      </c>
      <c r="N1203" s="163" t="s">
        <v>903</v>
      </c>
      <c r="O1203" s="166" t="s">
        <v>903</v>
      </c>
      <c r="P1203" s="387">
        <v>2872957.67</v>
      </c>
      <c r="Q1203" s="167">
        <f>Q1204</f>
        <v>0</v>
      </c>
      <c r="R1203" s="167">
        <f>R1204</f>
        <v>0</v>
      </c>
      <c r="S1203" s="167">
        <f>S1204</f>
        <v>2872957.67</v>
      </c>
      <c r="T1203" s="387">
        <f t="shared" si="363"/>
        <v>1324.9144165540649</v>
      </c>
      <c r="U1203" s="387">
        <f>U1204</f>
        <v>2576.4374197684019</v>
      </c>
      <c r="V1203" s="149">
        <f t="shared" si="369"/>
        <v>1251.523003214337</v>
      </c>
      <c r="W1203" s="149"/>
      <c r="X1203" s="149"/>
      <c r="Y1203" s="368"/>
      <c r="Z1203" s="368"/>
      <c r="AA1203" s="368"/>
      <c r="AB1203" s="368"/>
      <c r="AC1203" s="368"/>
      <c r="AD1203" s="368"/>
      <c r="AE1203" s="368"/>
      <c r="AF1203" s="368"/>
      <c r="AG1203" s="368"/>
      <c r="AH1203" s="368"/>
      <c r="AI1203" s="368"/>
      <c r="AJ1203" s="368"/>
      <c r="AK1203" s="368"/>
      <c r="AL1203" s="368"/>
      <c r="AM1203" s="368"/>
      <c r="AN1203" s="368"/>
      <c r="AO1203" s="368"/>
    </row>
    <row r="1204" spans="1:191" s="121" customFormat="1" ht="36" customHeight="1" x14ac:dyDescent="0.9">
      <c r="A1204" s="152">
        <v>1</v>
      </c>
      <c r="B1204" s="90">
        <f>SUBTOTAL(103,$A$988:A1204)</f>
        <v>180</v>
      </c>
      <c r="C1204" s="176" t="s">
        <v>65</v>
      </c>
      <c r="D1204" s="163">
        <v>1954</v>
      </c>
      <c r="E1204" s="163"/>
      <c r="F1204" s="178" t="s">
        <v>270</v>
      </c>
      <c r="G1204" s="163">
        <v>3</v>
      </c>
      <c r="H1204" s="163">
        <v>3</v>
      </c>
      <c r="I1204" s="164">
        <v>2168.41</v>
      </c>
      <c r="J1204" s="164">
        <v>1286.56</v>
      </c>
      <c r="K1204" s="164">
        <v>1251.51</v>
      </c>
      <c r="L1204" s="177">
        <v>62</v>
      </c>
      <c r="M1204" s="163" t="s">
        <v>268</v>
      </c>
      <c r="N1204" s="163" t="s">
        <v>272</v>
      </c>
      <c r="O1204" s="163" t="s">
        <v>275</v>
      </c>
      <c r="P1204" s="164">
        <v>2872957.67</v>
      </c>
      <c r="Q1204" s="164">
        <v>0</v>
      </c>
      <c r="R1204" s="164">
        <v>0</v>
      </c>
      <c r="S1204" s="164">
        <f>P1204-Q1204-R1204</f>
        <v>2872957.67</v>
      </c>
      <c r="T1204" s="167">
        <f t="shared" si="363"/>
        <v>1324.9144165540649</v>
      </c>
      <c r="U1204" s="167">
        <v>2576.4374197684019</v>
      </c>
      <c r="V1204" s="149">
        <f>U1204-T1204</f>
        <v>1251.523003214337</v>
      </c>
      <c r="W1204" s="149">
        <f>X1204+Y1204+Z1204+AA1204+AB1204+AD1204+AF1204+AH1204+AJ1204+AL1204+AN1204+AO1204</f>
        <v>2576.4374197684019</v>
      </c>
      <c r="X1204" s="149">
        <v>0</v>
      </c>
      <c r="Y1204" s="368">
        <v>0</v>
      </c>
      <c r="Z1204" s="368">
        <v>0</v>
      </c>
      <c r="AA1204" s="368">
        <v>0</v>
      </c>
      <c r="AB1204" s="368">
        <v>0</v>
      </c>
      <c r="AC1204" s="368">
        <v>0</v>
      </c>
      <c r="AD1204" s="368">
        <v>0</v>
      </c>
      <c r="AE1204" s="368">
        <v>0</v>
      </c>
      <c r="AF1204" s="396">
        <v>0</v>
      </c>
      <c r="AG1204" s="368">
        <v>0</v>
      </c>
      <c r="AH1204" s="396">
        <v>0</v>
      </c>
      <c r="AI1204" s="368">
        <v>0</v>
      </c>
      <c r="AJ1204" s="396">
        <v>0</v>
      </c>
      <c r="AK1204" s="368">
        <v>72.77</v>
      </c>
      <c r="AL1204" s="396">
        <f>76773.02*AK1204/I1204</f>
        <v>2576.4374197684019</v>
      </c>
      <c r="AM1204" s="368">
        <v>0</v>
      </c>
      <c r="AN1204" s="368"/>
      <c r="AO1204" s="368">
        <v>0</v>
      </c>
      <c r="AP1204" s="152"/>
      <c r="DQ1204" s="123"/>
      <c r="DR1204" s="123"/>
      <c r="DS1204" s="123"/>
      <c r="EG1204" s="124"/>
      <c r="EP1204" s="125"/>
      <c r="FS1204" s="126"/>
      <c r="GI1204" s="127"/>
    </row>
    <row r="1205" spans="1:191" s="152" customFormat="1" ht="36" customHeight="1" x14ac:dyDescent="0.9">
      <c r="B1205" s="382" t="s">
        <v>858</v>
      </c>
      <c r="C1205" s="382"/>
      <c r="D1205" s="384" t="s">
        <v>903</v>
      </c>
      <c r="E1205" s="163" t="s">
        <v>903</v>
      </c>
      <c r="F1205" s="384" t="s">
        <v>903</v>
      </c>
      <c r="G1205" s="384" t="s">
        <v>903</v>
      </c>
      <c r="H1205" s="163" t="s">
        <v>903</v>
      </c>
      <c r="I1205" s="386">
        <f>I1206</f>
        <v>780.3</v>
      </c>
      <c r="J1205" s="164">
        <f>J1206</f>
        <v>720.3</v>
      </c>
      <c r="K1205" s="164">
        <f>K1206</f>
        <v>720.3</v>
      </c>
      <c r="L1205" s="165">
        <f>L1206</f>
        <v>24</v>
      </c>
      <c r="M1205" s="163" t="s">
        <v>903</v>
      </c>
      <c r="N1205" s="163" t="s">
        <v>903</v>
      </c>
      <c r="O1205" s="166" t="s">
        <v>903</v>
      </c>
      <c r="P1205" s="387">
        <v>2311215.4500000002</v>
      </c>
      <c r="Q1205" s="167">
        <f>Q1206</f>
        <v>0</v>
      </c>
      <c r="R1205" s="167">
        <f>R1206</f>
        <v>0</v>
      </c>
      <c r="S1205" s="167">
        <f>S1206</f>
        <v>2311215.4500000002</v>
      </c>
      <c r="T1205" s="387">
        <f t="shared" si="363"/>
        <v>2961.9575163398695</v>
      </c>
      <c r="U1205" s="387">
        <f>U1206</f>
        <v>3757.8978597975138</v>
      </c>
      <c r="V1205" s="149">
        <f t="shared" si="369"/>
        <v>795.9403434576443</v>
      </c>
      <c r="W1205" s="149"/>
      <c r="X1205" s="149"/>
      <c r="Y1205" s="368"/>
      <c r="Z1205" s="368"/>
      <c r="AA1205" s="368"/>
      <c r="AB1205" s="368"/>
      <c r="AC1205" s="368"/>
      <c r="AD1205" s="368"/>
      <c r="AE1205" s="368"/>
      <c r="AF1205" s="368"/>
      <c r="AG1205" s="368"/>
      <c r="AH1205" s="368"/>
      <c r="AI1205" s="368"/>
      <c r="AJ1205" s="368"/>
      <c r="AK1205" s="368"/>
      <c r="AL1205" s="368"/>
      <c r="AM1205" s="368"/>
      <c r="AN1205" s="368"/>
      <c r="AO1205" s="368"/>
    </row>
    <row r="1206" spans="1:191" s="121" customFormat="1" ht="36" customHeight="1" x14ac:dyDescent="0.9">
      <c r="A1206" s="152">
        <v>1</v>
      </c>
      <c r="B1206" s="90">
        <f>SUBTOTAL(103,$A$988:A1206)</f>
        <v>181</v>
      </c>
      <c r="C1206" s="176" t="s">
        <v>64</v>
      </c>
      <c r="D1206" s="163">
        <v>1964</v>
      </c>
      <c r="E1206" s="163"/>
      <c r="F1206" s="178" t="s">
        <v>270</v>
      </c>
      <c r="G1206" s="163">
        <v>2</v>
      </c>
      <c r="H1206" s="163">
        <v>2</v>
      </c>
      <c r="I1206" s="164">
        <v>780.3</v>
      </c>
      <c r="J1206" s="164">
        <v>720.3</v>
      </c>
      <c r="K1206" s="164">
        <v>720.3</v>
      </c>
      <c r="L1206" s="177">
        <v>24</v>
      </c>
      <c r="M1206" s="163" t="s">
        <v>268</v>
      </c>
      <c r="N1206" s="163" t="s">
        <v>272</v>
      </c>
      <c r="O1206" s="163" t="s">
        <v>276</v>
      </c>
      <c r="P1206" s="164">
        <v>2311215.4500000002</v>
      </c>
      <c r="Q1206" s="164">
        <v>0</v>
      </c>
      <c r="R1206" s="164">
        <v>0</v>
      </c>
      <c r="S1206" s="164">
        <f>P1206-Q1206-R1206</f>
        <v>2311215.4500000002</v>
      </c>
      <c r="T1206" s="167">
        <f t="shared" si="363"/>
        <v>2961.9575163398695</v>
      </c>
      <c r="U1206" s="167">
        <v>3757.8978597975138</v>
      </c>
      <c r="V1206" s="149">
        <f>U1206-T1206</f>
        <v>795.9403434576443</v>
      </c>
      <c r="W1206" s="149">
        <f>X1206+Y1206+Z1206+AA1206+AB1206+AD1206+AF1206+AH1206+AJ1206+AL1206+AN1206+AO1206</f>
        <v>3757.8978597975138</v>
      </c>
      <c r="X1206" s="149">
        <v>0</v>
      </c>
      <c r="Y1206" s="368">
        <v>0</v>
      </c>
      <c r="Z1206" s="368">
        <v>0</v>
      </c>
      <c r="AA1206" s="368">
        <v>0</v>
      </c>
      <c r="AB1206" s="368">
        <v>0</v>
      </c>
      <c r="AC1206" s="368">
        <v>0</v>
      </c>
      <c r="AD1206" s="368">
        <v>0</v>
      </c>
      <c r="AE1206" s="368">
        <v>470</v>
      </c>
      <c r="AF1206" s="396">
        <f>6238.91*AE1206/I1206</f>
        <v>3757.8978597975138</v>
      </c>
      <c r="AG1206" s="368">
        <v>0</v>
      </c>
      <c r="AH1206" s="396">
        <v>0</v>
      </c>
      <c r="AI1206" s="368">
        <v>0</v>
      </c>
      <c r="AJ1206" s="396">
        <v>0</v>
      </c>
      <c r="AK1206" s="368">
        <v>0</v>
      </c>
      <c r="AL1206" s="368">
        <v>0</v>
      </c>
      <c r="AM1206" s="368">
        <v>0</v>
      </c>
      <c r="AN1206" s="368"/>
      <c r="AO1206" s="368">
        <v>0</v>
      </c>
      <c r="AP1206" s="152"/>
      <c r="DQ1206" s="123"/>
      <c r="DR1206" s="123"/>
      <c r="DS1206" s="123"/>
      <c r="EG1206" s="124"/>
      <c r="EP1206" s="125"/>
      <c r="FS1206" s="126"/>
      <c r="GI1206" s="127"/>
    </row>
    <row r="1207" spans="1:191" s="152" customFormat="1" ht="36" customHeight="1" x14ac:dyDescent="0.9">
      <c r="B1207" s="382" t="s">
        <v>896</v>
      </c>
      <c r="C1207" s="382"/>
      <c r="D1207" s="384" t="s">
        <v>903</v>
      </c>
      <c r="E1207" s="163" t="s">
        <v>903</v>
      </c>
      <c r="F1207" s="384" t="s">
        <v>903</v>
      </c>
      <c r="G1207" s="384" t="s">
        <v>903</v>
      </c>
      <c r="H1207" s="163" t="s">
        <v>903</v>
      </c>
      <c r="I1207" s="386">
        <f>I1208</f>
        <v>540.79999999999995</v>
      </c>
      <c r="J1207" s="164">
        <f>J1208</f>
        <v>281.10000000000002</v>
      </c>
      <c r="K1207" s="164">
        <f>K1208</f>
        <v>251.8</v>
      </c>
      <c r="L1207" s="165">
        <f>L1208</f>
        <v>15</v>
      </c>
      <c r="M1207" s="163" t="s">
        <v>903</v>
      </c>
      <c r="N1207" s="163" t="s">
        <v>903</v>
      </c>
      <c r="O1207" s="166" t="s">
        <v>903</v>
      </c>
      <c r="P1207" s="387">
        <v>3215375.5700000003</v>
      </c>
      <c r="Q1207" s="167">
        <f>Q1208</f>
        <v>0</v>
      </c>
      <c r="R1207" s="167">
        <f>R1208</f>
        <v>0</v>
      </c>
      <c r="S1207" s="167">
        <f>S1208</f>
        <v>3215375.5700000003</v>
      </c>
      <c r="T1207" s="387">
        <f t="shared" si="363"/>
        <v>5945.5909208579897</v>
      </c>
      <c r="U1207" s="387">
        <f>U1208</f>
        <v>7103.6819926035505</v>
      </c>
      <c r="V1207" s="149">
        <f t="shared" si="369"/>
        <v>1158.0910717455608</v>
      </c>
      <c r="W1207" s="149"/>
      <c r="X1207" s="149"/>
      <c r="Y1207" s="368"/>
      <c r="Z1207" s="368"/>
      <c r="AA1207" s="368"/>
      <c r="AB1207" s="368"/>
      <c r="AC1207" s="368"/>
      <c r="AD1207" s="368"/>
      <c r="AE1207" s="368"/>
      <c r="AF1207" s="368"/>
      <c r="AG1207" s="368"/>
      <c r="AH1207" s="368"/>
      <c r="AI1207" s="368"/>
      <c r="AJ1207" s="368"/>
      <c r="AK1207" s="368"/>
      <c r="AL1207" s="368"/>
      <c r="AM1207" s="368"/>
      <c r="AN1207" s="368"/>
      <c r="AO1207" s="368"/>
    </row>
    <row r="1208" spans="1:191" s="121" customFormat="1" ht="36" customHeight="1" x14ac:dyDescent="0.9">
      <c r="A1208" s="152">
        <v>1</v>
      </c>
      <c r="B1208" s="90">
        <f>SUBTOTAL(103,$A$988:A1208)</f>
        <v>182</v>
      </c>
      <c r="C1208" s="176" t="s">
        <v>70</v>
      </c>
      <c r="D1208" s="163">
        <v>1958</v>
      </c>
      <c r="E1208" s="163"/>
      <c r="F1208" s="178" t="s">
        <v>270</v>
      </c>
      <c r="G1208" s="163">
        <v>2</v>
      </c>
      <c r="H1208" s="163">
        <v>2</v>
      </c>
      <c r="I1208" s="164">
        <v>540.79999999999995</v>
      </c>
      <c r="J1208" s="164">
        <v>281.10000000000002</v>
      </c>
      <c r="K1208" s="164">
        <v>251.8</v>
      </c>
      <c r="L1208" s="177">
        <v>15</v>
      </c>
      <c r="M1208" s="163" t="s">
        <v>268</v>
      </c>
      <c r="N1208" s="163" t="s">
        <v>269</v>
      </c>
      <c r="O1208" s="163" t="s">
        <v>271</v>
      </c>
      <c r="P1208" s="164">
        <v>3215375.5700000003</v>
      </c>
      <c r="Q1208" s="164">
        <v>0</v>
      </c>
      <c r="R1208" s="164">
        <v>0</v>
      </c>
      <c r="S1208" s="164">
        <f>P1208-Q1208-R1208</f>
        <v>3215375.5700000003</v>
      </c>
      <c r="T1208" s="167">
        <f t="shared" si="363"/>
        <v>5945.5909208579897</v>
      </c>
      <c r="U1208" s="167">
        <v>7103.6819926035505</v>
      </c>
      <c r="V1208" s="149">
        <f>U1208-T1208</f>
        <v>1158.0910717455608</v>
      </c>
      <c r="W1208" s="149">
        <f>X1208+Y1208+Z1208+AA1208+AB1208+AD1208+AF1208+AH1208+AJ1208+AL1208+AN1208+AO1208</f>
        <v>7103.6819926035505</v>
      </c>
      <c r="X1208" s="149">
        <v>0</v>
      </c>
      <c r="Y1208" s="368">
        <v>0</v>
      </c>
      <c r="Z1208" s="368">
        <v>0</v>
      </c>
      <c r="AA1208" s="368">
        <v>0</v>
      </c>
      <c r="AB1208" s="368">
        <v>0</v>
      </c>
      <c r="AC1208" s="368">
        <v>0</v>
      </c>
      <c r="AD1208" s="368">
        <v>0</v>
      </c>
      <c r="AE1208" s="368">
        <v>615.76</v>
      </c>
      <c r="AF1208" s="396">
        <f>6238.91*AE1208/I1208</f>
        <v>7103.6819926035505</v>
      </c>
      <c r="AG1208" s="368">
        <v>0</v>
      </c>
      <c r="AH1208" s="396">
        <v>0</v>
      </c>
      <c r="AI1208" s="368">
        <v>0</v>
      </c>
      <c r="AJ1208" s="396">
        <v>0</v>
      </c>
      <c r="AK1208" s="368">
        <v>0</v>
      </c>
      <c r="AL1208" s="368">
        <v>0</v>
      </c>
      <c r="AM1208" s="368">
        <v>0</v>
      </c>
      <c r="AN1208" s="368"/>
      <c r="AO1208" s="368">
        <v>0</v>
      </c>
      <c r="AP1208" s="152"/>
      <c r="DQ1208" s="123"/>
      <c r="DR1208" s="123"/>
      <c r="DS1208" s="123"/>
      <c r="EG1208" s="124"/>
      <c r="EP1208" s="125"/>
      <c r="FS1208" s="126"/>
      <c r="GI1208" s="127"/>
    </row>
    <row r="1209" spans="1:191" s="152" customFormat="1" ht="36" customHeight="1" x14ac:dyDescent="0.9">
      <c r="B1209" s="382" t="s">
        <v>859</v>
      </c>
      <c r="C1209" s="382"/>
      <c r="D1209" s="384" t="s">
        <v>903</v>
      </c>
      <c r="E1209" s="163" t="s">
        <v>903</v>
      </c>
      <c r="F1209" s="384" t="s">
        <v>903</v>
      </c>
      <c r="G1209" s="384" t="s">
        <v>903</v>
      </c>
      <c r="H1209" s="163" t="s">
        <v>903</v>
      </c>
      <c r="I1209" s="386">
        <f>SUM(I1210:I1212)</f>
        <v>2550.6999999999998</v>
      </c>
      <c r="J1209" s="164">
        <f>SUM(J1210:J1212)</f>
        <v>2342.9800000000005</v>
      </c>
      <c r="K1209" s="164">
        <f>SUM(K1210:K1212)</f>
        <v>2272.58</v>
      </c>
      <c r="L1209" s="165">
        <f>SUM(L1210:L1212)</f>
        <v>119</v>
      </c>
      <c r="M1209" s="163" t="s">
        <v>903</v>
      </c>
      <c r="N1209" s="163" t="s">
        <v>903</v>
      </c>
      <c r="O1209" s="166" t="s">
        <v>903</v>
      </c>
      <c r="P1209" s="387">
        <v>10672314.84</v>
      </c>
      <c r="Q1209" s="167">
        <f>Q1210+Q1211+Q1212</f>
        <v>0</v>
      </c>
      <c r="R1209" s="167">
        <f>R1210+R1211+R1212</f>
        <v>0</v>
      </c>
      <c r="S1209" s="167">
        <f>S1210+S1211+S1212</f>
        <v>10672314.84</v>
      </c>
      <c r="T1209" s="387">
        <f t="shared" si="363"/>
        <v>4184.0729368408674</v>
      </c>
      <c r="U1209" s="387">
        <f>MAX(U1210:U1212)</f>
        <v>6045.9540206185566</v>
      </c>
      <c r="V1209" s="149">
        <f t="shared" si="369"/>
        <v>1861.8810837776891</v>
      </c>
      <c r="W1209" s="149"/>
      <c r="X1209" s="149"/>
      <c r="Y1209" s="368"/>
      <c r="Z1209" s="368"/>
      <c r="AA1209" s="368"/>
      <c r="AB1209" s="368"/>
      <c r="AC1209" s="368"/>
      <c r="AD1209" s="368"/>
      <c r="AE1209" s="368"/>
      <c r="AF1209" s="368"/>
      <c r="AG1209" s="368"/>
      <c r="AH1209" s="368"/>
      <c r="AI1209" s="368"/>
      <c r="AJ1209" s="368"/>
      <c r="AK1209" s="368"/>
      <c r="AL1209" s="368"/>
      <c r="AM1209" s="368"/>
      <c r="AN1209" s="368"/>
      <c r="AO1209" s="368"/>
    </row>
    <row r="1210" spans="1:191" s="121" customFormat="1" ht="36" customHeight="1" x14ac:dyDescent="0.9">
      <c r="A1210" s="152">
        <v>1</v>
      </c>
      <c r="B1210" s="90">
        <f>SUBTOTAL(103,$A$988:A1210)</f>
        <v>183</v>
      </c>
      <c r="C1210" s="176" t="s">
        <v>71</v>
      </c>
      <c r="D1210" s="163">
        <v>1979</v>
      </c>
      <c r="E1210" s="163"/>
      <c r="F1210" s="178" t="s">
        <v>270</v>
      </c>
      <c r="G1210" s="163">
        <v>3</v>
      </c>
      <c r="H1210" s="163">
        <v>2</v>
      </c>
      <c r="I1210" s="164">
        <v>850.1</v>
      </c>
      <c r="J1210" s="164">
        <v>757.1</v>
      </c>
      <c r="K1210" s="164">
        <v>745</v>
      </c>
      <c r="L1210" s="177">
        <v>29</v>
      </c>
      <c r="M1210" s="163" t="s">
        <v>268</v>
      </c>
      <c r="N1210" s="163" t="s">
        <v>269</v>
      </c>
      <c r="O1210" s="163" t="s">
        <v>271</v>
      </c>
      <c r="P1210" s="164">
        <v>2391584.4</v>
      </c>
      <c r="Q1210" s="164">
        <v>0</v>
      </c>
      <c r="R1210" s="164">
        <v>0</v>
      </c>
      <c r="S1210" s="164">
        <f>P1210-Q1210-R1210</f>
        <v>2391584.4</v>
      </c>
      <c r="T1210" s="167">
        <f t="shared" si="363"/>
        <v>2813.2977296788613</v>
      </c>
      <c r="U1210" s="167">
        <v>3361.2760616398068</v>
      </c>
      <c r="V1210" s="149">
        <f t="shared" si="369"/>
        <v>547.97833196094552</v>
      </c>
      <c r="W1210" s="149">
        <f t="shared" ref="W1210:W1212" si="378">X1210+Y1210+Z1210+AA1210+AB1210+AD1210+AF1210+AH1210+AJ1210+AL1210+AN1210+AO1210</f>
        <v>3361.2760616398068</v>
      </c>
      <c r="X1210" s="149">
        <v>0</v>
      </c>
      <c r="Y1210" s="368">
        <v>0</v>
      </c>
      <c r="Z1210" s="368">
        <v>0</v>
      </c>
      <c r="AA1210" s="368">
        <v>0</v>
      </c>
      <c r="AB1210" s="368">
        <v>0</v>
      </c>
      <c r="AC1210" s="368">
        <v>0</v>
      </c>
      <c r="AD1210" s="368">
        <v>0</v>
      </c>
      <c r="AE1210" s="368">
        <v>458</v>
      </c>
      <c r="AF1210" s="396">
        <f t="shared" ref="AF1210:AF1212" si="379">6238.91*AE1210/I1210</f>
        <v>3361.2760616398068</v>
      </c>
      <c r="AG1210" s="368">
        <v>0</v>
      </c>
      <c r="AH1210" s="396">
        <v>0</v>
      </c>
      <c r="AI1210" s="368">
        <v>0</v>
      </c>
      <c r="AJ1210" s="396">
        <v>0</v>
      </c>
      <c r="AK1210" s="368">
        <v>0</v>
      </c>
      <c r="AL1210" s="368">
        <v>0</v>
      </c>
      <c r="AM1210" s="368">
        <v>0</v>
      </c>
      <c r="AN1210" s="368"/>
      <c r="AO1210" s="368">
        <v>0</v>
      </c>
      <c r="AP1210" s="152"/>
      <c r="DQ1210" s="123"/>
      <c r="DR1210" s="123"/>
      <c r="DS1210" s="123"/>
      <c r="EG1210" s="124"/>
      <c r="EP1210" s="125"/>
      <c r="FS1210" s="126"/>
      <c r="GI1210" s="127"/>
    </row>
    <row r="1211" spans="1:191" s="121" customFormat="1" ht="36" customHeight="1" x14ac:dyDescent="0.9">
      <c r="A1211" s="152">
        <v>1</v>
      </c>
      <c r="B1211" s="90">
        <f>SUBTOTAL(103,$A$988:A1211)</f>
        <v>184</v>
      </c>
      <c r="C1211" s="176" t="s">
        <v>72</v>
      </c>
      <c r="D1211" s="163">
        <v>1980</v>
      </c>
      <c r="E1211" s="163"/>
      <c r="F1211" s="178" t="s">
        <v>270</v>
      </c>
      <c r="G1211" s="163">
        <v>2</v>
      </c>
      <c r="H1211" s="163">
        <v>2</v>
      </c>
      <c r="I1211" s="164">
        <v>970</v>
      </c>
      <c r="J1211" s="164">
        <v>885.2</v>
      </c>
      <c r="K1211" s="164">
        <v>826.90000000000009</v>
      </c>
      <c r="L1211" s="177">
        <v>60</v>
      </c>
      <c r="M1211" s="163" t="s">
        <v>268</v>
      </c>
      <c r="N1211" s="163" t="s">
        <v>269</v>
      </c>
      <c r="O1211" s="163" t="s">
        <v>271</v>
      </c>
      <c r="P1211" s="164">
        <v>4908492</v>
      </c>
      <c r="Q1211" s="164">
        <v>0</v>
      </c>
      <c r="R1211" s="164">
        <v>0</v>
      </c>
      <c r="S1211" s="164">
        <f>P1211-Q1211-R1211</f>
        <v>4908492</v>
      </c>
      <c r="T1211" s="167">
        <f t="shared" si="363"/>
        <v>5060.3010309278352</v>
      </c>
      <c r="U1211" s="167">
        <v>6045.9540206185566</v>
      </c>
      <c r="V1211" s="149">
        <f t="shared" si="369"/>
        <v>985.65298969072137</v>
      </c>
      <c r="W1211" s="149">
        <f t="shared" si="378"/>
        <v>6045.9540206185566</v>
      </c>
      <c r="X1211" s="149">
        <v>0</v>
      </c>
      <c r="Y1211" s="368">
        <v>0</v>
      </c>
      <c r="Z1211" s="368">
        <v>0</v>
      </c>
      <c r="AA1211" s="368">
        <v>0</v>
      </c>
      <c r="AB1211" s="368">
        <v>0</v>
      </c>
      <c r="AC1211" s="368">
        <v>0</v>
      </c>
      <c r="AD1211" s="368">
        <v>0</v>
      </c>
      <c r="AE1211" s="368">
        <v>940</v>
      </c>
      <c r="AF1211" s="396">
        <f t="shared" si="379"/>
        <v>6045.9540206185566</v>
      </c>
      <c r="AG1211" s="368">
        <v>0</v>
      </c>
      <c r="AH1211" s="396">
        <v>0</v>
      </c>
      <c r="AI1211" s="368">
        <v>0</v>
      </c>
      <c r="AJ1211" s="396">
        <v>0</v>
      </c>
      <c r="AK1211" s="368">
        <v>0</v>
      </c>
      <c r="AL1211" s="368">
        <v>0</v>
      </c>
      <c r="AM1211" s="368">
        <v>0</v>
      </c>
      <c r="AN1211" s="368"/>
      <c r="AO1211" s="368">
        <v>0</v>
      </c>
      <c r="AP1211" s="152"/>
      <c r="DQ1211" s="123"/>
      <c r="DR1211" s="123"/>
      <c r="DS1211" s="123"/>
      <c r="EG1211" s="124"/>
      <c r="EP1211" s="125"/>
      <c r="FS1211" s="126"/>
      <c r="GI1211" s="127"/>
    </row>
    <row r="1212" spans="1:191" s="121" customFormat="1" ht="36" customHeight="1" x14ac:dyDescent="0.9">
      <c r="A1212" s="152">
        <v>1</v>
      </c>
      <c r="B1212" s="90">
        <f>SUBTOTAL(103,$A$988:A1212)</f>
        <v>185</v>
      </c>
      <c r="C1212" s="176" t="s">
        <v>73</v>
      </c>
      <c r="D1212" s="163">
        <v>1969</v>
      </c>
      <c r="E1212" s="163"/>
      <c r="F1212" s="178" t="s">
        <v>270</v>
      </c>
      <c r="G1212" s="163">
        <v>2</v>
      </c>
      <c r="H1212" s="163">
        <v>2</v>
      </c>
      <c r="I1212" s="164">
        <v>730.6</v>
      </c>
      <c r="J1212" s="164">
        <v>700.68000000000006</v>
      </c>
      <c r="K1212" s="164">
        <v>700.68</v>
      </c>
      <c r="L1212" s="177">
        <v>30</v>
      </c>
      <c r="M1212" s="163" t="s">
        <v>268</v>
      </c>
      <c r="N1212" s="163" t="s">
        <v>269</v>
      </c>
      <c r="O1212" s="163" t="s">
        <v>271</v>
      </c>
      <c r="P1212" s="164">
        <v>3372238.44</v>
      </c>
      <c r="Q1212" s="164">
        <v>0</v>
      </c>
      <c r="R1212" s="164">
        <v>0</v>
      </c>
      <c r="S1212" s="164">
        <f>P1212-Q1212-R1212</f>
        <v>3372238.44</v>
      </c>
      <c r="T1212" s="167">
        <f t="shared" si="363"/>
        <v>4615.710977278949</v>
      </c>
      <c r="U1212" s="167">
        <v>5514.7660525595393</v>
      </c>
      <c r="V1212" s="149">
        <f t="shared" si="369"/>
        <v>899.05507528059024</v>
      </c>
      <c r="W1212" s="149">
        <f t="shared" si="378"/>
        <v>5514.7660525595393</v>
      </c>
      <c r="X1212" s="149">
        <v>0</v>
      </c>
      <c r="Y1212" s="368">
        <v>0</v>
      </c>
      <c r="Z1212" s="368">
        <v>0</v>
      </c>
      <c r="AA1212" s="368">
        <v>0</v>
      </c>
      <c r="AB1212" s="368">
        <v>0</v>
      </c>
      <c r="AC1212" s="368">
        <v>0</v>
      </c>
      <c r="AD1212" s="368">
        <v>0</v>
      </c>
      <c r="AE1212" s="368">
        <v>645.79999999999995</v>
      </c>
      <c r="AF1212" s="396">
        <f t="shared" si="379"/>
        <v>5514.7660525595393</v>
      </c>
      <c r="AG1212" s="368">
        <v>0</v>
      </c>
      <c r="AH1212" s="396">
        <v>0</v>
      </c>
      <c r="AI1212" s="368">
        <v>0</v>
      </c>
      <c r="AJ1212" s="396">
        <v>0</v>
      </c>
      <c r="AK1212" s="368">
        <v>0</v>
      </c>
      <c r="AL1212" s="368">
        <v>0</v>
      </c>
      <c r="AM1212" s="368">
        <v>0</v>
      </c>
      <c r="AN1212" s="368"/>
      <c r="AO1212" s="368">
        <v>0</v>
      </c>
      <c r="AP1212" s="152"/>
      <c r="DQ1212" s="123"/>
      <c r="DR1212" s="123"/>
      <c r="DS1212" s="123"/>
      <c r="EG1212" s="124"/>
      <c r="EP1212" s="125"/>
      <c r="FS1212" s="126"/>
      <c r="GI1212" s="127"/>
    </row>
    <row r="1213" spans="1:191" s="152" customFormat="1" ht="36" customHeight="1" x14ac:dyDescent="0.9">
      <c r="B1213" s="382" t="s">
        <v>855</v>
      </c>
      <c r="C1213" s="382"/>
      <c r="D1213" s="384" t="s">
        <v>903</v>
      </c>
      <c r="E1213" s="163" t="s">
        <v>903</v>
      </c>
      <c r="F1213" s="384" t="s">
        <v>903</v>
      </c>
      <c r="G1213" s="384" t="s">
        <v>903</v>
      </c>
      <c r="H1213" s="163" t="s">
        <v>903</v>
      </c>
      <c r="I1213" s="386">
        <f>I1214</f>
        <v>5523</v>
      </c>
      <c r="J1213" s="164">
        <f>J1214</f>
        <v>4105.6000000000004</v>
      </c>
      <c r="K1213" s="164">
        <f>K1214</f>
        <v>2967.3500000000004</v>
      </c>
      <c r="L1213" s="165">
        <f>L1214</f>
        <v>208</v>
      </c>
      <c r="M1213" s="163" t="s">
        <v>903</v>
      </c>
      <c r="N1213" s="163" t="s">
        <v>903</v>
      </c>
      <c r="O1213" s="166" t="s">
        <v>903</v>
      </c>
      <c r="P1213" s="387">
        <v>3912770.8299999996</v>
      </c>
      <c r="Q1213" s="167">
        <f>Q1214</f>
        <v>0</v>
      </c>
      <c r="R1213" s="167">
        <f>R1214</f>
        <v>0</v>
      </c>
      <c r="S1213" s="167">
        <f>S1214</f>
        <v>3912770.8299999996</v>
      </c>
      <c r="T1213" s="387">
        <f>P1213/I1213</f>
        <v>708.45026797030596</v>
      </c>
      <c r="U1213" s="387">
        <f>U1214</f>
        <v>1491.1028788701792</v>
      </c>
      <c r="V1213" s="149">
        <f t="shared" si="369"/>
        <v>782.65261089987325</v>
      </c>
      <c r="W1213" s="149"/>
      <c r="X1213" s="149"/>
      <c r="Y1213" s="368"/>
      <c r="Z1213" s="368"/>
      <c r="AA1213" s="368"/>
      <c r="AB1213" s="368"/>
      <c r="AC1213" s="368"/>
      <c r="AD1213" s="368"/>
      <c r="AE1213" s="368"/>
      <c r="AF1213" s="368"/>
      <c r="AG1213" s="368"/>
      <c r="AH1213" s="368"/>
      <c r="AI1213" s="368"/>
      <c r="AJ1213" s="368"/>
      <c r="AK1213" s="368"/>
      <c r="AL1213" s="368"/>
      <c r="AM1213" s="368"/>
      <c r="AN1213" s="368"/>
      <c r="AO1213" s="368"/>
    </row>
    <row r="1214" spans="1:191" s="121" customFormat="1" ht="36" customHeight="1" x14ac:dyDescent="0.9">
      <c r="A1214" s="152">
        <v>1</v>
      </c>
      <c r="B1214" s="90">
        <f>SUBTOTAL(103,$A$988:A1214)</f>
        <v>186</v>
      </c>
      <c r="C1214" s="176" t="s">
        <v>1586</v>
      </c>
      <c r="D1214" s="163">
        <v>1979</v>
      </c>
      <c r="E1214" s="163"/>
      <c r="F1214" s="178" t="s">
        <v>1596</v>
      </c>
      <c r="G1214" s="163">
        <v>5</v>
      </c>
      <c r="H1214" s="163">
        <v>6</v>
      </c>
      <c r="I1214" s="164">
        <v>5523</v>
      </c>
      <c r="J1214" s="164">
        <v>4105.6000000000004</v>
      </c>
      <c r="K1214" s="164">
        <f>3015.05-47.7</f>
        <v>2967.3500000000004</v>
      </c>
      <c r="L1214" s="177">
        <v>208</v>
      </c>
      <c r="M1214" s="163" t="s">
        <v>268</v>
      </c>
      <c r="N1214" s="163" t="s">
        <v>272</v>
      </c>
      <c r="O1214" s="163" t="s">
        <v>1548</v>
      </c>
      <c r="P1214" s="164">
        <v>3912770.8299999996</v>
      </c>
      <c r="Q1214" s="164">
        <v>0</v>
      </c>
      <c r="R1214" s="164">
        <v>0</v>
      </c>
      <c r="S1214" s="164">
        <f>P1214-Q1214-R1214</f>
        <v>3912770.8299999996</v>
      </c>
      <c r="T1214" s="167">
        <f t="shared" ref="T1214:T1274" si="380">P1214/I1214</f>
        <v>708.45026797030596</v>
      </c>
      <c r="U1214" s="167">
        <v>1491.1028788701792</v>
      </c>
      <c r="V1214" s="149">
        <f>U1214-T1214</f>
        <v>782.65261089987325</v>
      </c>
      <c r="W1214" s="149">
        <f>X1214+Y1214+Z1214+AA1214+AB1214+AD1214+AF1214+AH1214+AJ1214+AL1214+AN1214+AO1214</f>
        <v>1491.1028788701792</v>
      </c>
      <c r="X1214" s="149">
        <v>0</v>
      </c>
      <c r="Y1214" s="368">
        <v>0</v>
      </c>
      <c r="Z1214" s="368">
        <v>0</v>
      </c>
      <c r="AA1214" s="368">
        <v>0</v>
      </c>
      <c r="AB1214" s="368">
        <v>0</v>
      </c>
      <c r="AC1214" s="368">
        <v>0</v>
      </c>
      <c r="AD1214" s="368">
        <v>0</v>
      </c>
      <c r="AE1214" s="368">
        <v>1320</v>
      </c>
      <c r="AF1214" s="396">
        <f>6238.91*AE1214/I1214</f>
        <v>1491.1028788701792</v>
      </c>
      <c r="AG1214" s="368">
        <v>0</v>
      </c>
      <c r="AH1214" s="396">
        <v>0</v>
      </c>
      <c r="AI1214" s="368">
        <v>0</v>
      </c>
      <c r="AJ1214" s="396">
        <v>0</v>
      </c>
      <c r="AK1214" s="368">
        <v>0</v>
      </c>
      <c r="AL1214" s="368">
        <v>0</v>
      </c>
      <c r="AM1214" s="368">
        <v>0</v>
      </c>
      <c r="AN1214" s="368"/>
      <c r="AO1214" s="368">
        <v>0</v>
      </c>
      <c r="AP1214" s="152"/>
      <c r="DQ1214" s="123"/>
      <c r="DR1214" s="123"/>
      <c r="DS1214" s="123"/>
      <c r="EG1214" s="124"/>
      <c r="EP1214" s="125"/>
      <c r="FS1214" s="126"/>
      <c r="GI1214" s="127"/>
    </row>
    <row r="1215" spans="1:191" s="152" customFormat="1" ht="36" customHeight="1" x14ac:dyDescent="0.9">
      <c r="B1215" s="382" t="s">
        <v>860</v>
      </c>
      <c r="C1215" s="388"/>
      <c r="D1215" s="384" t="s">
        <v>903</v>
      </c>
      <c r="E1215" s="163" t="s">
        <v>903</v>
      </c>
      <c r="F1215" s="384" t="s">
        <v>903</v>
      </c>
      <c r="G1215" s="384" t="s">
        <v>903</v>
      </c>
      <c r="H1215" s="163" t="s">
        <v>903</v>
      </c>
      <c r="I1215" s="386">
        <f>I1216</f>
        <v>1046.8</v>
      </c>
      <c r="J1215" s="164">
        <f>J1216</f>
        <v>929.5</v>
      </c>
      <c r="K1215" s="164">
        <f>K1216</f>
        <v>929.5</v>
      </c>
      <c r="L1215" s="165">
        <f>L1216</f>
        <v>44</v>
      </c>
      <c r="M1215" s="163" t="s">
        <v>903</v>
      </c>
      <c r="N1215" s="163" t="s">
        <v>903</v>
      </c>
      <c r="O1215" s="166" t="s">
        <v>903</v>
      </c>
      <c r="P1215" s="387">
        <v>4804056</v>
      </c>
      <c r="Q1215" s="167">
        <f>Q1216</f>
        <v>0</v>
      </c>
      <c r="R1215" s="167">
        <f>R1216</f>
        <v>0</v>
      </c>
      <c r="S1215" s="167">
        <f>S1216</f>
        <v>4804056</v>
      </c>
      <c r="T1215" s="387">
        <f t="shared" si="380"/>
        <v>4589.277799006496</v>
      </c>
      <c r="U1215" s="387">
        <f>U1216</f>
        <v>5512.9840943828813</v>
      </c>
      <c r="V1215" s="149">
        <f t="shared" si="369"/>
        <v>923.70629537638524</v>
      </c>
      <c r="W1215" s="149"/>
      <c r="X1215" s="149"/>
      <c r="Y1215" s="368"/>
      <c r="Z1215" s="368"/>
      <c r="AA1215" s="368"/>
      <c r="AB1215" s="368"/>
      <c r="AC1215" s="368"/>
      <c r="AD1215" s="368"/>
      <c r="AE1215" s="368"/>
      <c r="AF1215" s="368"/>
      <c r="AG1215" s="368"/>
      <c r="AH1215" s="368"/>
      <c r="AI1215" s="368"/>
      <c r="AJ1215" s="368"/>
      <c r="AK1215" s="368"/>
      <c r="AL1215" s="368"/>
      <c r="AM1215" s="368"/>
      <c r="AN1215" s="368"/>
      <c r="AO1215" s="368"/>
    </row>
    <row r="1216" spans="1:191" s="121" customFormat="1" ht="36" customHeight="1" x14ac:dyDescent="0.9">
      <c r="A1216" s="152">
        <v>1</v>
      </c>
      <c r="B1216" s="90">
        <f>SUBTOTAL(103,$A$988:A1216)</f>
        <v>187</v>
      </c>
      <c r="C1216" s="176" t="s">
        <v>228</v>
      </c>
      <c r="D1216" s="163">
        <v>1994</v>
      </c>
      <c r="E1216" s="163"/>
      <c r="F1216" s="178" t="s">
        <v>270</v>
      </c>
      <c r="G1216" s="163">
        <v>2</v>
      </c>
      <c r="H1216" s="163">
        <v>2</v>
      </c>
      <c r="I1216" s="164">
        <v>1046.8</v>
      </c>
      <c r="J1216" s="164">
        <v>929.5</v>
      </c>
      <c r="K1216" s="164">
        <v>929.5</v>
      </c>
      <c r="L1216" s="177">
        <v>44</v>
      </c>
      <c r="M1216" s="163" t="s">
        <v>268</v>
      </c>
      <c r="N1216" s="163" t="s">
        <v>272</v>
      </c>
      <c r="O1216" s="163" t="s">
        <v>714</v>
      </c>
      <c r="P1216" s="164">
        <v>4804056</v>
      </c>
      <c r="Q1216" s="164">
        <v>0</v>
      </c>
      <c r="R1216" s="164">
        <v>0</v>
      </c>
      <c r="S1216" s="164">
        <f>P1216-Q1216-R1216</f>
        <v>4804056</v>
      </c>
      <c r="T1216" s="167">
        <f t="shared" si="380"/>
        <v>4589.277799006496</v>
      </c>
      <c r="U1216" s="167">
        <v>5512.9840943828813</v>
      </c>
      <c r="V1216" s="149">
        <f>U1216-T1216</f>
        <v>923.70629537638524</v>
      </c>
      <c r="W1216" s="149">
        <f>X1216+Y1216+Z1216+AA1216+AB1216+AD1216+AF1216+AH1216+AJ1216+AL1216+AN1216+AO1216</f>
        <v>5512.9840943828813</v>
      </c>
      <c r="X1216" s="149">
        <v>0</v>
      </c>
      <c r="Y1216" s="368">
        <v>0</v>
      </c>
      <c r="Z1216" s="368">
        <v>0</v>
      </c>
      <c r="AA1216" s="368">
        <v>0</v>
      </c>
      <c r="AB1216" s="368">
        <v>0</v>
      </c>
      <c r="AC1216" s="368">
        <v>0</v>
      </c>
      <c r="AD1216" s="368">
        <v>0</v>
      </c>
      <c r="AE1216" s="368">
        <v>925</v>
      </c>
      <c r="AF1216" s="396">
        <f>6238.91*AE1216/I1216</f>
        <v>5512.9840943828813</v>
      </c>
      <c r="AG1216" s="368">
        <v>0</v>
      </c>
      <c r="AH1216" s="396">
        <v>0</v>
      </c>
      <c r="AI1216" s="368">
        <v>0</v>
      </c>
      <c r="AJ1216" s="396">
        <v>0</v>
      </c>
      <c r="AK1216" s="368">
        <v>0</v>
      </c>
      <c r="AL1216" s="368">
        <v>0</v>
      </c>
      <c r="AM1216" s="368">
        <v>0</v>
      </c>
      <c r="AN1216" s="368"/>
      <c r="AO1216" s="368">
        <v>0</v>
      </c>
      <c r="AP1216" s="152"/>
      <c r="DQ1216" s="123"/>
      <c r="DR1216" s="123"/>
      <c r="DS1216" s="123"/>
      <c r="EG1216" s="124"/>
      <c r="EP1216" s="125"/>
      <c r="FS1216" s="126"/>
      <c r="GI1216" s="127"/>
    </row>
    <row r="1217" spans="1:191" s="152" customFormat="1" ht="36" customHeight="1" x14ac:dyDescent="0.9">
      <c r="B1217" s="382" t="s">
        <v>895</v>
      </c>
      <c r="C1217" s="388"/>
      <c r="D1217" s="384" t="s">
        <v>903</v>
      </c>
      <c r="E1217" s="163" t="s">
        <v>903</v>
      </c>
      <c r="F1217" s="384" t="s">
        <v>903</v>
      </c>
      <c r="G1217" s="384" t="s">
        <v>903</v>
      </c>
      <c r="H1217" s="163" t="s">
        <v>903</v>
      </c>
      <c r="I1217" s="386">
        <f>I1218</f>
        <v>3554.5</v>
      </c>
      <c r="J1217" s="164">
        <f>J1218</f>
        <v>3290.7</v>
      </c>
      <c r="K1217" s="164">
        <f>K1218</f>
        <v>3220.4</v>
      </c>
      <c r="L1217" s="165">
        <f>L1218</f>
        <v>145</v>
      </c>
      <c r="M1217" s="163" t="s">
        <v>903</v>
      </c>
      <c r="N1217" s="163" t="s">
        <v>903</v>
      </c>
      <c r="O1217" s="166" t="s">
        <v>903</v>
      </c>
      <c r="P1217" s="387">
        <v>7284801.9000000004</v>
      </c>
      <c r="Q1217" s="167">
        <f>Q1218</f>
        <v>0</v>
      </c>
      <c r="R1217" s="167">
        <f>R1218</f>
        <v>0</v>
      </c>
      <c r="S1217" s="167">
        <f>S1218</f>
        <v>7284801.9000000004</v>
      </c>
      <c r="T1217" s="387">
        <f t="shared" si="380"/>
        <v>2049.4589675059783</v>
      </c>
      <c r="U1217" s="387">
        <f>U1218</f>
        <v>2635.4670456907224</v>
      </c>
      <c r="V1217" s="149">
        <f t="shared" si="369"/>
        <v>586.00807818474414</v>
      </c>
      <c r="W1217" s="149"/>
      <c r="X1217" s="149"/>
      <c r="Y1217" s="368"/>
      <c r="Z1217" s="368"/>
      <c r="AA1217" s="368"/>
      <c r="AB1217" s="368"/>
      <c r="AC1217" s="368"/>
      <c r="AD1217" s="368"/>
      <c r="AE1217" s="368"/>
      <c r="AF1217" s="368"/>
      <c r="AG1217" s="368"/>
      <c r="AH1217" s="368"/>
      <c r="AI1217" s="368"/>
      <c r="AJ1217" s="368"/>
      <c r="AK1217" s="368"/>
      <c r="AL1217" s="368"/>
      <c r="AM1217" s="368"/>
      <c r="AN1217" s="368"/>
      <c r="AO1217" s="368"/>
    </row>
    <row r="1218" spans="1:191" s="121" customFormat="1" ht="36" customHeight="1" x14ac:dyDescent="0.9">
      <c r="A1218" s="152">
        <v>1</v>
      </c>
      <c r="B1218" s="90">
        <f>SUBTOTAL(103,$A$988:A1218)</f>
        <v>188</v>
      </c>
      <c r="C1218" s="176" t="s">
        <v>160</v>
      </c>
      <c r="D1218" s="163">
        <v>1987</v>
      </c>
      <c r="E1218" s="163"/>
      <c r="F1218" s="178" t="s">
        <v>290</v>
      </c>
      <c r="G1218" s="163">
        <v>3</v>
      </c>
      <c r="H1218" s="163">
        <v>7</v>
      </c>
      <c r="I1218" s="164">
        <v>3554.5</v>
      </c>
      <c r="J1218" s="164">
        <v>3290.7</v>
      </c>
      <c r="K1218" s="164">
        <v>3220.4</v>
      </c>
      <c r="L1218" s="177">
        <v>145</v>
      </c>
      <c r="M1218" s="163" t="s">
        <v>268</v>
      </c>
      <c r="N1218" s="163" t="s">
        <v>272</v>
      </c>
      <c r="O1218" s="163" t="s">
        <v>1007</v>
      </c>
      <c r="P1218" s="164">
        <v>7284801.9000000004</v>
      </c>
      <c r="Q1218" s="164">
        <v>0</v>
      </c>
      <c r="R1218" s="164">
        <v>0</v>
      </c>
      <c r="S1218" s="164">
        <f>P1218-Q1218-R1218</f>
        <v>7284801.9000000004</v>
      </c>
      <c r="T1218" s="167">
        <f t="shared" si="380"/>
        <v>2049.4589675059783</v>
      </c>
      <c r="U1218" s="167">
        <v>2635.4670456907224</v>
      </c>
      <c r="V1218" s="149">
        <f>U1218-T1218</f>
        <v>586.00807818474414</v>
      </c>
      <c r="W1218" s="149">
        <f>X1218+Y1218+Z1218+AA1218+AB1218+AD1218+AF1218+AH1218+AJ1218+AL1218+AN1218+AO1218</f>
        <v>2635.4670456907224</v>
      </c>
      <c r="X1218" s="149">
        <v>0</v>
      </c>
      <c r="Y1218" s="368">
        <v>0</v>
      </c>
      <c r="Z1218" s="368">
        <v>0</v>
      </c>
      <c r="AA1218" s="368">
        <v>0</v>
      </c>
      <c r="AB1218" s="368">
        <v>0</v>
      </c>
      <c r="AC1218" s="368">
        <v>0</v>
      </c>
      <c r="AD1218" s="368">
        <v>0</v>
      </c>
      <c r="AE1218" s="368">
        <v>1501.50709241</v>
      </c>
      <c r="AF1218" s="396">
        <f>6238.91*AE1218/I1218</f>
        <v>2635.4670456907224</v>
      </c>
      <c r="AG1218" s="368">
        <v>0</v>
      </c>
      <c r="AH1218" s="396">
        <v>0</v>
      </c>
      <c r="AI1218" s="368">
        <v>0</v>
      </c>
      <c r="AJ1218" s="396">
        <v>0</v>
      </c>
      <c r="AK1218" s="368">
        <v>0</v>
      </c>
      <c r="AL1218" s="368">
        <v>0</v>
      </c>
      <c r="AM1218" s="368">
        <v>0</v>
      </c>
      <c r="AN1218" s="368"/>
      <c r="AO1218" s="368">
        <v>0</v>
      </c>
      <c r="AP1218" s="152"/>
      <c r="DQ1218" s="123"/>
      <c r="DR1218" s="123"/>
      <c r="DS1218" s="123"/>
      <c r="EG1218" s="124"/>
      <c r="EP1218" s="125"/>
      <c r="FS1218" s="126"/>
      <c r="GI1218" s="127"/>
    </row>
    <row r="1219" spans="1:191" s="152" customFormat="1" ht="36" customHeight="1" x14ac:dyDescent="0.9">
      <c r="B1219" s="382" t="s">
        <v>891</v>
      </c>
      <c r="C1219" s="382"/>
      <c r="D1219" s="384" t="s">
        <v>903</v>
      </c>
      <c r="E1219" s="163" t="s">
        <v>903</v>
      </c>
      <c r="F1219" s="384" t="s">
        <v>903</v>
      </c>
      <c r="G1219" s="384" t="s">
        <v>903</v>
      </c>
      <c r="H1219" s="163" t="s">
        <v>903</v>
      </c>
      <c r="I1219" s="386">
        <f>SUM(I1220:I1221)</f>
        <v>2640.94</v>
      </c>
      <c r="J1219" s="164">
        <f>SUM(J1220:J1221)</f>
        <v>1584.6</v>
      </c>
      <c r="K1219" s="164">
        <f>SUM(K1220:K1221)</f>
        <v>1443.9</v>
      </c>
      <c r="L1219" s="165">
        <f>SUM(L1220:L1221)</f>
        <v>88</v>
      </c>
      <c r="M1219" s="163" t="s">
        <v>903</v>
      </c>
      <c r="N1219" s="163" t="s">
        <v>903</v>
      </c>
      <c r="O1219" s="166" t="s">
        <v>903</v>
      </c>
      <c r="P1219" s="387">
        <v>4011881.02</v>
      </c>
      <c r="Q1219" s="167">
        <f>Q1220+Q1221</f>
        <v>0</v>
      </c>
      <c r="R1219" s="167">
        <f>R1220+R1221</f>
        <v>0</v>
      </c>
      <c r="S1219" s="167">
        <f>S1220+S1221</f>
        <v>4011881.02</v>
      </c>
      <c r="T1219" s="387">
        <f t="shared" si="380"/>
        <v>1519.1110059297068</v>
      </c>
      <c r="U1219" s="387">
        <f>MAX(U1220:U1221)</f>
        <v>3385.0432739938083</v>
      </c>
      <c r="V1219" s="149">
        <f t="shared" si="369"/>
        <v>1865.9322680641014</v>
      </c>
      <c r="W1219" s="149"/>
      <c r="X1219" s="149"/>
      <c r="Y1219" s="368"/>
      <c r="Z1219" s="368"/>
      <c r="AA1219" s="368"/>
      <c r="AB1219" s="368"/>
      <c r="AC1219" s="368"/>
      <c r="AD1219" s="368"/>
      <c r="AE1219" s="368"/>
      <c r="AF1219" s="368"/>
      <c r="AG1219" s="368"/>
      <c r="AH1219" s="368"/>
      <c r="AI1219" s="368"/>
      <c r="AJ1219" s="368"/>
      <c r="AK1219" s="368"/>
      <c r="AL1219" s="368"/>
      <c r="AM1219" s="368"/>
      <c r="AN1219" s="368"/>
      <c r="AO1219" s="368"/>
    </row>
    <row r="1220" spans="1:191" s="121" customFormat="1" ht="36" customHeight="1" x14ac:dyDescent="0.9">
      <c r="A1220" s="152">
        <v>1</v>
      </c>
      <c r="B1220" s="90">
        <f>SUBTOTAL(103,$A$988:A1220)</f>
        <v>189</v>
      </c>
      <c r="C1220" s="176" t="s">
        <v>166</v>
      </c>
      <c r="D1220" s="163">
        <v>1978</v>
      </c>
      <c r="E1220" s="163"/>
      <c r="F1220" s="178" t="s">
        <v>270</v>
      </c>
      <c r="G1220" s="163">
        <v>2</v>
      </c>
      <c r="H1220" s="163">
        <v>2</v>
      </c>
      <c r="I1220" s="164">
        <v>1219.74</v>
      </c>
      <c r="J1220" s="164">
        <v>712.8</v>
      </c>
      <c r="K1220" s="164">
        <v>712.8</v>
      </c>
      <c r="L1220" s="177">
        <v>41</v>
      </c>
      <c r="M1220" s="163" t="s">
        <v>268</v>
      </c>
      <c r="N1220" s="163" t="s">
        <v>272</v>
      </c>
      <c r="O1220" s="163" t="s">
        <v>1007</v>
      </c>
      <c r="P1220" s="164">
        <v>329863.09999999998</v>
      </c>
      <c r="Q1220" s="164">
        <v>0</v>
      </c>
      <c r="R1220" s="164">
        <v>0</v>
      </c>
      <c r="S1220" s="164">
        <f>P1220-Q1220-R1220</f>
        <v>329863.09999999998</v>
      </c>
      <c r="T1220" s="167">
        <f t="shared" si="380"/>
        <v>270.43722432649577</v>
      </c>
      <c r="U1220" s="167">
        <v>597.69442668109605</v>
      </c>
      <c r="V1220" s="149">
        <f t="shared" si="369"/>
        <v>327.25720235460028</v>
      </c>
      <c r="W1220" s="149">
        <f t="shared" ref="W1220:W1221" si="381">X1220+Y1220+Z1220+AA1220+AB1220+AD1220+AF1220+AH1220+AJ1220+AL1220+AN1220+AO1220</f>
        <v>597.69442668109605</v>
      </c>
      <c r="X1220" s="149">
        <v>0</v>
      </c>
      <c r="Y1220" s="368">
        <v>0</v>
      </c>
      <c r="Z1220" s="368">
        <v>0</v>
      </c>
      <c r="AA1220" s="368">
        <v>0</v>
      </c>
      <c r="AB1220" s="368">
        <v>0</v>
      </c>
      <c r="AC1220" s="368">
        <v>0</v>
      </c>
      <c r="AD1220" s="368">
        <v>0</v>
      </c>
      <c r="AE1220" s="368">
        <v>0</v>
      </c>
      <c r="AF1220" s="396">
        <v>0</v>
      </c>
      <c r="AG1220" s="368">
        <v>0</v>
      </c>
      <c r="AH1220" s="396">
        <v>0</v>
      </c>
      <c r="AI1220" s="368">
        <v>98</v>
      </c>
      <c r="AJ1220" s="397">
        <f>7439.1*AI1220/I1220</f>
        <v>597.69442668109605</v>
      </c>
      <c r="AK1220" s="368">
        <v>0</v>
      </c>
      <c r="AL1220" s="368">
        <v>0</v>
      </c>
      <c r="AM1220" s="368">
        <v>0</v>
      </c>
      <c r="AN1220" s="368"/>
      <c r="AO1220" s="368">
        <v>0</v>
      </c>
      <c r="AP1220" s="152"/>
      <c r="DQ1220" s="123"/>
      <c r="DR1220" s="123"/>
      <c r="DS1220" s="123"/>
      <c r="EG1220" s="124"/>
      <c r="EP1220" s="125"/>
      <c r="FS1220" s="126"/>
      <c r="GI1220" s="127"/>
    </row>
    <row r="1221" spans="1:191" s="121" customFormat="1" ht="36" customHeight="1" x14ac:dyDescent="0.9">
      <c r="A1221" s="152">
        <v>1</v>
      </c>
      <c r="B1221" s="90">
        <f>SUBTOTAL(103,$A$988:A1221)</f>
        <v>190</v>
      </c>
      <c r="C1221" s="176" t="s">
        <v>167</v>
      </c>
      <c r="D1221" s="163">
        <v>1989</v>
      </c>
      <c r="E1221" s="163"/>
      <c r="F1221" s="178" t="s">
        <v>270</v>
      </c>
      <c r="G1221" s="163">
        <v>2</v>
      </c>
      <c r="H1221" s="163">
        <v>3</v>
      </c>
      <c r="I1221" s="164">
        <v>1421.2</v>
      </c>
      <c r="J1221" s="164">
        <v>871.8</v>
      </c>
      <c r="K1221" s="164">
        <v>731.1</v>
      </c>
      <c r="L1221" s="177">
        <v>47</v>
      </c>
      <c r="M1221" s="163" t="s">
        <v>268</v>
      </c>
      <c r="N1221" s="163" t="s">
        <v>272</v>
      </c>
      <c r="O1221" s="163" t="s">
        <v>1007</v>
      </c>
      <c r="P1221" s="164">
        <v>3682017.92</v>
      </c>
      <c r="Q1221" s="164">
        <v>0</v>
      </c>
      <c r="R1221" s="164">
        <v>0</v>
      </c>
      <c r="S1221" s="164">
        <f>P1221-Q1221-R1221</f>
        <v>3682017.92</v>
      </c>
      <c r="T1221" s="167">
        <f t="shared" si="380"/>
        <v>2590.7809738249366</v>
      </c>
      <c r="U1221" s="167">
        <v>3385.0432739938083</v>
      </c>
      <c r="V1221" s="149">
        <f t="shared" si="369"/>
        <v>794.26230016887166</v>
      </c>
      <c r="W1221" s="149">
        <f t="shared" si="381"/>
        <v>3385.0432739938083</v>
      </c>
      <c r="X1221" s="149">
        <v>0</v>
      </c>
      <c r="Y1221" s="368">
        <v>0</v>
      </c>
      <c r="Z1221" s="368">
        <v>0</v>
      </c>
      <c r="AA1221" s="368">
        <v>0</v>
      </c>
      <c r="AB1221" s="368">
        <v>0</v>
      </c>
      <c r="AC1221" s="368">
        <v>0</v>
      </c>
      <c r="AD1221" s="368">
        <v>0</v>
      </c>
      <c r="AE1221" s="368">
        <v>771.1</v>
      </c>
      <c r="AF1221" s="396">
        <f>6238.91*AE1221/I1221</f>
        <v>3385.0432739938083</v>
      </c>
      <c r="AG1221" s="368">
        <v>0</v>
      </c>
      <c r="AH1221" s="396">
        <v>0</v>
      </c>
      <c r="AI1221" s="368">
        <v>0</v>
      </c>
      <c r="AJ1221" s="396">
        <v>0</v>
      </c>
      <c r="AK1221" s="368">
        <v>0</v>
      </c>
      <c r="AL1221" s="368">
        <v>0</v>
      </c>
      <c r="AM1221" s="368">
        <v>0</v>
      </c>
      <c r="AN1221" s="368"/>
      <c r="AO1221" s="368">
        <v>0</v>
      </c>
      <c r="AP1221" s="152"/>
      <c r="DQ1221" s="123"/>
      <c r="DR1221" s="123"/>
      <c r="DS1221" s="123"/>
      <c r="EG1221" s="124"/>
      <c r="EP1221" s="125"/>
      <c r="FS1221" s="126"/>
      <c r="GI1221" s="127"/>
    </row>
    <row r="1222" spans="1:191" s="152" customFormat="1" ht="36" customHeight="1" x14ac:dyDescent="0.9">
      <c r="B1222" s="382" t="s">
        <v>864</v>
      </c>
      <c r="C1222" s="382"/>
      <c r="D1222" s="384" t="s">
        <v>903</v>
      </c>
      <c r="E1222" s="163" t="s">
        <v>903</v>
      </c>
      <c r="F1222" s="384" t="s">
        <v>903</v>
      </c>
      <c r="G1222" s="384" t="s">
        <v>903</v>
      </c>
      <c r="H1222" s="163" t="s">
        <v>903</v>
      </c>
      <c r="I1222" s="386">
        <f>I1223+I1224</f>
        <v>4173.3999999999996</v>
      </c>
      <c r="J1222" s="164">
        <f>J1223+J1224</f>
        <v>3874.5</v>
      </c>
      <c r="K1222" s="164">
        <f>K1223+K1224</f>
        <v>3773.7999999999997</v>
      </c>
      <c r="L1222" s="165">
        <f>L1223+L1224</f>
        <v>171</v>
      </c>
      <c r="M1222" s="163" t="s">
        <v>903</v>
      </c>
      <c r="N1222" s="163" t="s">
        <v>903</v>
      </c>
      <c r="O1222" s="166" t="s">
        <v>903</v>
      </c>
      <c r="P1222" s="387">
        <v>6026117.5699999994</v>
      </c>
      <c r="Q1222" s="167">
        <f>Q1223+Q1224</f>
        <v>0</v>
      </c>
      <c r="R1222" s="167">
        <f>R1223+R1224</f>
        <v>0</v>
      </c>
      <c r="S1222" s="167">
        <f>S1223+S1224</f>
        <v>6026117.5699999994</v>
      </c>
      <c r="T1222" s="387">
        <f t="shared" si="380"/>
        <v>1443.9348181338955</v>
      </c>
      <c r="U1222" s="387">
        <f>MAX(U1223:U1224)</f>
        <v>6420.2949954906471</v>
      </c>
      <c r="V1222" s="149">
        <f t="shared" si="369"/>
        <v>4976.3601773567516</v>
      </c>
      <c r="W1222" s="149"/>
      <c r="X1222" s="149"/>
      <c r="Y1222" s="368"/>
      <c r="Z1222" s="368"/>
      <c r="AA1222" s="368"/>
      <c r="AB1222" s="368"/>
      <c r="AC1222" s="368"/>
      <c r="AD1222" s="368"/>
      <c r="AE1222" s="368"/>
      <c r="AF1222" s="368"/>
      <c r="AG1222" s="368"/>
      <c r="AH1222" s="368"/>
      <c r="AI1222" s="368"/>
      <c r="AJ1222" s="368"/>
      <c r="AK1222" s="368"/>
      <c r="AL1222" s="368"/>
      <c r="AM1222" s="368"/>
      <c r="AN1222" s="368"/>
      <c r="AO1222" s="368"/>
    </row>
    <row r="1223" spans="1:191" s="121" customFormat="1" ht="36" customHeight="1" x14ac:dyDescent="0.9">
      <c r="A1223" s="152">
        <v>1</v>
      </c>
      <c r="B1223" s="90">
        <f>SUBTOTAL(103,$A$988:A1223)</f>
        <v>191</v>
      </c>
      <c r="C1223" s="176" t="s">
        <v>165</v>
      </c>
      <c r="D1223" s="163">
        <v>1971</v>
      </c>
      <c r="E1223" s="163"/>
      <c r="F1223" s="178" t="s">
        <v>290</v>
      </c>
      <c r="G1223" s="163">
        <v>5</v>
      </c>
      <c r="H1223" s="163">
        <v>4</v>
      </c>
      <c r="I1223" s="164">
        <v>3868.7</v>
      </c>
      <c r="J1223" s="164">
        <v>3593.8</v>
      </c>
      <c r="K1223" s="164">
        <v>3493.1</v>
      </c>
      <c r="L1223" s="177">
        <v>160</v>
      </c>
      <c r="M1223" s="163" t="s">
        <v>268</v>
      </c>
      <c r="N1223" s="163" t="s">
        <v>300</v>
      </c>
      <c r="O1223" s="163" t="s">
        <v>301</v>
      </c>
      <c r="P1223" s="164">
        <v>4388776.2699999996</v>
      </c>
      <c r="Q1223" s="164">
        <v>0</v>
      </c>
      <c r="R1223" s="164">
        <v>0</v>
      </c>
      <c r="S1223" s="164">
        <f>P1223-Q1223-R1223</f>
        <v>4388776.2699999996</v>
      </c>
      <c r="T1223" s="167">
        <f t="shared" si="380"/>
        <v>1134.4317910409181</v>
      </c>
      <c r="U1223" s="167">
        <v>1416.5633272158607</v>
      </c>
      <c r="V1223" s="149">
        <f t="shared" si="369"/>
        <v>282.13153617494254</v>
      </c>
      <c r="W1223" s="149">
        <f t="shared" ref="W1223:W1224" si="382">X1223+Y1223+Z1223+AA1223+AB1223+AD1223+AF1223+AH1223+AJ1223+AL1223+AN1223+AO1223</f>
        <v>1416.5633272158607</v>
      </c>
      <c r="X1223" s="149">
        <v>0</v>
      </c>
      <c r="Y1223" s="368">
        <v>0</v>
      </c>
      <c r="Z1223" s="368">
        <v>0</v>
      </c>
      <c r="AA1223" s="368">
        <v>0</v>
      </c>
      <c r="AB1223" s="368">
        <v>0</v>
      </c>
      <c r="AC1223" s="368">
        <v>0</v>
      </c>
      <c r="AD1223" s="368">
        <v>0</v>
      </c>
      <c r="AE1223" s="368">
        <v>878.4</v>
      </c>
      <c r="AF1223" s="396">
        <f t="shared" ref="AF1223:AF1224" si="383">6238.91*AE1223/I1223</f>
        <v>1416.5633272158607</v>
      </c>
      <c r="AG1223" s="368">
        <v>0</v>
      </c>
      <c r="AH1223" s="396">
        <v>0</v>
      </c>
      <c r="AI1223" s="368">
        <v>0</v>
      </c>
      <c r="AJ1223" s="396">
        <v>0</v>
      </c>
      <c r="AK1223" s="368">
        <v>0</v>
      </c>
      <c r="AL1223" s="368">
        <v>0</v>
      </c>
      <c r="AM1223" s="368">
        <v>0</v>
      </c>
      <c r="AN1223" s="368"/>
      <c r="AO1223" s="368">
        <v>0</v>
      </c>
      <c r="AP1223" s="152"/>
      <c r="DQ1223" s="123"/>
      <c r="DR1223" s="123"/>
      <c r="DS1223" s="123"/>
      <c r="EG1223" s="124"/>
      <c r="EP1223" s="125"/>
      <c r="FS1223" s="126"/>
      <c r="GI1223" s="127"/>
    </row>
    <row r="1224" spans="1:191" s="121" customFormat="1" ht="36" customHeight="1" x14ac:dyDescent="0.9">
      <c r="A1224" s="152">
        <v>1</v>
      </c>
      <c r="B1224" s="90">
        <f>SUBTOTAL(103,$A$988:A1224)</f>
        <v>192</v>
      </c>
      <c r="C1224" s="176" t="s">
        <v>164</v>
      </c>
      <c r="D1224" s="163">
        <v>1964</v>
      </c>
      <c r="E1224" s="163"/>
      <c r="F1224" s="178" t="s">
        <v>270</v>
      </c>
      <c r="G1224" s="163">
        <v>2</v>
      </c>
      <c r="H1224" s="163">
        <v>1</v>
      </c>
      <c r="I1224" s="164">
        <v>304.7</v>
      </c>
      <c r="J1224" s="164">
        <v>280.7</v>
      </c>
      <c r="K1224" s="164">
        <v>280.7</v>
      </c>
      <c r="L1224" s="177">
        <v>11</v>
      </c>
      <c r="M1224" s="163" t="s">
        <v>268</v>
      </c>
      <c r="N1224" s="163" t="s">
        <v>272</v>
      </c>
      <c r="O1224" s="163" t="s">
        <v>292</v>
      </c>
      <c r="P1224" s="164">
        <v>1637341.3</v>
      </c>
      <c r="Q1224" s="164">
        <v>0</v>
      </c>
      <c r="R1224" s="164">
        <v>0</v>
      </c>
      <c r="S1224" s="164">
        <f>P1224-Q1224-R1224</f>
        <v>1637341.3</v>
      </c>
      <c r="T1224" s="167">
        <f t="shared" si="380"/>
        <v>5373.6176567115199</v>
      </c>
      <c r="U1224" s="167">
        <v>6420.2949954906471</v>
      </c>
      <c r="V1224" s="149">
        <f t="shared" si="369"/>
        <v>1046.6773387791272</v>
      </c>
      <c r="W1224" s="149">
        <f t="shared" si="382"/>
        <v>6420.2949954906471</v>
      </c>
      <c r="X1224" s="149">
        <v>0</v>
      </c>
      <c r="Y1224" s="368">
        <v>0</v>
      </c>
      <c r="Z1224" s="368">
        <v>0</v>
      </c>
      <c r="AA1224" s="368">
        <v>0</v>
      </c>
      <c r="AB1224" s="368">
        <v>0</v>
      </c>
      <c r="AC1224" s="368">
        <v>0</v>
      </c>
      <c r="AD1224" s="368">
        <v>0</v>
      </c>
      <c r="AE1224" s="368">
        <v>313.55860000000001</v>
      </c>
      <c r="AF1224" s="396">
        <f t="shared" si="383"/>
        <v>6420.2949954906471</v>
      </c>
      <c r="AG1224" s="368">
        <v>0</v>
      </c>
      <c r="AH1224" s="396">
        <v>0</v>
      </c>
      <c r="AI1224" s="368">
        <v>0</v>
      </c>
      <c r="AJ1224" s="396">
        <v>0</v>
      </c>
      <c r="AK1224" s="368">
        <v>0</v>
      </c>
      <c r="AL1224" s="368">
        <v>0</v>
      </c>
      <c r="AM1224" s="368">
        <v>0</v>
      </c>
      <c r="AN1224" s="368"/>
      <c r="AO1224" s="368">
        <v>0</v>
      </c>
      <c r="AP1224" s="152"/>
      <c r="DQ1224" s="123"/>
      <c r="DR1224" s="123"/>
      <c r="DS1224" s="123"/>
      <c r="EG1224" s="124"/>
      <c r="EP1224" s="125"/>
      <c r="FS1224" s="126"/>
      <c r="GI1224" s="127"/>
    </row>
    <row r="1225" spans="1:191" s="152" customFormat="1" ht="36" customHeight="1" x14ac:dyDescent="0.9">
      <c r="B1225" s="382" t="s">
        <v>865</v>
      </c>
      <c r="C1225" s="382"/>
      <c r="D1225" s="384" t="s">
        <v>903</v>
      </c>
      <c r="E1225" s="163" t="s">
        <v>903</v>
      </c>
      <c r="F1225" s="384" t="s">
        <v>903</v>
      </c>
      <c r="G1225" s="384" t="s">
        <v>903</v>
      </c>
      <c r="H1225" s="163" t="s">
        <v>903</v>
      </c>
      <c r="I1225" s="386">
        <f>I1226+I1227+I1228</f>
        <v>13642.179999999998</v>
      </c>
      <c r="J1225" s="164">
        <f>J1226+J1227+J1228</f>
        <v>4926.2000000000007</v>
      </c>
      <c r="K1225" s="164">
        <f>K1226+K1227+K1228</f>
        <v>504.30000000000007</v>
      </c>
      <c r="L1225" s="165">
        <f>L1226+L1227+L1228</f>
        <v>327</v>
      </c>
      <c r="M1225" s="163" t="s">
        <v>903</v>
      </c>
      <c r="N1225" s="163" t="s">
        <v>903</v>
      </c>
      <c r="O1225" s="166" t="s">
        <v>903</v>
      </c>
      <c r="P1225" s="387">
        <v>12459674.15</v>
      </c>
      <c r="Q1225" s="167">
        <f>Q1226+Q1227+Q1228</f>
        <v>0</v>
      </c>
      <c r="R1225" s="167">
        <f>R1226+R1227+R1228</f>
        <v>0</v>
      </c>
      <c r="S1225" s="167">
        <f>S1226+S1227+S1228</f>
        <v>12459674.15</v>
      </c>
      <c r="T1225" s="387">
        <f t="shared" si="380"/>
        <v>913.31987629543096</v>
      </c>
      <c r="U1225" s="387">
        <f>MAX(U1226:U1228)</f>
        <v>1742.1633432858102</v>
      </c>
      <c r="V1225" s="149">
        <f t="shared" si="369"/>
        <v>828.84346699037928</v>
      </c>
      <c r="W1225" s="149"/>
      <c r="X1225" s="149"/>
      <c r="Y1225" s="368"/>
      <c r="Z1225" s="368"/>
      <c r="AA1225" s="368"/>
      <c r="AB1225" s="368"/>
      <c r="AC1225" s="368"/>
      <c r="AD1225" s="368"/>
      <c r="AE1225" s="368"/>
      <c r="AF1225" s="368"/>
      <c r="AG1225" s="368"/>
      <c r="AH1225" s="368"/>
      <c r="AI1225" s="368"/>
      <c r="AJ1225" s="368"/>
      <c r="AK1225" s="368"/>
      <c r="AL1225" s="368"/>
      <c r="AM1225" s="368"/>
      <c r="AN1225" s="368"/>
      <c r="AO1225" s="368"/>
    </row>
    <row r="1226" spans="1:191" s="121" customFormat="1" ht="36" customHeight="1" x14ac:dyDescent="0.9">
      <c r="A1226" s="152">
        <v>1</v>
      </c>
      <c r="B1226" s="90">
        <f>SUBTOTAL(103,$A$988:A1226)</f>
        <v>193</v>
      </c>
      <c r="C1226" s="176" t="s">
        <v>161</v>
      </c>
      <c r="D1226" s="163">
        <v>1988</v>
      </c>
      <c r="E1226" s="163"/>
      <c r="F1226" s="178" t="s">
        <v>270</v>
      </c>
      <c r="G1226" s="163">
        <v>5</v>
      </c>
      <c r="H1226" s="163">
        <v>6</v>
      </c>
      <c r="I1226" s="164">
        <v>6118.54</v>
      </c>
      <c r="J1226" s="164">
        <v>2441.1</v>
      </c>
      <c r="K1226" s="164">
        <v>202.8</v>
      </c>
      <c r="L1226" s="177">
        <v>161</v>
      </c>
      <c r="M1226" s="163" t="s">
        <v>268</v>
      </c>
      <c r="N1226" s="163" t="s">
        <v>272</v>
      </c>
      <c r="O1226" s="163" t="s">
        <v>293</v>
      </c>
      <c r="P1226" s="164">
        <v>5095413.53</v>
      </c>
      <c r="Q1226" s="164">
        <v>0</v>
      </c>
      <c r="R1226" s="164">
        <v>0</v>
      </c>
      <c r="S1226" s="164">
        <f>P1226-Q1226-R1226</f>
        <v>5095413.53</v>
      </c>
      <c r="T1226" s="167">
        <f t="shared" si="380"/>
        <v>832.78258048488692</v>
      </c>
      <c r="U1226" s="167">
        <v>1301.908281861359</v>
      </c>
      <c r="V1226" s="149">
        <f t="shared" si="369"/>
        <v>469.12570137647208</v>
      </c>
      <c r="W1226" s="149">
        <f t="shared" ref="W1226:W1228" si="384">X1226+Y1226+Z1226+AA1226+AB1226+AD1226+AF1226+AH1226+AJ1226+AL1226+AN1226+AO1226</f>
        <v>1301.908281861359</v>
      </c>
      <c r="X1226" s="149">
        <v>0</v>
      </c>
      <c r="Y1226" s="368">
        <v>0</v>
      </c>
      <c r="Z1226" s="368">
        <v>0</v>
      </c>
      <c r="AA1226" s="368">
        <v>0</v>
      </c>
      <c r="AB1226" s="368">
        <v>0</v>
      </c>
      <c r="AC1226" s="368">
        <v>0</v>
      </c>
      <c r="AD1226" s="368">
        <v>0</v>
      </c>
      <c r="AE1226" s="368">
        <v>1276.79</v>
      </c>
      <c r="AF1226" s="396">
        <f t="shared" ref="AF1226:AF1228" si="385">6238.91*AE1226/I1226</f>
        <v>1301.908281861359</v>
      </c>
      <c r="AG1226" s="368">
        <v>0</v>
      </c>
      <c r="AH1226" s="396">
        <v>0</v>
      </c>
      <c r="AI1226" s="368">
        <v>0</v>
      </c>
      <c r="AJ1226" s="396">
        <v>0</v>
      </c>
      <c r="AK1226" s="368">
        <v>0</v>
      </c>
      <c r="AL1226" s="368">
        <v>0</v>
      </c>
      <c r="AM1226" s="368">
        <v>0</v>
      </c>
      <c r="AN1226" s="368"/>
      <c r="AO1226" s="368">
        <v>0</v>
      </c>
      <c r="AP1226" s="152"/>
      <c r="DQ1226" s="123"/>
      <c r="DR1226" s="123"/>
      <c r="DS1226" s="123"/>
      <c r="EG1226" s="124"/>
      <c r="EP1226" s="125"/>
      <c r="FS1226" s="126"/>
      <c r="GI1226" s="127"/>
    </row>
    <row r="1227" spans="1:191" s="121" customFormat="1" ht="36" customHeight="1" x14ac:dyDescent="0.9">
      <c r="A1227" s="152">
        <v>1</v>
      </c>
      <c r="B1227" s="90">
        <f>SUBTOTAL(103,$A$988:A1227)</f>
        <v>194</v>
      </c>
      <c r="C1227" s="176" t="s">
        <v>162</v>
      </c>
      <c r="D1227" s="163">
        <v>1985</v>
      </c>
      <c r="E1227" s="163"/>
      <c r="F1227" s="178" t="s">
        <v>270</v>
      </c>
      <c r="G1227" s="163">
        <v>5</v>
      </c>
      <c r="H1227" s="163">
        <v>4</v>
      </c>
      <c r="I1227" s="164">
        <v>4844.24</v>
      </c>
      <c r="J1227" s="164">
        <v>1720</v>
      </c>
      <c r="K1227" s="164">
        <v>192.4</v>
      </c>
      <c r="L1227" s="177">
        <v>114</v>
      </c>
      <c r="M1227" s="163" t="s">
        <v>268</v>
      </c>
      <c r="N1227" s="163" t="s">
        <v>272</v>
      </c>
      <c r="O1227" s="163" t="s">
        <v>293</v>
      </c>
      <c r="P1227" s="164">
        <v>3457309.86</v>
      </c>
      <c r="Q1227" s="164">
        <v>0</v>
      </c>
      <c r="R1227" s="164">
        <v>0</v>
      </c>
      <c r="S1227" s="164">
        <f>P1227-Q1227-R1227</f>
        <v>3457309.86</v>
      </c>
      <c r="T1227" s="167">
        <f t="shared" si="380"/>
        <v>713.69499859627103</v>
      </c>
      <c r="U1227" s="167">
        <v>1115.7359072217728</v>
      </c>
      <c r="V1227" s="149">
        <f t="shared" si="369"/>
        <v>402.04090862550174</v>
      </c>
      <c r="W1227" s="149">
        <f t="shared" si="384"/>
        <v>1115.7359072217728</v>
      </c>
      <c r="X1227" s="149">
        <v>0</v>
      </c>
      <c r="Y1227" s="368">
        <v>0</v>
      </c>
      <c r="Z1227" s="368">
        <v>0</v>
      </c>
      <c r="AA1227" s="368">
        <v>0</v>
      </c>
      <c r="AB1227" s="368">
        <v>0</v>
      </c>
      <c r="AC1227" s="368">
        <v>0</v>
      </c>
      <c r="AD1227" s="368">
        <v>0</v>
      </c>
      <c r="AE1227" s="368">
        <v>866.32</v>
      </c>
      <c r="AF1227" s="396">
        <f t="shared" si="385"/>
        <v>1115.7359072217728</v>
      </c>
      <c r="AG1227" s="368">
        <v>0</v>
      </c>
      <c r="AH1227" s="396">
        <v>0</v>
      </c>
      <c r="AI1227" s="368">
        <v>0</v>
      </c>
      <c r="AJ1227" s="396">
        <v>0</v>
      </c>
      <c r="AK1227" s="368">
        <v>0</v>
      </c>
      <c r="AL1227" s="368">
        <v>0</v>
      </c>
      <c r="AM1227" s="368">
        <v>0</v>
      </c>
      <c r="AN1227" s="368"/>
      <c r="AO1227" s="368">
        <v>0</v>
      </c>
      <c r="AP1227" s="152"/>
      <c r="DQ1227" s="123"/>
      <c r="DR1227" s="123"/>
      <c r="DS1227" s="123"/>
      <c r="EG1227" s="124"/>
      <c r="EP1227" s="125"/>
      <c r="FS1227" s="126"/>
      <c r="GI1227" s="127"/>
    </row>
    <row r="1228" spans="1:191" s="121" customFormat="1" ht="36" customHeight="1" x14ac:dyDescent="0.9">
      <c r="A1228" s="152">
        <v>1</v>
      </c>
      <c r="B1228" s="90">
        <f>SUBTOTAL(103,$A$988:A1228)</f>
        <v>195</v>
      </c>
      <c r="C1228" s="176" t="s">
        <v>163</v>
      </c>
      <c r="D1228" s="163">
        <v>1979</v>
      </c>
      <c r="E1228" s="163"/>
      <c r="F1228" s="178" t="s">
        <v>270</v>
      </c>
      <c r="G1228" s="163">
        <v>3</v>
      </c>
      <c r="H1228" s="163">
        <v>3</v>
      </c>
      <c r="I1228" s="164">
        <v>2679.4</v>
      </c>
      <c r="J1228" s="164">
        <v>765.1</v>
      </c>
      <c r="K1228" s="164">
        <v>109.1</v>
      </c>
      <c r="L1228" s="177">
        <v>52</v>
      </c>
      <c r="M1228" s="163" t="s">
        <v>268</v>
      </c>
      <c r="N1228" s="163" t="s">
        <v>272</v>
      </c>
      <c r="O1228" s="163" t="s">
        <v>297</v>
      </c>
      <c r="P1228" s="164">
        <v>3906950.76</v>
      </c>
      <c r="Q1228" s="164">
        <v>0</v>
      </c>
      <c r="R1228" s="164">
        <v>0</v>
      </c>
      <c r="S1228" s="164">
        <f>P1228-Q1228-R1228</f>
        <v>3906950.76</v>
      </c>
      <c r="T1228" s="167">
        <f t="shared" si="380"/>
        <v>1458.1438978875867</v>
      </c>
      <c r="U1228" s="167">
        <v>1742.1633432858102</v>
      </c>
      <c r="V1228" s="149">
        <f t="shared" si="369"/>
        <v>284.01944539822352</v>
      </c>
      <c r="W1228" s="149">
        <f t="shared" si="384"/>
        <v>1742.1633432858102</v>
      </c>
      <c r="X1228" s="149">
        <v>0</v>
      </c>
      <c r="Y1228" s="368">
        <v>0</v>
      </c>
      <c r="Z1228" s="368">
        <v>0</v>
      </c>
      <c r="AA1228" s="368">
        <v>0</v>
      </c>
      <c r="AB1228" s="368">
        <v>0</v>
      </c>
      <c r="AC1228" s="368">
        <v>0</v>
      </c>
      <c r="AD1228" s="368">
        <v>0</v>
      </c>
      <c r="AE1228" s="368">
        <v>748.2</v>
      </c>
      <c r="AF1228" s="396">
        <f t="shared" si="385"/>
        <v>1742.1633432858102</v>
      </c>
      <c r="AG1228" s="368">
        <v>0</v>
      </c>
      <c r="AH1228" s="396">
        <v>0</v>
      </c>
      <c r="AI1228" s="368">
        <v>0</v>
      </c>
      <c r="AJ1228" s="396">
        <v>0</v>
      </c>
      <c r="AK1228" s="368">
        <v>0</v>
      </c>
      <c r="AL1228" s="368">
        <v>0</v>
      </c>
      <c r="AM1228" s="368">
        <v>0</v>
      </c>
      <c r="AN1228" s="368"/>
      <c r="AO1228" s="368">
        <v>0</v>
      </c>
      <c r="AP1228" s="152"/>
      <c r="DQ1228" s="123"/>
      <c r="DR1228" s="123"/>
      <c r="DS1228" s="123"/>
      <c r="EG1228" s="124"/>
      <c r="EP1228" s="125"/>
      <c r="FS1228" s="126"/>
      <c r="GI1228" s="127"/>
    </row>
    <row r="1229" spans="1:191" s="152" customFormat="1" ht="36" customHeight="1" x14ac:dyDescent="0.9">
      <c r="B1229" s="382" t="s">
        <v>866</v>
      </c>
      <c r="C1229" s="382"/>
      <c r="D1229" s="384" t="s">
        <v>903</v>
      </c>
      <c r="E1229" s="163" t="s">
        <v>903</v>
      </c>
      <c r="F1229" s="384" t="s">
        <v>903</v>
      </c>
      <c r="G1229" s="384" t="s">
        <v>903</v>
      </c>
      <c r="H1229" s="163" t="s">
        <v>903</v>
      </c>
      <c r="I1229" s="386">
        <f>SUM(I1230:I1232)</f>
        <v>10207.129999999999</v>
      </c>
      <c r="J1229" s="164">
        <f>SUM(J1230:J1232)</f>
        <v>6681</v>
      </c>
      <c r="K1229" s="164">
        <f>SUM(K1230:K1232)</f>
        <v>6184.34</v>
      </c>
      <c r="L1229" s="165">
        <f>SUM(L1230:L1232)</f>
        <v>449</v>
      </c>
      <c r="M1229" s="163" t="s">
        <v>903</v>
      </c>
      <c r="N1229" s="163" t="s">
        <v>903</v>
      </c>
      <c r="O1229" s="166" t="s">
        <v>903</v>
      </c>
      <c r="P1229" s="387">
        <v>12269019.870000001</v>
      </c>
      <c r="Q1229" s="167">
        <f>SUM(Q1230:Q1232)</f>
        <v>0</v>
      </c>
      <c r="R1229" s="167">
        <f>SUM(R1230:R1232)</f>
        <v>0</v>
      </c>
      <c r="S1229" s="167">
        <f>SUM(S1230:S1232)</f>
        <v>12269019.870000001</v>
      </c>
      <c r="T1229" s="387">
        <f t="shared" si="380"/>
        <v>1202.0048603280259</v>
      </c>
      <c r="U1229" s="387">
        <f>MAX(U1230:U1232)</f>
        <v>6123.1343665070153</v>
      </c>
      <c r="V1229" s="149">
        <f t="shared" si="369"/>
        <v>4921.1295061789897</v>
      </c>
      <c r="W1229" s="149"/>
      <c r="X1229" s="149"/>
      <c r="Y1229" s="368"/>
      <c r="Z1229" s="368"/>
      <c r="AA1229" s="368"/>
      <c r="AB1229" s="368"/>
      <c r="AC1229" s="368"/>
      <c r="AD1229" s="368"/>
      <c r="AE1229" s="368"/>
      <c r="AF1229" s="368"/>
      <c r="AG1229" s="368"/>
      <c r="AH1229" s="368"/>
      <c r="AI1229" s="368"/>
      <c r="AJ1229" s="368"/>
      <c r="AK1229" s="368"/>
      <c r="AL1229" s="368"/>
      <c r="AM1229" s="368"/>
      <c r="AN1229" s="368"/>
      <c r="AO1229" s="368"/>
    </row>
    <row r="1230" spans="1:191" s="121" customFormat="1" ht="36" customHeight="1" x14ac:dyDescent="0.9">
      <c r="A1230" s="152">
        <v>1</v>
      </c>
      <c r="B1230" s="90">
        <f>SUBTOTAL(103,$A$988:A1230)</f>
        <v>196</v>
      </c>
      <c r="C1230" s="176" t="s">
        <v>157</v>
      </c>
      <c r="D1230" s="163">
        <v>1971</v>
      </c>
      <c r="E1230" s="163"/>
      <c r="F1230" s="178" t="s">
        <v>270</v>
      </c>
      <c r="G1230" s="163">
        <v>5</v>
      </c>
      <c r="H1230" s="163">
        <v>3</v>
      </c>
      <c r="I1230" s="164">
        <v>3186.9</v>
      </c>
      <c r="J1230" s="164">
        <v>1676</v>
      </c>
      <c r="K1230" s="164">
        <v>1676</v>
      </c>
      <c r="L1230" s="177">
        <v>175</v>
      </c>
      <c r="M1230" s="163" t="s">
        <v>268</v>
      </c>
      <c r="N1230" s="163" t="s">
        <v>302</v>
      </c>
      <c r="O1230" s="163" t="s">
        <v>303</v>
      </c>
      <c r="P1230" s="164">
        <v>694428.7</v>
      </c>
      <c r="Q1230" s="164">
        <v>0</v>
      </c>
      <c r="R1230" s="164">
        <v>0</v>
      </c>
      <c r="S1230" s="164">
        <f>P1230-Q1230-R1230</f>
        <v>694428.7</v>
      </c>
      <c r="T1230" s="167">
        <f t="shared" si="380"/>
        <v>217.90100097273211</v>
      </c>
      <c r="U1230" s="167">
        <v>406.3737676111582</v>
      </c>
      <c r="V1230" s="149">
        <f t="shared" si="369"/>
        <v>188.47276663842609</v>
      </c>
      <c r="W1230" s="149">
        <f t="shared" ref="W1230:W1232" si="386">X1230+Y1230+Z1230+AA1230+AB1230+AD1230+AF1230+AH1230+AJ1230+AL1230+AN1230+AO1230</f>
        <v>406.3737676111582</v>
      </c>
      <c r="X1230" s="149">
        <v>0</v>
      </c>
      <c r="Y1230" s="368">
        <v>0</v>
      </c>
      <c r="Z1230" s="368">
        <v>0</v>
      </c>
      <c r="AA1230" s="368">
        <v>0</v>
      </c>
      <c r="AB1230" s="368">
        <v>0</v>
      </c>
      <c r="AC1230" s="368">
        <v>0</v>
      </c>
      <c r="AD1230" s="368">
        <v>0</v>
      </c>
      <c r="AE1230" s="368">
        <v>0</v>
      </c>
      <c r="AF1230" s="396">
        <v>0</v>
      </c>
      <c r="AG1230" s="368">
        <v>146</v>
      </c>
      <c r="AH1230" s="396">
        <f>8870.36*AG1230/I1230</f>
        <v>406.3737676111582</v>
      </c>
      <c r="AI1230" s="368">
        <v>0</v>
      </c>
      <c r="AJ1230" s="396">
        <v>0</v>
      </c>
      <c r="AK1230" s="368">
        <v>0</v>
      </c>
      <c r="AL1230" s="368">
        <v>0</v>
      </c>
      <c r="AM1230" s="368">
        <v>0</v>
      </c>
      <c r="AN1230" s="368"/>
      <c r="AO1230" s="368">
        <v>0</v>
      </c>
      <c r="AP1230" s="152"/>
      <c r="DQ1230" s="123"/>
      <c r="DR1230" s="123"/>
      <c r="DS1230" s="123"/>
      <c r="EG1230" s="124"/>
      <c r="EP1230" s="125"/>
      <c r="FS1230" s="126"/>
      <c r="GI1230" s="127"/>
    </row>
    <row r="1231" spans="1:191" s="152" customFormat="1" ht="36" customHeight="1" x14ac:dyDescent="0.9">
      <c r="A1231" s="152">
        <v>1</v>
      </c>
      <c r="B1231" s="90">
        <f>SUBTOTAL(103,$A$988:A1231)</f>
        <v>197</v>
      </c>
      <c r="C1231" s="89" t="s">
        <v>149</v>
      </c>
      <c r="D1231" s="163">
        <v>1928</v>
      </c>
      <c r="E1231" s="163"/>
      <c r="F1231" s="168" t="s">
        <v>270</v>
      </c>
      <c r="G1231" s="163">
        <v>3</v>
      </c>
      <c r="H1231" s="163">
        <v>4</v>
      </c>
      <c r="I1231" s="164">
        <v>1718.33</v>
      </c>
      <c r="J1231" s="164">
        <v>1375</v>
      </c>
      <c r="K1231" s="164">
        <v>1224.44</v>
      </c>
      <c r="L1231" s="165">
        <v>85</v>
      </c>
      <c r="M1231" s="163" t="s">
        <v>268</v>
      </c>
      <c r="N1231" s="163" t="s">
        <v>272</v>
      </c>
      <c r="O1231" s="166" t="s">
        <v>299</v>
      </c>
      <c r="P1231" s="167">
        <v>5246630.67</v>
      </c>
      <c r="Q1231" s="167">
        <v>0</v>
      </c>
      <c r="R1231" s="167">
        <v>0</v>
      </c>
      <c r="S1231" s="167">
        <f>P1231-Q1231-R1231</f>
        <v>5246630.67</v>
      </c>
      <c r="T1231" s="167">
        <f t="shared" si="380"/>
        <v>3053.3312402157908</v>
      </c>
      <c r="U1231" s="167">
        <v>6123.1343665070153</v>
      </c>
      <c r="V1231" s="149">
        <f t="shared" si="369"/>
        <v>3069.8031262912245</v>
      </c>
      <c r="W1231" s="149">
        <f t="shared" si="386"/>
        <v>6123.1343665070153</v>
      </c>
      <c r="X1231" s="149">
        <v>0</v>
      </c>
      <c r="Y1231" s="368">
        <v>0</v>
      </c>
      <c r="Z1231" s="368">
        <v>0</v>
      </c>
      <c r="AA1231" s="368">
        <v>0</v>
      </c>
      <c r="AB1231" s="368">
        <v>0</v>
      </c>
      <c r="AC1231" s="368">
        <v>0</v>
      </c>
      <c r="AD1231" s="368">
        <v>0</v>
      </c>
      <c r="AE1231" s="368">
        <v>0</v>
      </c>
      <c r="AF1231" s="396">
        <v>0</v>
      </c>
      <c r="AG1231" s="368">
        <v>0</v>
      </c>
      <c r="AH1231" s="396">
        <v>0</v>
      </c>
      <c r="AI1231" s="368">
        <v>1414.36</v>
      </c>
      <c r="AJ1231" s="397">
        <f>7439.1*AI1231/I1231</f>
        <v>6123.1343665070153</v>
      </c>
      <c r="AK1231" s="368">
        <v>0</v>
      </c>
      <c r="AL1231" s="368">
        <v>0</v>
      </c>
      <c r="AM1231" s="368">
        <v>0</v>
      </c>
      <c r="AN1231" s="368"/>
      <c r="AO1231" s="368">
        <v>0</v>
      </c>
    </row>
    <row r="1232" spans="1:191" s="121" customFormat="1" ht="36" customHeight="1" x14ac:dyDescent="0.9">
      <c r="A1232" s="152">
        <v>1</v>
      </c>
      <c r="B1232" s="90">
        <f>SUBTOTAL(103,$A$988:A1232)</f>
        <v>198</v>
      </c>
      <c r="C1232" s="176" t="s">
        <v>138</v>
      </c>
      <c r="D1232" s="163">
        <v>1990</v>
      </c>
      <c r="E1232" s="163"/>
      <c r="F1232" s="178" t="s">
        <v>270</v>
      </c>
      <c r="G1232" s="163">
        <v>5</v>
      </c>
      <c r="H1232" s="163">
        <v>5</v>
      </c>
      <c r="I1232" s="164">
        <v>5301.9</v>
      </c>
      <c r="J1232" s="164">
        <v>3630</v>
      </c>
      <c r="K1232" s="164">
        <v>3283.9</v>
      </c>
      <c r="L1232" s="177">
        <v>189</v>
      </c>
      <c r="M1232" s="163" t="s">
        <v>268</v>
      </c>
      <c r="N1232" s="163" t="s">
        <v>272</v>
      </c>
      <c r="O1232" s="163" t="s">
        <v>297</v>
      </c>
      <c r="P1232" s="164">
        <v>6327960.5</v>
      </c>
      <c r="Q1232" s="164">
        <v>0</v>
      </c>
      <c r="R1232" s="164">
        <v>0</v>
      </c>
      <c r="S1232" s="164">
        <f>P1232-Q1232-R1232</f>
        <v>6327960.5</v>
      </c>
      <c r="T1232" s="167">
        <f t="shared" si="380"/>
        <v>1193.5269431713161</v>
      </c>
      <c r="U1232" s="167">
        <v>1207.9343914445765</v>
      </c>
      <c r="V1232" s="149">
        <f t="shared" si="369"/>
        <v>14.407448273260343</v>
      </c>
      <c r="W1232" s="149">
        <f t="shared" si="386"/>
        <v>1207.9343914445765</v>
      </c>
      <c r="X1232" s="149">
        <v>0</v>
      </c>
      <c r="Y1232" s="368">
        <v>0</v>
      </c>
      <c r="Z1232" s="368">
        <v>0</v>
      </c>
      <c r="AA1232" s="368">
        <v>0</v>
      </c>
      <c r="AB1232" s="368">
        <v>0</v>
      </c>
      <c r="AC1232" s="368">
        <v>0</v>
      </c>
      <c r="AD1232" s="368">
        <v>0</v>
      </c>
      <c r="AE1232" s="368">
        <v>995</v>
      </c>
      <c r="AF1232" s="396">
        <f>6436.53*AE1232/I1232</f>
        <v>1207.9343914445765</v>
      </c>
      <c r="AG1232" s="368">
        <v>0</v>
      </c>
      <c r="AH1232" s="396">
        <v>0</v>
      </c>
      <c r="AI1232" s="368">
        <v>0</v>
      </c>
      <c r="AJ1232" s="396">
        <v>0</v>
      </c>
      <c r="AK1232" s="368">
        <v>0</v>
      </c>
      <c r="AL1232" s="368">
        <v>0</v>
      </c>
      <c r="AM1232" s="368">
        <v>0</v>
      </c>
      <c r="AN1232" s="368"/>
      <c r="AO1232" s="368">
        <v>0</v>
      </c>
      <c r="AP1232" s="152"/>
      <c r="DQ1232" s="123"/>
      <c r="DR1232" s="123"/>
      <c r="DS1232" s="123"/>
      <c r="EG1232" s="124"/>
      <c r="EP1232" s="125"/>
      <c r="FS1232" s="126"/>
      <c r="GI1232" s="127"/>
    </row>
    <row r="1233" spans="1:191" s="152" customFormat="1" ht="36" customHeight="1" x14ac:dyDescent="0.9">
      <c r="B1233" s="382" t="s">
        <v>867</v>
      </c>
      <c r="C1233" s="388"/>
      <c r="D1233" s="384" t="s">
        <v>903</v>
      </c>
      <c r="E1233" s="163" t="s">
        <v>903</v>
      </c>
      <c r="F1233" s="384" t="s">
        <v>903</v>
      </c>
      <c r="G1233" s="384" t="s">
        <v>903</v>
      </c>
      <c r="H1233" s="163" t="s">
        <v>903</v>
      </c>
      <c r="I1233" s="386">
        <f>SUM(I1234:I1235)</f>
        <v>5101.2</v>
      </c>
      <c r="J1233" s="164">
        <f>SUM(J1234:J1235)</f>
        <v>4560.8999999999996</v>
      </c>
      <c r="K1233" s="164">
        <f>SUM(K1234:K1235)</f>
        <v>3873.8</v>
      </c>
      <c r="L1233" s="165">
        <f>SUM(L1234:L1235)</f>
        <v>164</v>
      </c>
      <c r="M1233" s="163" t="s">
        <v>903</v>
      </c>
      <c r="N1233" s="163" t="s">
        <v>903</v>
      </c>
      <c r="O1233" s="166" t="s">
        <v>903</v>
      </c>
      <c r="P1233" s="387">
        <v>9221698.8000000007</v>
      </c>
      <c r="Q1233" s="167">
        <f>Q1234+Q1235</f>
        <v>0</v>
      </c>
      <c r="R1233" s="167">
        <f>R1234+R1235</f>
        <v>0</v>
      </c>
      <c r="S1233" s="167">
        <f>S1234+S1235</f>
        <v>9221698.8000000007</v>
      </c>
      <c r="T1233" s="387">
        <f t="shared" si="380"/>
        <v>1807.7508821453778</v>
      </c>
      <c r="U1233" s="387">
        <f>MAX(U1234:U1235)</f>
        <v>3020.7153664588755</v>
      </c>
      <c r="V1233" s="149">
        <f t="shared" si="369"/>
        <v>1212.9644843134977</v>
      </c>
      <c r="W1233" s="149"/>
      <c r="X1233" s="149"/>
      <c r="Y1233" s="368"/>
      <c r="Z1233" s="368"/>
      <c r="AA1233" s="368"/>
      <c r="AB1233" s="368"/>
      <c r="AC1233" s="368"/>
      <c r="AD1233" s="368"/>
      <c r="AE1233" s="368"/>
      <c r="AF1233" s="368"/>
      <c r="AG1233" s="368"/>
      <c r="AH1233" s="368"/>
      <c r="AI1233" s="368"/>
      <c r="AJ1233" s="368"/>
      <c r="AK1233" s="368"/>
      <c r="AL1233" s="368"/>
      <c r="AM1233" s="368"/>
      <c r="AN1233" s="368"/>
      <c r="AO1233" s="368"/>
    </row>
    <row r="1234" spans="1:191" s="121" customFormat="1" ht="36" customHeight="1" x14ac:dyDescent="0.9">
      <c r="A1234" s="152">
        <v>1</v>
      </c>
      <c r="B1234" s="90">
        <f>SUBTOTAL(103,$A$988:A1234)</f>
        <v>199</v>
      </c>
      <c r="C1234" s="176" t="s">
        <v>100</v>
      </c>
      <c r="D1234" s="163">
        <v>1985</v>
      </c>
      <c r="E1234" s="163"/>
      <c r="F1234" s="178" t="s">
        <v>270</v>
      </c>
      <c r="G1234" s="163">
        <v>3</v>
      </c>
      <c r="H1234" s="163">
        <v>3</v>
      </c>
      <c r="I1234" s="164">
        <v>1652.3</v>
      </c>
      <c r="J1234" s="164">
        <v>1350.8</v>
      </c>
      <c r="K1234" s="164">
        <v>1350.8</v>
      </c>
      <c r="L1234" s="177">
        <v>61</v>
      </c>
      <c r="M1234" s="163" t="s">
        <v>268</v>
      </c>
      <c r="N1234" s="163" t="s">
        <v>272</v>
      </c>
      <c r="O1234" s="163" t="s">
        <v>285</v>
      </c>
      <c r="P1234" s="164">
        <v>4177440</v>
      </c>
      <c r="Q1234" s="164">
        <v>0</v>
      </c>
      <c r="R1234" s="164">
        <v>0</v>
      </c>
      <c r="S1234" s="164">
        <f>P1234-Q1234-R1234</f>
        <v>4177440</v>
      </c>
      <c r="T1234" s="167">
        <f t="shared" si="380"/>
        <v>2528.257580342553</v>
      </c>
      <c r="U1234" s="167">
        <v>3020.7153664588755</v>
      </c>
      <c r="V1234" s="149">
        <f t="shared" si="369"/>
        <v>492.4577861163225</v>
      </c>
      <c r="W1234" s="149">
        <f t="shared" ref="W1234:W1235" si="387">X1234+Y1234+Z1234+AA1234+AB1234+AD1234+AF1234+AH1234+AJ1234+AL1234+AN1234+AO1234</f>
        <v>3020.7153664588755</v>
      </c>
      <c r="X1234" s="149">
        <v>0</v>
      </c>
      <c r="Y1234" s="368">
        <v>0</v>
      </c>
      <c r="Z1234" s="368">
        <v>0</v>
      </c>
      <c r="AA1234" s="368">
        <v>0</v>
      </c>
      <c r="AB1234" s="368">
        <v>0</v>
      </c>
      <c r="AC1234" s="368">
        <v>0</v>
      </c>
      <c r="AD1234" s="368">
        <v>0</v>
      </c>
      <c r="AE1234" s="368">
        <v>800</v>
      </c>
      <c r="AF1234" s="396">
        <f t="shared" ref="AF1234:AF1235" si="388">6238.91*AE1234/I1234</f>
        <v>3020.7153664588755</v>
      </c>
      <c r="AG1234" s="368">
        <v>0</v>
      </c>
      <c r="AH1234" s="396">
        <v>0</v>
      </c>
      <c r="AI1234" s="368">
        <v>0</v>
      </c>
      <c r="AJ1234" s="396">
        <v>0</v>
      </c>
      <c r="AK1234" s="368">
        <v>0</v>
      </c>
      <c r="AL1234" s="368">
        <v>0</v>
      </c>
      <c r="AM1234" s="368">
        <v>0</v>
      </c>
      <c r="AN1234" s="368"/>
      <c r="AO1234" s="368">
        <v>0</v>
      </c>
      <c r="AP1234" s="152"/>
      <c r="DQ1234" s="123"/>
      <c r="DR1234" s="123"/>
      <c r="DS1234" s="123"/>
      <c r="EG1234" s="124"/>
      <c r="EP1234" s="125"/>
      <c r="FS1234" s="126"/>
      <c r="GI1234" s="127"/>
    </row>
    <row r="1235" spans="1:191" s="121" customFormat="1" ht="36" customHeight="1" x14ac:dyDescent="0.9">
      <c r="A1235" s="152">
        <v>1</v>
      </c>
      <c r="B1235" s="90">
        <f>SUBTOTAL(103,$A$988:A1235)</f>
        <v>200</v>
      </c>
      <c r="C1235" s="176" t="s">
        <v>101</v>
      </c>
      <c r="D1235" s="163">
        <v>1972</v>
      </c>
      <c r="E1235" s="163"/>
      <c r="F1235" s="178" t="s">
        <v>270</v>
      </c>
      <c r="G1235" s="163">
        <v>5</v>
      </c>
      <c r="H1235" s="163">
        <v>4</v>
      </c>
      <c r="I1235" s="164">
        <v>3448.9</v>
      </c>
      <c r="J1235" s="164">
        <v>3210.1</v>
      </c>
      <c r="K1235" s="164">
        <v>2523</v>
      </c>
      <c r="L1235" s="177">
        <v>103</v>
      </c>
      <c r="M1235" s="163" t="s">
        <v>268</v>
      </c>
      <c r="N1235" s="163" t="s">
        <v>272</v>
      </c>
      <c r="O1235" s="163" t="s">
        <v>283</v>
      </c>
      <c r="P1235" s="164">
        <v>5044258.8</v>
      </c>
      <c r="Q1235" s="164">
        <v>0</v>
      </c>
      <c r="R1235" s="164">
        <v>0</v>
      </c>
      <c r="S1235" s="164">
        <f>P1235-Q1235-R1235</f>
        <v>5044258.8</v>
      </c>
      <c r="T1235" s="167">
        <f t="shared" si="380"/>
        <v>1462.5703267708543</v>
      </c>
      <c r="U1235" s="167">
        <v>1747.451958595494</v>
      </c>
      <c r="V1235" s="149">
        <f t="shared" si="369"/>
        <v>284.88163182463973</v>
      </c>
      <c r="W1235" s="149">
        <f t="shared" si="387"/>
        <v>1747.451958595494</v>
      </c>
      <c r="X1235" s="149">
        <v>0</v>
      </c>
      <c r="Y1235" s="368">
        <v>0</v>
      </c>
      <c r="Z1235" s="368">
        <v>0</v>
      </c>
      <c r="AA1235" s="368">
        <v>0</v>
      </c>
      <c r="AB1235" s="368">
        <v>0</v>
      </c>
      <c r="AC1235" s="368">
        <v>0</v>
      </c>
      <c r="AD1235" s="368">
        <v>0</v>
      </c>
      <c r="AE1235" s="368">
        <v>966</v>
      </c>
      <c r="AF1235" s="396">
        <f t="shared" si="388"/>
        <v>1747.451958595494</v>
      </c>
      <c r="AG1235" s="368">
        <v>0</v>
      </c>
      <c r="AH1235" s="396">
        <v>0</v>
      </c>
      <c r="AI1235" s="368">
        <v>0</v>
      </c>
      <c r="AJ1235" s="396">
        <v>0</v>
      </c>
      <c r="AK1235" s="368">
        <v>0</v>
      </c>
      <c r="AL1235" s="368">
        <v>0</v>
      </c>
      <c r="AM1235" s="368">
        <v>0</v>
      </c>
      <c r="AN1235" s="368"/>
      <c r="AO1235" s="368">
        <v>0</v>
      </c>
      <c r="AP1235" s="152"/>
      <c r="DQ1235" s="123"/>
      <c r="DR1235" s="123"/>
      <c r="DS1235" s="123"/>
      <c r="EG1235" s="124"/>
      <c r="EP1235" s="125"/>
      <c r="FS1235" s="126"/>
      <c r="GI1235" s="127"/>
    </row>
    <row r="1236" spans="1:191" s="152" customFormat="1" ht="36" customHeight="1" x14ac:dyDescent="0.9">
      <c r="B1236" s="382" t="s">
        <v>894</v>
      </c>
      <c r="C1236" s="382"/>
      <c r="D1236" s="384" t="s">
        <v>903</v>
      </c>
      <c r="E1236" s="163" t="s">
        <v>903</v>
      </c>
      <c r="F1236" s="384" t="s">
        <v>903</v>
      </c>
      <c r="G1236" s="384" t="s">
        <v>903</v>
      </c>
      <c r="H1236" s="163" t="s">
        <v>903</v>
      </c>
      <c r="I1236" s="386">
        <f>I1237</f>
        <v>783.81</v>
      </c>
      <c r="J1236" s="164">
        <f>J1237</f>
        <v>668.19</v>
      </c>
      <c r="K1236" s="164">
        <f>K1237</f>
        <v>668.19</v>
      </c>
      <c r="L1236" s="165">
        <f>L1237</f>
        <v>28</v>
      </c>
      <c r="M1236" s="163" t="s">
        <v>903</v>
      </c>
      <c r="N1236" s="163" t="s">
        <v>903</v>
      </c>
      <c r="O1236" s="166" t="s">
        <v>903</v>
      </c>
      <c r="P1236" s="387">
        <v>3623929.1999999997</v>
      </c>
      <c r="Q1236" s="167">
        <f>Q1237</f>
        <v>0</v>
      </c>
      <c r="R1236" s="167">
        <f>R1237</f>
        <v>0</v>
      </c>
      <c r="S1236" s="167">
        <f>S1237</f>
        <v>3623929.1999999997</v>
      </c>
      <c r="T1236" s="387">
        <f t="shared" si="380"/>
        <v>4623.4791594901826</v>
      </c>
      <c r="U1236" s="387">
        <f>U1237</f>
        <v>5524.0473328995549</v>
      </c>
      <c r="V1236" s="149">
        <f t="shared" ref="V1236:V1257" si="389">U1236-T1236</f>
        <v>900.56817340937232</v>
      </c>
      <c r="W1236" s="149"/>
      <c r="X1236" s="149"/>
      <c r="Y1236" s="368"/>
      <c r="Z1236" s="368"/>
      <c r="AA1236" s="368"/>
      <c r="AB1236" s="368"/>
      <c r="AC1236" s="368"/>
      <c r="AD1236" s="368"/>
      <c r="AE1236" s="368"/>
      <c r="AF1236" s="368"/>
      <c r="AG1236" s="368"/>
      <c r="AH1236" s="368"/>
      <c r="AI1236" s="368"/>
      <c r="AJ1236" s="368"/>
      <c r="AK1236" s="368"/>
      <c r="AL1236" s="368"/>
      <c r="AM1236" s="368"/>
      <c r="AN1236" s="368"/>
      <c r="AO1236" s="368"/>
    </row>
    <row r="1237" spans="1:191" s="121" customFormat="1" ht="36" customHeight="1" x14ac:dyDescent="0.9">
      <c r="A1237" s="152">
        <v>1</v>
      </c>
      <c r="B1237" s="90">
        <f>SUBTOTAL(103,$A$988:A1237)</f>
        <v>201</v>
      </c>
      <c r="C1237" s="176" t="s">
        <v>105</v>
      </c>
      <c r="D1237" s="163">
        <v>1968</v>
      </c>
      <c r="E1237" s="163"/>
      <c r="F1237" s="178" t="s">
        <v>270</v>
      </c>
      <c r="G1237" s="163">
        <v>2</v>
      </c>
      <c r="H1237" s="163">
        <v>2</v>
      </c>
      <c r="I1237" s="164">
        <v>783.81</v>
      </c>
      <c r="J1237" s="164">
        <v>668.19</v>
      </c>
      <c r="K1237" s="164">
        <v>668.19</v>
      </c>
      <c r="L1237" s="177">
        <v>28</v>
      </c>
      <c r="M1237" s="163" t="s">
        <v>268</v>
      </c>
      <c r="N1237" s="163" t="s">
        <v>272</v>
      </c>
      <c r="O1237" s="163" t="s">
        <v>285</v>
      </c>
      <c r="P1237" s="164">
        <v>3623929.1999999997</v>
      </c>
      <c r="Q1237" s="164">
        <v>0</v>
      </c>
      <c r="R1237" s="164">
        <v>0</v>
      </c>
      <c r="S1237" s="164">
        <f>P1237-Q1237-R1237</f>
        <v>3623929.1999999997</v>
      </c>
      <c r="T1237" s="167">
        <f t="shared" si="380"/>
        <v>4623.4791594901826</v>
      </c>
      <c r="U1237" s="167">
        <v>5524.0473328995549</v>
      </c>
      <c r="V1237" s="149">
        <f>U1237-T1237</f>
        <v>900.56817340937232</v>
      </c>
      <c r="W1237" s="149">
        <f>X1237+Y1237+Z1237+AA1237+AB1237+AD1237+AF1237+AH1237+AJ1237+AL1237+AN1237+AO1237</f>
        <v>5524.0473328995549</v>
      </c>
      <c r="X1237" s="149">
        <v>0</v>
      </c>
      <c r="Y1237" s="368">
        <v>0</v>
      </c>
      <c r="Z1237" s="368">
        <v>0</v>
      </c>
      <c r="AA1237" s="368">
        <v>0</v>
      </c>
      <c r="AB1237" s="368">
        <v>0</v>
      </c>
      <c r="AC1237" s="368">
        <v>0</v>
      </c>
      <c r="AD1237" s="368">
        <v>0</v>
      </c>
      <c r="AE1237" s="368">
        <v>694</v>
      </c>
      <c r="AF1237" s="396">
        <f>6238.91*AE1237/I1237</f>
        <v>5524.0473328995549</v>
      </c>
      <c r="AG1237" s="368">
        <v>0</v>
      </c>
      <c r="AH1237" s="396">
        <v>0</v>
      </c>
      <c r="AI1237" s="368">
        <v>0</v>
      </c>
      <c r="AJ1237" s="396">
        <v>0</v>
      </c>
      <c r="AK1237" s="368">
        <v>0</v>
      </c>
      <c r="AL1237" s="368">
        <v>0</v>
      </c>
      <c r="AM1237" s="368">
        <v>0</v>
      </c>
      <c r="AN1237" s="368"/>
      <c r="AO1237" s="368">
        <v>0</v>
      </c>
      <c r="AP1237" s="152"/>
      <c r="DQ1237" s="123"/>
      <c r="DR1237" s="123"/>
      <c r="DS1237" s="123"/>
      <c r="EG1237" s="124"/>
      <c r="EP1237" s="125"/>
      <c r="FS1237" s="126"/>
      <c r="GI1237" s="127"/>
    </row>
    <row r="1238" spans="1:191" s="152" customFormat="1" ht="36" customHeight="1" x14ac:dyDescent="0.9">
      <c r="B1238" s="382" t="s">
        <v>868</v>
      </c>
      <c r="C1238" s="382"/>
      <c r="D1238" s="384" t="s">
        <v>903</v>
      </c>
      <c r="E1238" s="163" t="s">
        <v>903</v>
      </c>
      <c r="F1238" s="384" t="s">
        <v>903</v>
      </c>
      <c r="G1238" s="384" t="s">
        <v>903</v>
      </c>
      <c r="H1238" s="163" t="s">
        <v>903</v>
      </c>
      <c r="I1238" s="386">
        <f>I1239</f>
        <v>680.2</v>
      </c>
      <c r="J1238" s="164">
        <f>J1239</f>
        <v>617.70000000000005</v>
      </c>
      <c r="K1238" s="164">
        <f>K1239</f>
        <v>617.70000000000005</v>
      </c>
      <c r="L1238" s="165">
        <f>L1239</f>
        <v>32</v>
      </c>
      <c r="M1238" s="163" t="s">
        <v>903</v>
      </c>
      <c r="N1238" s="163" t="s">
        <v>903</v>
      </c>
      <c r="O1238" s="166" t="s">
        <v>903</v>
      </c>
      <c r="P1238" s="387">
        <v>3080862</v>
      </c>
      <c r="Q1238" s="167">
        <f>Q1239</f>
        <v>0</v>
      </c>
      <c r="R1238" s="167">
        <f>R1239</f>
        <v>0</v>
      </c>
      <c r="S1238" s="167">
        <f>S1239</f>
        <v>3080862</v>
      </c>
      <c r="T1238" s="387">
        <f t="shared" si="380"/>
        <v>4529.3472508085852</v>
      </c>
      <c r="U1238" s="387">
        <f>U1239</f>
        <v>5411.5802705086735</v>
      </c>
      <c r="V1238" s="149">
        <f t="shared" si="389"/>
        <v>882.23301970008833</v>
      </c>
      <c r="W1238" s="149"/>
      <c r="X1238" s="149"/>
      <c r="Y1238" s="368"/>
      <c r="Z1238" s="368"/>
      <c r="AA1238" s="368"/>
      <c r="AB1238" s="368"/>
      <c r="AC1238" s="368"/>
      <c r="AD1238" s="368"/>
      <c r="AE1238" s="368"/>
      <c r="AF1238" s="368"/>
      <c r="AG1238" s="368"/>
      <c r="AH1238" s="368"/>
      <c r="AI1238" s="368"/>
      <c r="AJ1238" s="368"/>
      <c r="AK1238" s="368"/>
      <c r="AL1238" s="368"/>
      <c r="AM1238" s="368"/>
      <c r="AN1238" s="368"/>
      <c r="AO1238" s="368"/>
    </row>
    <row r="1239" spans="1:191" s="121" customFormat="1" ht="36" customHeight="1" x14ac:dyDescent="0.9">
      <c r="A1239" s="152">
        <v>1</v>
      </c>
      <c r="B1239" s="90">
        <f>SUBTOTAL(103,$A$988:A1239)</f>
        <v>202</v>
      </c>
      <c r="C1239" s="176" t="s">
        <v>102</v>
      </c>
      <c r="D1239" s="163">
        <v>1961</v>
      </c>
      <c r="E1239" s="163"/>
      <c r="F1239" s="178" t="s">
        <v>270</v>
      </c>
      <c r="G1239" s="163">
        <v>2</v>
      </c>
      <c r="H1239" s="163">
        <v>2</v>
      </c>
      <c r="I1239" s="164">
        <v>680.2</v>
      </c>
      <c r="J1239" s="164">
        <v>617.70000000000005</v>
      </c>
      <c r="K1239" s="164">
        <v>617.70000000000005</v>
      </c>
      <c r="L1239" s="177">
        <v>32</v>
      </c>
      <c r="M1239" s="163" t="s">
        <v>268</v>
      </c>
      <c r="N1239" s="163" t="s">
        <v>272</v>
      </c>
      <c r="O1239" s="163" t="s">
        <v>1008</v>
      </c>
      <c r="P1239" s="164">
        <v>3080862</v>
      </c>
      <c r="Q1239" s="164">
        <v>0</v>
      </c>
      <c r="R1239" s="164">
        <v>0</v>
      </c>
      <c r="S1239" s="164">
        <f>P1239-Q1239-R1239</f>
        <v>3080862</v>
      </c>
      <c r="T1239" s="167">
        <f t="shared" si="380"/>
        <v>4529.3472508085852</v>
      </c>
      <c r="U1239" s="167">
        <v>5411.5802705086735</v>
      </c>
      <c r="V1239" s="149">
        <f>U1239-T1239</f>
        <v>882.23301970008833</v>
      </c>
      <c r="W1239" s="149">
        <f>X1239+Y1239+Z1239+AA1239+AB1239+AD1239+AF1239+AH1239+AJ1239+AL1239+AN1239+AO1239</f>
        <v>5411.5802705086735</v>
      </c>
      <c r="X1239" s="149">
        <v>0</v>
      </c>
      <c r="Y1239" s="368">
        <v>0</v>
      </c>
      <c r="Z1239" s="368">
        <v>0</v>
      </c>
      <c r="AA1239" s="368">
        <v>0</v>
      </c>
      <c r="AB1239" s="368">
        <v>0</v>
      </c>
      <c r="AC1239" s="368">
        <v>0</v>
      </c>
      <c r="AD1239" s="368">
        <v>0</v>
      </c>
      <c r="AE1239" s="368">
        <v>590</v>
      </c>
      <c r="AF1239" s="396">
        <f>6238.91*AE1239/I1239</f>
        <v>5411.5802705086735</v>
      </c>
      <c r="AG1239" s="368">
        <v>0</v>
      </c>
      <c r="AH1239" s="396">
        <v>0</v>
      </c>
      <c r="AI1239" s="368">
        <v>0</v>
      </c>
      <c r="AJ1239" s="396">
        <v>0</v>
      </c>
      <c r="AK1239" s="368">
        <v>0</v>
      </c>
      <c r="AL1239" s="368">
        <v>0</v>
      </c>
      <c r="AM1239" s="368">
        <v>0</v>
      </c>
      <c r="AN1239" s="368"/>
      <c r="AO1239" s="368">
        <v>0</v>
      </c>
      <c r="AP1239" s="152"/>
      <c r="DQ1239" s="123"/>
      <c r="DR1239" s="123"/>
      <c r="DS1239" s="123"/>
      <c r="EG1239" s="124"/>
      <c r="EP1239" s="125"/>
      <c r="FS1239" s="126"/>
      <c r="GI1239" s="127"/>
    </row>
    <row r="1240" spans="1:191" s="152" customFormat="1" ht="36" customHeight="1" x14ac:dyDescent="0.9">
      <c r="B1240" s="382" t="s">
        <v>869</v>
      </c>
      <c r="C1240" s="382"/>
      <c r="D1240" s="384" t="s">
        <v>903</v>
      </c>
      <c r="E1240" s="163" t="s">
        <v>903</v>
      </c>
      <c r="F1240" s="384" t="s">
        <v>903</v>
      </c>
      <c r="G1240" s="384" t="s">
        <v>903</v>
      </c>
      <c r="H1240" s="163" t="s">
        <v>903</v>
      </c>
      <c r="I1240" s="386">
        <f>SUM(I1241:I1242)</f>
        <v>646.4</v>
      </c>
      <c r="J1240" s="164">
        <f>SUM(J1241:J1242)</f>
        <v>546.1</v>
      </c>
      <c r="K1240" s="164">
        <f>SUM(K1241:K1242)</f>
        <v>546.1</v>
      </c>
      <c r="L1240" s="165">
        <f>SUM(L1241:L1242)</f>
        <v>28</v>
      </c>
      <c r="M1240" s="163" t="s">
        <v>903</v>
      </c>
      <c r="N1240" s="163" t="s">
        <v>903</v>
      </c>
      <c r="O1240" s="166" t="s">
        <v>903</v>
      </c>
      <c r="P1240" s="387">
        <v>2610892.59</v>
      </c>
      <c r="Q1240" s="167">
        <f>Q1241+Q1242</f>
        <v>0</v>
      </c>
      <c r="R1240" s="167">
        <f>R1241+R1242</f>
        <v>0</v>
      </c>
      <c r="S1240" s="167">
        <f>S1241+S1242</f>
        <v>2610892.59</v>
      </c>
      <c r="T1240" s="387">
        <f t="shared" si="380"/>
        <v>4039.1283879950493</v>
      </c>
      <c r="U1240" s="387">
        <f>MAX(U1241:U1242)</f>
        <v>5070.7823955248441</v>
      </c>
      <c r="V1240" s="149">
        <f t="shared" si="389"/>
        <v>1031.6540075297949</v>
      </c>
      <c r="W1240" s="149"/>
      <c r="X1240" s="149"/>
      <c r="Y1240" s="368"/>
      <c r="Z1240" s="368"/>
      <c r="AA1240" s="368"/>
      <c r="AB1240" s="368"/>
      <c r="AC1240" s="368"/>
      <c r="AD1240" s="368"/>
      <c r="AE1240" s="368"/>
      <c r="AF1240" s="368"/>
      <c r="AG1240" s="368"/>
      <c r="AH1240" s="368"/>
      <c r="AI1240" s="368"/>
      <c r="AJ1240" s="368"/>
      <c r="AK1240" s="368"/>
      <c r="AL1240" s="368"/>
      <c r="AM1240" s="368"/>
      <c r="AN1240" s="368"/>
      <c r="AO1240" s="368"/>
    </row>
    <row r="1241" spans="1:191" s="121" customFormat="1" ht="36" customHeight="1" x14ac:dyDescent="0.9">
      <c r="A1241" s="152">
        <v>1</v>
      </c>
      <c r="B1241" s="90">
        <f>SUBTOTAL(103,$A$988:A1241)</f>
        <v>203</v>
      </c>
      <c r="C1241" s="176" t="s">
        <v>103</v>
      </c>
      <c r="D1241" s="163">
        <v>1966</v>
      </c>
      <c r="E1241" s="163"/>
      <c r="F1241" s="178" t="s">
        <v>270</v>
      </c>
      <c r="G1241" s="163">
        <v>2</v>
      </c>
      <c r="H1241" s="163">
        <v>1</v>
      </c>
      <c r="I1241" s="164">
        <v>342.5</v>
      </c>
      <c r="J1241" s="164">
        <v>273.8</v>
      </c>
      <c r="K1241" s="164">
        <v>273.8</v>
      </c>
      <c r="L1241" s="177">
        <v>18</v>
      </c>
      <c r="M1241" s="163" t="s">
        <v>268</v>
      </c>
      <c r="N1241" s="163" t="s">
        <v>272</v>
      </c>
      <c r="O1241" s="163" t="s">
        <v>285</v>
      </c>
      <c r="P1241" s="164">
        <v>1321115.3999999999</v>
      </c>
      <c r="Q1241" s="164">
        <v>0</v>
      </c>
      <c r="R1241" s="164">
        <v>0</v>
      </c>
      <c r="S1241" s="164">
        <f>P1241-Q1241-R1241</f>
        <v>1321115.3999999999</v>
      </c>
      <c r="T1241" s="167">
        <f t="shared" si="380"/>
        <v>3857.2712408759121</v>
      </c>
      <c r="U1241" s="167">
        <v>4608.5962919708027</v>
      </c>
      <c r="V1241" s="149">
        <f t="shared" si="389"/>
        <v>751.32505109489057</v>
      </c>
      <c r="W1241" s="149">
        <f t="shared" ref="W1241:W1242" si="390">X1241+Y1241+Z1241+AA1241+AB1241+AD1241+AF1241+AH1241+AJ1241+AL1241+AN1241+AO1241</f>
        <v>4608.5962919708027</v>
      </c>
      <c r="X1241" s="149">
        <v>0</v>
      </c>
      <c r="Y1241" s="368">
        <v>0</v>
      </c>
      <c r="Z1241" s="368">
        <v>0</v>
      </c>
      <c r="AA1241" s="368">
        <v>0</v>
      </c>
      <c r="AB1241" s="368">
        <v>0</v>
      </c>
      <c r="AC1241" s="368">
        <v>0</v>
      </c>
      <c r="AD1241" s="368">
        <v>0</v>
      </c>
      <c r="AE1241" s="368">
        <v>253</v>
      </c>
      <c r="AF1241" s="396">
        <f t="shared" ref="AF1241:AF1242" si="391">6238.91*AE1241/I1241</f>
        <v>4608.5962919708027</v>
      </c>
      <c r="AG1241" s="368">
        <v>0</v>
      </c>
      <c r="AH1241" s="396">
        <v>0</v>
      </c>
      <c r="AI1241" s="368">
        <v>0</v>
      </c>
      <c r="AJ1241" s="396">
        <v>0</v>
      </c>
      <c r="AK1241" s="368">
        <v>0</v>
      </c>
      <c r="AL1241" s="368">
        <v>0</v>
      </c>
      <c r="AM1241" s="368">
        <v>0</v>
      </c>
      <c r="AN1241" s="368"/>
      <c r="AO1241" s="368">
        <v>0</v>
      </c>
      <c r="AP1241" s="152"/>
      <c r="DQ1241" s="123"/>
      <c r="DR1241" s="123"/>
      <c r="DS1241" s="123"/>
      <c r="EG1241" s="124"/>
      <c r="EP1241" s="125"/>
      <c r="FS1241" s="126"/>
      <c r="GI1241" s="127"/>
    </row>
    <row r="1242" spans="1:191" s="121" customFormat="1" ht="36" customHeight="1" x14ac:dyDescent="0.9">
      <c r="A1242" s="152">
        <v>1</v>
      </c>
      <c r="B1242" s="90">
        <f>SUBTOTAL(103,$A$988:A1242)</f>
        <v>204</v>
      </c>
      <c r="C1242" s="176" t="s">
        <v>104</v>
      </c>
      <c r="D1242" s="163">
        <v>1970</v>
      </c>
      <c r="E1242" s="163"/>
      <c r="F1242" s="178" t="s">
        <v>270</v>
      </c>
      <c r="G1242" s="163">
        <v>2</v>
      </c>
      <c r="H1242" s="163">
        <v>1</v>
      </c>
      <c r="I1242" s="164">
        <v>303.89999999999998</v>
      </c>
      <c r="J1242" s="164">
        <v>272.3</v>
      </c>
      <c r="K1242" s="164">
        <v>272.3</v>
      </c>
      <c r="L1242" s="177">
        <v>10</v>
      </c>
      <c r="M1242" s="163" t="s">
        <v>268</v>
      </c>
      <c r="N1242" s="163" t="s">
        <v>272</v>
      </c>
      <c r="O1242" s="163" t="s">
        <v>285</v>
      </c>
      <c r="P1242" s="164">
        <v>1289777.1900000002</v>
      </c>
      <c r="Q1242" s="164">
        <v>0</v>
      </c>
      <c r="R1242" s="164">
        <v>0</v>
      </c>
      <c r="S1242" s="164">
        <f>P1242-Q1242-R1242</f>
        <v>1289777.1900000002</v>
      </c>
      <c r="T1242" s="167">
        <f t="shared" si="380"/>
        <v>4244.0842053307015</v>
      </c>
      <c r="U1242" s="167">
        <v>5070.7823955248441</v>
      </c>
      <c r="V1242" s="149">
        <f t="shared" si="389"/>
        <v>826.69819019414263</v>
      </c>
      <c r="W1242" s="149">
        <f t="shared" si="390"/>
        <v>5070.7823955248441</v>
      </c>
      <c r="X1242" s="149">
        <v>0</v>
      </c>
      <c r="Y1242" s="368">
        <v>0</v>
      </c>
      <c r="Z1242" s="368">
        <v>0</v>
      </c>
      <c r="AA1242" s="368">
        <v>0</v>
      </c>
      <c r="AB1242" s="368">
        <v>0</v>
      </c>
      <c r="AC1242" s="368">
        <v>0</v>
      </c>
      <c r="AD1242" s="368">
        <v>0</v>
      </c>
      <c r="AE1242" s="368">
        <v>247</v>
      </c>
      <c r="AF1242" s="396">
        <f t="shared" si="391"/>
        <v>5070.7823955248441</v>
      </c>
      <c r="AG1242" s="368">
        <v>0</v>
      </c>
      <c r="AH1242" s="396">
        <v>0</v>
      </c>
      <c r="AI1242" s="368">
        <v>0</v>
      </c>
      <c r="AJ1242" s="396">
        <v>0</v>
      </c>
      <c r="AK1242" s="368">
        <v>0</v>
      </c>
      <c r="AL1242" s="368">
        <v>0</v>
      </c>
      <c r="AM1242" s="368">
        <v>0</v>
      </c>
      <c r="AN1242" s="368"/>
      <c r="AO1242" s="368">
        <v>0</v>
      </c>
      <c r="AP1242" s="152"/>
      <c r="DQ1242" s="123"/>
      <c r="DR1242" s="123"/>
      <c r="DS1242" s="123"/>
      <c r="EG1242" s="124"/>
      <c r="EP1242" s="125"/>
      <c r="FS1242" s="126"/>
      <c r="GI1242" s="127"/>
    </row>
    <row r="1243" spans="1:191" s="152" customFormat="1" ht="36" customHeight="1" x14ac:dyDescent="0.9">
      <c r="B1243" s="382" t="s">
        <v>871</v>
      </c>
      <c r="C1243" s="388"/>
      <c r="D1243" s="384" t="s">
        <v>903</v>
      </c>
      <c r="E1243" s="163" t="s">
        <v>903</v>
      </c>
      <c r="F1243" s="384" t="s">
        <v>903</v>
      </c>
      <c r="G1243" s="384" t="s">
        <v>903</v>
      </c>
      <c r="H1243" s="163" t="s">
        <v>903</v>
      </c>
      <c r="I1243" s="386">
        <f>SUM(I1244:I1246)</f>
        <v>2009.6000000000001</v>
      </c>
      <c r="J1243" s="164">
        <f>SUM(J1244:J1246)</f>
        <v>1550.3999999999999</v>
      </c>
      <c r="K1243" s="164">
        <f>SUM(K1244:K1246)</f>
        <v>1491.6</v>
      </c>
      <c r="L1243" s="165">
        <f>SUM(L1244:L1246)</f>
        <v>77</v>
      </c>
      <c r="M1243" s="163" t="s">
        <v>903</v>
      </c>
      <c r="N1243" s="163" t="s">
        <v>903</v>
      </c>
      <c r="O1243" s="166" t="s">
        <v>903</v>
      </c>
      <c r="P1243" s="387">
        <v>6332416.4000000004</v>
      </c>
      <c r="Q1243" s="167">
        <f>Q1244+Q1245+Q1246</f>
        <v>0</v>
      </c>
      <c r="R1243" s="167">
        <f>R1244+R1245+R1246</f>
        <v>0</v>
      </c>
      <c r="S1243" s="167">
        <f>S1244+S1245+S1246</f>
        <v>6332416.4000000004</v>
      </c>
      <c r="T1243" s="387">
        <f t="shared" si="380"/>
        <v>3151.0830015923566</v>
      </c>
      <c r="U1243" s="387">
        <f>MAX(U1244:U1246)</f>
        <v>6694.6776353007735</v>
      </c>
      <c r="V1243" s="149">
        <f t="shared" si="389"/>
        <v>3543.5946337084169</v>
      </c>
      <c r="W1243" s="149"/>
      <c r="X1243" s="149"/>
      <c r="Y1243" s="368"/>
      <c r="Z1243" s="368"/>
      <c r="AA1243" s="368"/>
      <c r="AB1243" s="368"/>
      <c r="AC1243" s="368"/>
      <c r="AD1243" s="368"/>
      <c r="AE1243" s="368"/>
      <c r="AF1243" s="368"/>
      <c r="AG1243" s="368"/>
      <c r="AH1243" s="368"/>
      <c r="AI1243" s="368"/>
      <c r="AJ1243" s="368"/>
      <c r="AK1243" s="368"/>
      <c r="AL1243" s="368"/>
      <c r="AM1243" s="368"/>
      <c r="AN1243" s="368"/>
      <c r="AO1243" s="368"/>
    </row>
    <row r="1244" spans="1:191" s="121" customFormat="1" ht="36" customHeight="1" x14ac:dyDescent="0.9">
      <c r="A1244" s="152">
        <v>1</v>
      </c>
      <c r="B1244" s="90">
        <f>SUBTOTAL(103,$A$988:A1244)</f>
        <v>205</v>
      </c>
      <c r="C1244" s="176" t="s">
        <v>195</v>
      </c>
      <c r="D1244" s="163" t="s">
        <v>317</v>
      </c>
      <c r="E1244" s="163"/>
      <c r="F1244" s="178" t="s">
        <v>270</v>
      </c>
      <c r="G1244" s="163" t="s">
        <v>307</v>
      </c>
      <c r="H1244" s="163" t="s">
        <v>307</v>
      </c>
      <c r="I1244" s="164">
        <v>945.6</v>
      </c>
      <c r="J1244" s="164">
        <v>572.29999999999995</v>
      </c>
      <c r="K1244" s="164">
        <v>513.5</v>
      </c>
      <c r="L1244" s="177">
        <v>21</v>
      </c>
      <c r="M1244" s="163" t="s">
        <v>268</v>
      </c>
      <c r="N1244" s="163" t="s">
        <v>269</v>
      </c>
      <c r="O1244" s="163" t="s">
        <v>271</v>
      </c>
      <c r="P1244" s="164">
        <v>3549600</v>
      </c>
      <c r="Q1244" s="164">
        <v>0</v>
      </c>
      <c r="R1244" s="164">
        <v>0</v>
      </c>
      <c r="S1244" s="164">
        <f>P1244-Q1244-R1244</f>
        <v>3549600</v>
      </c>
      <c r="T1244" s="167">
        <f t="shared" si="380"/>
        <v>3753.8071065989848</v>
      </c>
      <c r="U1244" s="167">
        <v>4592.0911167512695</v>
      </c>
      <c r="V1244" s="149">
        <f t="shared" si="389"/>
        <v>838.28401015228474</v>
      </c>
      <c r="W1244" s="149">
        <f t="shared" ref="W1244:W1246" si="392">X1244+Y1244+Z1244+AA1244+AB1244+AD1244+AF1244+AH1244+AJ1244+AL1244+AN1244+AO1244</f>
        <v>4592.0911167512695</v>
      </c>
      <c r="X1244" s="149">
        <v>0</v>
      </c>
      <c r="Y1244" s="368">
        <v>0</v>
      </c>
      <c r="Z1244" s="368">
        <v>0</v>
      </c>
      <c r="AA1244" s="368">
        <v>0</v>
      </c>
      <c r="AB1244" s="368">
        <v>0</v>
      </c>
      <c r="AC1244" s="368">
        <v>0</v>
      </c>
      <c r="AD1244" s="368">
        <v>0</v>
      </c>
      <c r="AE1244" s="368">
        <v>696</v>
      </c>
      <c r="AF1244" s="396">
        <f>6238.91*AE1244/I1244</f>
        <v>4592.0911167512695</v>
      </c>
      <c r="AG1244" s="368">
        <v>0</v>
      </c>
      <c r="AH1244" s="396">
        <v>0</v>
      </c>
      <c r="AI1244" s="368">
        <v>0</v>
      </c>
      <c r="AJ1244" s="396">
        <v>0</v>
      </c>
      <c r="AK1244" s="368">
        <v>0</v>
      </c>
      <c r="AL1244" s="368">
        <v>0</v>
      </c>
      <c r="AM1244" s="368">
        <v>0</v>
      </c>
      <c r="AN1244" s="368"/>
      <c r="AO1244" s="368">
        <v>0</v>
      </c>
      <c r="AP1244" s="152"/>
      <c r="DQ1244" s="123"/>
      <c r="DR1244" s="123"/>
      <c r="DS1244" s="123"/>
      <c r="EG1244" s="124"/>
      <c r="EP1244" s="125"/>
      <c r="FS1244" s="126"/>
      <c r="GI1244" s="127"/>
    </row>
    <row r="1245" spans="1:191" s="121" customFormat="1" ht="36" customHeight="1" x14ac:dyDescent="0.9">
      <c r="A1245" s="152">
        <v>1</v>
      </c>
      <c r="B1245" s="90">
        <f>SUBTOTAL(103,$A$988:A1245)</f>
        <v>206</v>
      </c>
      <c r="C1245" s="176" t="s">
        <v>196</v>
      </c>
      <c r="D1245" s="163" t="s">
        <v>318</v>
      </c>
      <c r="E1245" s="163"/>
      <c r="F1245" s="178" t="s">
        <v>322</v>
      </c>
      <c r="G1245" s="163" t="s">
        <v>316</v>
      </c>
      <c r="H1245" s="163" t="s">
        <v>308</v>
      </c>
      <c r="I1245" s="164">
        <v>533.70000000000005</v>
      </c>
      <c r="J1245" s="164">
        <v>488.8</v>
      </c>
      <c r="K1245" s="164">
        <v>488.8</v>
      </c>
      <c r="L1245" s="177">
        <v>30</v>
      </c>
      <c r="M1245" s="163" t="s">
        <v>268</v>
      </c>
      <c r="N1245" s="163" t="s">
        <v>269</v>
      </c>
      <c r="O1245" s="163" t="s">
        <v>271</v>
      </c>
      <c r="P1245" s="164">
        <v>1391408.2</v>
      </c>
      <c r="Q1245" s="164">
        <v>0</v>
      </c>
      <c r="R1245" s="164">
        <v>0</v>
      </c>
      <c r="S1245" s="164">
        <f>P1245-Q1245-R1245</f>
        <v>1391408.2</v>
      </c>
      <c r="T1245" s="167">
        <f t="shared" si="380"/>
        <v>2607.0979951283489</v>
      </c>
      <c r="U1245" s="167">
        <v>6652.0283867341195</v>
      </c>
      <c r="V1245" s="149">
        <f t="shared" si="389"/>
        <v>4044.9303916057706</v>
      </c>
      <c r="W1245" s="149">
        <f t="shared" si="392"/>
        <v>6652.0283867341195</v>
      </c>
      <c r="X1245" s="149">
        <v>0</v>
      </c>
      <c r="Y1245" s="368">
        <v>0</v>
      </c>
      <c r="Z1245" s="368">
        <v>0</v>
      </c>
      <c r="AA1245" s="368">
        <v>0</v>
      </c>
      <c r="AB1245" s="368">
        <v>0</v>
      </c>
      <c r="AC1245" s="368">
        <v>0</v>
      </c>
      <c r="AD1245" s="368">
        <v>0</v>
      </c>
      <c r="AE1245" s="368">
        <v>0</v>
      </c>
      <c r="AF1245" s="396">
        <v>0</v>
      </c>
      <c r="AG1245" s="368">
        <v>0</v>
      </c>
      <c r="AH1245" s="396">
        <v>0</v>
      </c>
      <c r="AI1245" s="368">
        <v>455</v>
      </c>
      <c r="AJ1245" s="397">
        <f t="shared" ref="AJ1245:AJ1246" si="393">7802.61*AI1245/I1245</f>
        <v>6652.0283867341195</v>
      </c>
      <c r="AK1245" s="368">
        <v>0</v>
      </c>
      <c r="AL1245" s="368">
        <v>0</v>
      </c>
      <c r="AM1245" s="368">
        <v>0</v>
      </c>
      <c r="AN1245" s="368"/>
      <c r="AO1245" s="368">
        <v>0</v>
      </c>
      <c r="AP1245" s="152"/>
      <c r="DQ1245" s="123"/>
      <c r="DR1245" s="123"/>
      <c r="DS1245" s="123"/>
      <c r="EG1245" s="124"/>
      <c r="EP1245" s="125"/>
      <c r="FS1245" s="126"/>
      <c r="GI1245" s="127"/>
    </row>
    <row r="1246" spans="1:191" s="121" customFormat="1" ht="36" customHeight="1" x14ac:dyDescent="0.9">
      <c r="A1246" s="152">
        <v>1</v>
      </c>
      <c r="B1246" s="90">
        <f>SUBTOTAL(103,$A$988:A1246)</f>
        <v>207</v>
      </c>
      <c r="C1246" s="176" t="s">
        <v>197</v>
      </c>
      <c r="D1246" s="163" t="s">
        <v>319</v>
      </c>
      <c r="E1246" s="163"/>
      <c r="F1246" s="178" t="s">
        <v>322</v>
      </c>
      <c r="G1246" s="163" t="s">
        <v>316</v>
      </c>
      <c r="H1246" s="163" t="s">
        <v>308</v>
      </c>
      <c r="I1246" s="164">
        <v>530.29999999999995</v>
      </c>
      <c r="J1246" s="164">
        <v>489.3</v>
      </c>
      <c r="K1246" s="164">
        <v>489.3</v>
      </c>
      <c r="L1246" s="177">
        <v>26</v>
      </c>
      <c r="M1246" s="163" t="s">
        <v>268</v>
      </c>
      <c r="N1246" s="163" t="s">
        <v>269</v>
      </c>
      <c r="O1246" s="163" t="s">
        <v>271</v>
      </c>
      <c r="P1246" s="164">
        <v>1391408.2</v>
      </c>
      <c r="Q1246" s="164">
        <v>0</v>
      </c>
      <c r="R1246" s="164">
        <v>0</v>
      </c>
      <c r="S1246" s="164">
        <f>P1246-Q1246-R1246</f>
        <v>1391408.2</v>
      </c>
      <c r="T1246" s="167">
        <f t="shared" si="380"/>
        <v>2623.8133132189328</v>
      </c>
      <c r="U1246" s="167">
        <v>6694.6776353007735</v>
      </c>
      <c r="V1246" s="149">
        <f t="shared" si="389"/>
        <v>4070.8643220818408</v>
      </c>
      <c r="W1246" s="149">
        <f t="shared" si="392"/>
        <v>6694.6776353007735</v>
      </c>
      <c r="X1246" s="149">
        <v>0</v>
      </c>
      <c r="Y1246" s="368">
        <v>0</v>
      </c>
      <c r="Z1246" s="368">
        <v>0</v>
      </c>
      <c r="AA1246" s="368">
        <v>0</v>
      </c>
      <c r="AB1246" s="368">
        <v>0</v>
      </c>
      <c r="AC1246" s="368">
        <v>0</v>
      </c>
      <c r="AD1246" s="368">
        <v>0</v>
      </c>
      <c r="AE1246" s="368">
        <v>0</v>
      </c>
      <c r="AF1246" s="396">
        <v>0</v>
      </c>
      <c r="AG1246" s="368">
        <v>0</v>
      </c>
      <c r="AH1246" s="396">
        <v>0</v>
      </c>
      <c r="AI1246" s="368">
        <v>455</v>
      </c>
      <c r="AJ1246" s="397">
        <f t="shared" si="393"/>
        <v>6694.6776353007735</v>
      </c>
      <c r="AK1246" s="368">
        <v>0</v>
      </c>
      <c r="AL1246" s="368">
        <v>0</v>
      </c>
      <c r="AM1246" s="368">
        <v>0</v>
      </c>
      <c r="AN1246" s="368"/>
      <c r="AO1246" s="368">
        <v>0</v>
      </c>
      <c r="AP1246" s="152"/>
      <c r="DQ1246" s="123"/>
      <c r="DR1246" s="123"/>
      <c r="DS1246" s="123"/>
      <c r="EG1246" s="124"/>
      <c r="EP1246" s="125"/>
      <c r="FS1246" s="126"/>
      <c r="GI1246" s="127"/>
    </row>
    <row r="1247" spans="1:191" s="152" customFormat="1" ht="36" customHeight="1" x14ac:dyDescent="0.9">
      <c r="B1247" s="382" t="s">
        <v>872</v>
      </c>
      <c r="C1247" s="382"/>
      <c r="D1247" s="384" t="s">
        <v>903</v>
      </c>
      <c r="E1247" s="163" t="s">
        <v>903</v>
      </c>
      <c r="F1247" s="384" t="s">
        <v>903</v>
      </c>
      <c r="G1247" s="384" t="s">
        <v>903</v>
      </c>
      <c r="H1247" s="163" t="s">
        <v>903</v>
      </c>
      <c r="I1247" s="386">
        <f>I1248</f>
        <v>814.6</v>
      </c>
      <c r="J1247" s="164">
        <f>J1248</f>
        <v>814.6</v>
      </c>
      <c r="K1247" s="164">
        <f>K1248</f>
        <v>336.9</v>
      </c>
      <c r="L1247" s="165">
        <f>L1248</f>
        <v>26</v>
      </c>
      <c r="M1247" s="163" t="s">
        <v>903</v>
      </c>
      <c r="N1247" s="163" t="s">
        <v>903</v>
      </c>
      <c r="O1247" s="166" t="s">
        <v>903</v>
      </c>
      <c r="P1247" s="387">
        <v>4686244.08</v>
      </c>
      <c r="Q1247" s="167">
        <f>Q1248</f>
        <v>0</v>
      </c>
      <c r="R1247" s="167">
        <f>R1248</f>
        <v>0</v>
      </c>
      <c r="S1247" s="167">
        <f>S1248</f>
        <v>4686244.08</v>
      </c>
      <c r="T1247" s="387">
        <f t="shared" si="380"/>
        <v>5752.8162042720351</v>
      </c>
      <c r="U1247" s="387">
        <f>U1248</f>
        <v>5752.8162042720351</v>
      </c>
      <c r="V1247" s="149">
        <f t="shared" si="389"/>
        <v>0</v>
      </c>
      <c r="W1247" s="149"/>
      <c r="X1247" s="149"/>
      <c r="Y1247" s="368"/>
      <c r="Z1247" s="368"/>
      <c r="AA1247" s="368"/>
      <c r="AB1247" s="368"/>
      <c r="AC1247" s="368"/>
      <c r="AD1247" s="368"/>
      <c r="AE1247" s="368"/>
      <c r="AF1247" s="368"/>
      <c r="AG1247" s="368"/>
      <c r="AH1247" s="368"/>
      <c r="AI1247" s="368"/>
      <c r="AJ1247" s="368"/>
      <c r="AK1247" s="368"/>
      <c r="AL1247" s="368"/>
      <c r="AM1247" s="368"/>
      <c r="AN1247" s="368"/>
      <c r="AO1247" s="368"/>
    </row>
    <row r="1248" spans="1:191" s="121" customFormat="1" ht="36" customHeight="1" x14ac:dyDescent="0.9">
      <c r="A1248" s="152">
        <v>1</v>
      </c>
      <c r="B1248" s="90">
        <f>SUBTOTAL(103,$A$988:A1248)</f>
        <v>208</v>
      </c>
      <c r="C1248" s="176" t="s">
        <v>1385</v>
      </c>
      <c r="D1248" s="163">
        <v>1950</v>
      </c>
      <c r="E1248" s="163"/>
      <c r="F1248" s="178" t="s">
        <v>270</v>
      </c>
      <c r="G1248" s="163">
        <v>2</v>
      </c>
      <c r="H1248" s="163">
        <v>2</v>
      </c>
      <c r="I1248" s="164">
        <v>814.6</v>
      </c>
      <c r="J1248" s="164">
        <v>814.6</v>
      </c>
      <c r="K1248" s="164">
        <v>336.9</v>
      </c>
      <c r="L1248" s="177">
        <v>26</v>
      </c>
      <c r="M1248" s="163" t="s">
        <v>268</v>
      </c>
      <c r="N1248" s="163" t="s">
        <v>272</v>
      </c>
      <c r="O1248" s="163" t="s">
        <v>1314</v>
      </c>
      <c r="P1248" s="164">
        <v>4686244.08</v>
      </c>
      <c r="Q1248" s="164">
        <v>0</v>
      </c>
      <c r="R1248" s="164">
        <v>0</v>
      </c>
      <c r="S1248" s="164">
        <f>P1248-Q1248-R1248</f>
        <v>4686244.08</v>
      </c>
      <c r="T1248" s="167">
        <f t="shared" si="380"/>
        <v>5752.8162042720351</v>
      </c>
      <c r="U1248" s="167">
        <v>5752.8162042720351</v>
      </c>
      <c r="V1248" s="149">
        <f>U1248-T1248</f>
        <v>0</v>
      </c>
      <c r="W1248" s="149">
        <f>T1248</f>
        <v>5752.8162042720351</v>
      </c>
      <c r="X1248" s="149">
        <v>0</v>
      </c>
      <c r="Y1248" s="368">
        <v>0</v>
      </c>
      <c r="Z1248" s="368">
        <v>0</v>
      </c>
      <c r="AA1248" s="368">
        <v>0</v>
      </c>
      <c r="AB1248" s="368">
        <v>0</v>
      </c>
      <c r="AC1248" s="368">
        <v>0</v>
      </c>
      <c r="AD1248" s="368">
        <v>0</v>
      </c>
      <c r="AE1248" s="368">
        <v>720</v>
      </c>
      <c r="AF1248" s="396">
        <f>6436.53*AE1248/I1248</f>
        <v>5689.0518045666577</v>
      </c>
      <c r="AG1248" s="368">
        <v>0</v>
      </c>
      <c r="AH1248" s="396">
        <v>0</v>
      </c>
      <c r="AI1248" s="368">
        <v>0</v>
      </c>
      <c r="AJ1248" s="396">
        <v>0</v>
      </c>
      <c r="AK1248" s="368">
        <v>0</v>
      </c>
      <c r="AL1248" s="368">
        <v>0</v>
      </c>
      <c r="AM1248" s="368">
        <v>0</v>
      </c>
      <c r="AN1248" s="368"/>
      <c r="AO1248" s="368">
        <v>0</v>
      </c>
      <c r="AP1248" s="152"/>
      <c r="DQ1248" s="123"/>
      <c r="DR1248" s="123"/>
      <c r="DS1248" s="123"/>
      <c r="EG1248" s="124"/>
      <c r="EP1248" s="125"/>
      <c r="FS1248" s="126"/>
      <c r="GI1248" s="127"/>
    </row>
    <row r="1249" spans="1:191" s="152" customFormat="1" ht="36" customHeight="1" x14ac:dyDescent="0.9">
      <c r="B1249" s="382" t="s">
        <v>874</v>
      </c>
      <c r="C1249" s="382"/>
      <c r="D1249" s="384" t="s">
        <v>903</v>
      </c>
      <c r="E1249" s="163" t="s">
        <v>903</v>
      </c>
      <c r="F1249" s="384" t="s">
        <v>903</v>
      </c>
      <c r="G1249" s="384" t="s">
        <v>903</v>
      </c>
      <c r="H1249" s="163" t="s">
        <v>903</v>
      </c>
      <c r="I1249" s="386">
        <f>I1250</f>
        <v>350.9</v>
      </c>
      <c r="J1249" s="164">
        <f>J1250</f>
        <v>311.89999999999998</v>
      </c>
      <c r="K1249" s="164">
        <f>K1250</f>
        <v>311.89999999999998</v>
      </c>
      <c r="L1249" s="165">
        <f>L1250</f>
        <v>18</v>
      </c>
      <c r="M1249" s="163" t="s">
        <v>903</v>
      </c>
      <c r="N1249" s="163" t="s">
        <v>903</v>
      </c>
      <c r="O1249" s="166" t="s">
        <v>903</v>
      </c>
      <c r="P1249" s="387">
        <v>3600600</v>
      </c>
      <c r="Q1249" s="167">
        <f>Q1250</f>
        <v>0</v>
      </c>
      <c r="R1249" s="167">
        <f>R1250</f>
        <v>0</v>
      </c>
      <c r="S1249" s="167">
        <f>S1250</f>
        <v>3600600</v>
      </c>
      <c r="T1249" s="387">
        <f t="shared" si="380"/>
        <v>10261.043032202908</v>
      </c>
      <c r="U1249" s="387">
        <f>U1250</f>
        <v>10261.043032202908</v>
      </c>
      <c r="V1249" s="149">
        <f t="shared" si="389"/>
        <v>0</v>
      </c>
      <c r="W1249" s="149"/>
      <c r="X1249" s="149"/>
      <c r="Y1249" s="368"/>
      <c r="Z1249" s="368"/>
      <c r="AA1249" s="368"/>
      <c r="AB1249" s="368"/>
      <c r="AC1249" s="368"/>
      <c r="AD1249" s="368"/>
      <c r="AE1249" s="368"/>
      <c r="AF1249" s="368"/>
      <c r="AG1249" s="368"/>
      <c r="AH1249" s="368"/>
      <c r="AI1249" s="368"/>
      <c r="AJ1249" s="368"/>
      <c r="AK1249" s="368"/>
      <c r="AL1249" s="368"/>
      <c r="AM1249" s="368"/>
      <c r="AN1249" s="368"/>
      <c r="AO1249" s="368"/>
    </row>
    <row r="1250" spans="1:191" s="121" customFormat="1" ht="36" customHeight="1" x14ac:dyDescent="0.9">
      <c r="A1250" s="152">
        <v>1</v>
      </c>
      <c r="B1250" s="90">
        <f>SUBTOTAL(103,$A$988:A1250)</f>
        <v>209</v>
      </c>
      <c r="C1250" s="176" t="s">
        <v>807</v>
      </c>
      <c r="D1250" s="163" t="s">
        <v>319</v>
      </c>
      <c r="E1250" s="163"/>
      <c r="F1250" s="178" t="s">
        <v>270</v>
      </c>
      <c r="G1250" s="163" t="s">
        <v>307</v>
      </c>
      <c r="H1250" s="163" t="s">
        <v>308</v>
      </c>
      <c r="I1250" s="164">
        <v>350.9</v>
      </c>
      <c r="J1250" s="164">
        <v>311.89999999999998</v>
      </c>
      <c r="K1250" s="164">
        <v>311.89999999999998</v>
      </c>
      <c r="L1250" s="177">
        <v>18</v>
      </c>
      <c r="M1250" s="163" t="s">
        <v>268</v>
      </c>
      <c r="N1250" s="163" t="s">
        <v>269</v>
      </c>
      <c r="O1250" s="163" t="s">
        <v>271</v>
      </c>
      <c r="P1250" s="164">
        <v>3600600</v>
      </c>
      <c r="Q1250" s="164">
        <v>0</v>
      </c>
      <c r="R1250" s="164">
        <v>0</v>
      </c>
      <c r="S1250" s="164">
        <f>P1250-Q1250-R1250</f>
        <v>3600600</v>
      </c>
      <c r="T1250" s="167">
        <f t="shared" si="380"/>
        <v>10261.043032202908</v>
      </c>
      <c r="U1250" s="167">
        <v>10261.043032202908</v>
      </c>
      <c r="V1250" s="149">
        <f>U1250-T1250</f>
        <v>0</v>
      </c>
      <c r="W1250" s="149">
        <f>X1250+Y1250+Z1250+AA1250+AB1250+AD1250+AF1250+AH1250+AJ1250+AL1250+AN1250+AO1250</f>
        <v>13308.786976346539</v>
      </c>
      <c r="X1250" s="149">
        <v>0</v>
      </c>
      <c r="Y1250" s="368">
        <v>0</v>
      </c>
      <c r="Z1250" s="368">
        <v>0</v>
      </c>
      <c r="AA1250" s="368">
        <v>0</v>
      </c>
      <c r="AB1250" s="368">
        <v>0</v>
      </c>
      <c r="AC1250" s="368">
        <v>0</v>
      </c>
      <c r="AD1250" s="368">
        <v>0</v>
      </c>
      <c r="AE1250" s="368">
        <v>351</v>
      </c>
      <c r="AF1250" s="396">
        <f>6238.91*AE1250/I1250</f>
        <v>6240.6879737817053</v>
      </c>
      <c r="AG1250" s="368">
        <v>0</v>
      </c>
      <c r="AH1250" s="396">
        <v>0</v>
      </c>
      <c r="AI1250" s="368">
        <v>333.4</v>
      </c>
      <c r="AJ1250" s="397">
        <f>7439.1*AI1250/I1250</f>
        <v>7068.0990025648334</v>
      </c>
      <c r="AK1250" s="368">
        <v>0</v>
      </c>
      <c r="AL1250" s="368">
        <v>0</v>
      </c>
      <c r="AM1250" s="368">
        <v>0</v>
      </c>
      <c r="AN1250" s="368"/>
      <c r="AO1250" s="368">
        <v>0</v>
      </c>
      <c r="AP1250" s="152"/>
      <c r="DQ1250" s="123"/>
      <c r="DR1250" s="123"/>
      <c r="DS1250" s="123"/>
      <c r="EG1250" s="124"/>
      <c r="EP1250" s="125"/>
      <c r="FS1250" s="126"/>
      <c r="GI1250" s="127"/>
    </row>
    <row r="1251" spans="1:191" s="152" customFormat="1" ht="36" customHeight="1" x14ac:dyDescent="0.9">
      <c r="B1251" s="382" t="s">
        <v>893</v>
      </c>
      <c r="C1251" s="382"/>
      <c r="D1251" s="384" t="s">
        <v>903</v>
      </c>
      <c r="E1251" s="163" t="s">
        <v>903</v>
      </c>
      <c r="F1251" s="384" t="s">
        <v>903</v>
      </c>
      <c r="G1251" s="384" t="s">
        <v>903</v>
      </c>
      <c r="H1251" s="163" t="s">
        <v>903</v>
      </c>
      <c r="I1251" s="386">
        <f>I1252</f>
        <v>626</v>
      </c>
      <c r="J1251" s="164">
        <f>J1252</f>
        <v>423.7</v>
      </c>
      <c r="K1251" s="164">
        <f>K1252</f>
        <v>423.7</v>
      </c>
      <c r="L1251" s="165">
        <f>L1252</f>
        <v>23</v>
      </c>
      <c r="M1251" s="163" t="s">
        <v>903</v>
      </c>
      <c r="N1251" s="163" t="s">
        <v>903</v>
      </c>
      <c r="O1251" s="166" t="s">
        <v>903</v>
      </c>
      <c r="P1251" s="387">
        <v>2233993.96</v>
      </c>
      <c r="Q1251" s="167">
        <f>Q1252</f>
        <v>0</v>
      </c>
      <c r="R1251" s="167">
        <f>R1252</f>
        <v>0</v>
      </c>
      <c r="S1251" s="167">
        <f>S1252</f>
        <v>2233993.96</v>
      </c>
      <c r="T1251" s="387">
        <f t="shared" si="380"/>
        <v>3568.6804472843451</v>
      </c>
      <c r="U1251" s="387">
        <f>U1252</f>
        <v>3747.3325239616615</v>
      </c>
      <c r="V1251" s="149">
        <f t="shared" si="389"/>
        <v>178.65207667731647</v>
      </c>
      <c r="W1251" s="149"/>
      <c r="X1251" s="149"/>
      <c r="Y1251" s="368"/>
      <c r="Z1251" s="368"/>
      <c r="AA1251" s="368"/>
      <c r="AB1251" s="368"/>
      <c r="AC1251" s="368"/>
      <c r="AD1251" s="368"/>
      <c r="AE1251" s="368"/>
      <c r="AF1251" s="368"/>
      <c r="AG1251" s="368"/>
      <c r="AH1251" s="368"/>
      <c r="AI1251" s="368"/>
      <c r="AJ1251" s="368"/>
      <c r="AK1251" s="368"/>
      <c r="AL1251" s="368"/>
      <c r="AM1251" s="368"/>
      <c r="AN1251" s="368"/>
      <c r="AO1251" s="368"/>
    </row>
    <row r="1252" spans="1:191" s="121" customFormat="1" ht="36" customHeight="1" x14ac:dyDescent="0.9">
      <c r="A1252" s="152">
        <v>1</v>
      </c>
      <c r="B1252" s="90">
        <f>SUBTOTAL(103,$A$988:A1252)</f>
        <v>210</v>
      </c>
      <c r="C1252" s="176" t="s">
        <v>198</v>
      </c>
      <c r="D1252" s="163" t="s">
        <v>320</v>
      </c>
      <c r="E1252" s="163"/>
      <c r="F1252" s="178" t="s">
        <v>270</v>
      </c>
      <c r="G1252" s="163" t="s">
        <v>316</v>
      </c>
      <c r="H1252" s="163" t="s">
        <v>307</v>
      </c>
      <c r="I1252" s="164">
        <v>626</v>
      </c>
      <c r="J1252" s="164">
        <v>423.7</v>
      </c>
      <c r="K1252" s="164">
        <v>423.7</v>
      </c>
      <c r="L1252" s="177">
        <v>23</v>
      </c>
      <c r="M1252" s="163" t="s">
        <v>268</v>
      </c>
      <c r="N1252" s="163" t="s">
        <v>272</v>
      </c>
      <c r="O1252" s="163" t="s">
        <v>1002</v>
      </c>
      <c r="P1252" s="164">
        <v>2233993.96</v>
      </c>
      <c r="Q1252" s="164">
        <v>0</v>
      </c>
      <c r="R1252" s="164">
        <v>0</v>
      </c>
      <c r="S1252" s="164">
        <f>P1252-Q1252-R1252</f>
        <v>2233993.96</v>
      </c>
      <c r="T1252" s="167">
        <f t="shared" si="380"/>
        <v>3568.6804472843451</v>
      </c>
      <c r="U1252" s="167">
        <v>3747.3325239616615</v>
      </c>
      <c r="V1252" s="149">
        <f>U1252-T1252</f>
        <v>178.65207667731647</v>
      </c>
      <c r="W1252" s="149">
        <f>X1252+Y1252+Z1252+AA1252+AB1252+AD1252+AF1252+AH1252+AJ1252+AL1252+AN1252+AO1252</f>
        <v>3747.3325239616615</v>
      </c>
      <c r="X1252" s="149">
        <v>0</v>
      </c>
      <c r="Y1252" s="368">
        <v>0</v>
      </c>
      <c r="Z1252" s="368">
        <v>0</v>
      </c>
      <c r="AA1252" s="368">
        <v>0</v>
      </c>
      <c r="AB1252" s="368">
        <v>0</v>
      </c>
      <c r="AC1252" s="368">
        <v>0</v>
      </c>
      <c r="AD1252" s="368">
        <v>0</v>
      </c>
      <c r="AE1252" s="368">
        <v>376</v>
      </c>
      <c r="AF1252" s="396">
        <f>6238.91*AE1252/I1252</f>
        <v>3747.3325239616615</v>
      </c>
      <c r="AG1252" s="368">
        <v>0</v>
      </c>
      <c r="AH1252" s="396">
        <v>0</v>
      </c>
      <c r="AI1252" s="368">
        <v>0</v>
      </c>
      <c r="AJ1252" s="396">
        <v>0</v>
      </c>
      <c r="AK1252" s="368">
        <v>0</v>
      </c>
      <c r="AL1252" s="368">
        <v>0</v>
      </c>
      <c r="AM1252" s="368">
        <v>0</v>
      </c>
      <c r="AN1252" s="368"/>
      <c r="AO1252" s="368">
        <v>0</v>
      </c>
      <c r="AP1252" s="152"/>
      <c r="DQ1252" s="123"/>
      <c r="DR1252" s="123"/>
      <c r="DS1252" s="123"/>
      <c r="EG1252" s="124"/>
      <c r="EP1252" s="125"/>
      <c r="FS1252" s="126"/>
      <c r="GI1252" s="127"/>
    </row>
    <row r="1253" spans="1:191" s="152" customFormat="1" ht="36" customHeight="1" x14ac:dyDescent="0.9">
      <c r="B1253" s="382" t="s">
        <v>875</v>
      </c>
      <c r="C1253" s="388"/>
      <c r="D1253" s="384" t="s">
        <v>903</v>
      </c>
      <c r="E1253" s="163" t="s">
        <v>903</v>
      </c>
      <c r="F1253" s="384" t="s">
        <v>903</v>
      </c>
      <c r="G1253" s="384" t="s">
        <v>903</v>
      </c>
      <c r="H1253" s="163" t="s">
        <v>903</v>
      </c>
      <c r="I1253" s="386">
        <f>SUM(I1254:I1256)</f>
        <v>4977.8</v>
      </c>
      <c r="J1253" s="164">
        <f>SUM(J1254:J1256)</f>
        <v>4611.5</v>
      </c>
      <c r="K1253" s="164">
        <f>SUM(K1254:K1256)</f>
        <v>4611.5</v>
      </c>
      <c r="L1253" s="165">
        <f>SUM(L1254:L1256)</f>
        <v>158</v>
      </c>
      <c r="M1253" s="163" t="s">
        <v>903</v>
      </c>
      <c r="N1253" s="163" t="s">
        <v>903</v>
      </c>
      <c r="O1253" s="166" t="s">
        <v>903</v>
      </c>
      <c r="P1253" s="387">
        <v>14392200</v>
      </c>
      <c r="Q1253" s="167">
        <f>Q1254+Q1255+Q1256</f>
        <v>0</v>
      </c>
      <c r="R1253" s="167">
        <f>R1254+R1255+R1256</f>
        <v>0</v>
      </c>
      <c r="S1253" s="167">
        <f>S1254+S1255+S1256</f>
        <v>14392200</v>
      </c>
      <c r="T1253" s="387">
        <f t="shared" si="380"/>
        <v>2891.2772710836111</v>
      </c>
      <c r="U1253" s="387">
        <f>MAX(U1254:U1256)</f>
        <v>3732.4372623767404</v>
      </c>
      <c r="V1253" s="149">
        <f t="shared" si="389"/>
        <v>841.15999129312922</v>
      </c>
      <c r="W1253" s="149"/>
      <c r="X1253" s="149"/>
      <c r="Y1253" s="368"/>
      <c r="Z1253" s="368"/>
      <c r="AA1253" s="368"/>
      <c r="AB1253" s="368"/>
      <c r="AC1253" s="368"/>
      <c r="AD1253" s="368"/>
      <c r="AE1253" s="368"/>
      <c r="AF1253" s="368"/>
      <c r="AG1253" s="368"/>
      <c r="AH1253" s="368"/>
      <c r="AI1253" s="368"/>
      <c r="AJ1253" s="368"/>
      <c r="AK1253" s="368"/>
      <c r="AL1253" s="368"/>
      <c r="AM1253" s="368"/>
      <c r="AN1253" s="368"/>
      <c r="AO1253" s="368"/>
    </row>
    <row r="1254" spans="1:191" s="121" customFormat="1" ht="36" customHeight="1" x14ac:dyDescent="0.9">
      <c r="A1254" s="152">
        <v>1</v>
      </c>
      <c r="B1254" s="90">
        <f>SUBTOTAL(103,$A$988:A1254)</f>
        <v>211</v>
      </c>
      <c r="C1254" s="176" t="s">
        <v>215</v>
      </c>
      <c r="D1254" s="163">
        <v>1977</v>
      </c>
      <c r="E1254" s="163"/>
      <c r="F1254" s="178" t="s">
        <v>270</v>
      </c>
      <c r="G1254" s="163">
        <v>3</v>
      </c>
      <c r="H1254" s="163">
        <v>3</v>
      </c>
      <c r="I1254" s="164">
        <v>1967.4</v>
      </c>
      <c r="J1254" s="164">
        <v>1816.8</v>
      </c>
      <c r="K1254" s="164">
        <v>1816.8</v>
      </c>
      <c r="L1254" s="177">
        <v>56</v>
      </c>
      <c r="M1254" s="163" t="s">
        <v>268</v>
      </c>
      <c r="N1254" s="163" t="s">
        <v>272</v>
      </c>
      <c r="O1254" s="163" t="s">
        <v>336</v>
      </c>
      <c r="P1254" s="164">
        <v>6002700</v>
      </c>
      <c r="Q1254" s="164">
        <v>0</v>
      </c>
      <c r="R1254" s="164">
        <v>0</v>
      </c>
      <c r="S1254" s="164">
        <f>P1254-Q1254-R1254</f>
        <v>6002700</v>
      </c>
      <c r="T1254" s="167">
        <f t="shared" si="380"/>
        <v>3051.0826471485207</v>
      </c>
      <c r="U1254" s="167">
        <v>3732.4372623767404</v>
      </c>
      <c r="V1254" s="149">
        <f t="shared" si="389"/>
        <v>681.3546152282197</v>
      </c>
      <c r="W1254" s="149">
        <f t="shared" ref="W1254:W1256" si="394">X1254+Y1254+Z1254+AA1254+AB1254+AD1254+AF1254+AH1254+AJ1254+AL1254+AN1254+AO1254</f>
        <v>3732.4372623767404</v>
      </c>
      <c r="X1254" s="149">
        <v>0</v>
      </c>
      <c r="Y1254" s="368">
        <v>0</v>
      </c>
      <c r="Z1254" s="368">
        <v>0</v>
      </c>
      <c r="AA1254" s="368">
        <v>0</v>
      </c>
      <c r="AB1254" s="368">
        <v>0</v>
      </c>
      <c r="AC1254" s="368">
        <v>0</v>
      </c>
      <c r="AD1254" s="368">
        <v>0</v>
      </c>
      <c r="AE1254" s="368">
        <v>1177</v>
      </c>
      <c r="AF1254" s="396">
        <f t="shared" ref="AF1254:AF1256" si="395">6238.91*AE1254/I1254</f>
        <v>3732.4372623767404</v>
      </c>
      <c r="AG1254" s="368">
        <v>0</v>
      </c>
      <c r="AH1254" s="396">
        <v>0</v>
      </c>
      <c r="AI1254" s="368">
        <v>0</v>
      </c>
      <c r="AJ1254" s="396">
        <v>0</v>
      </c>
      <c r="AK1254" s="368">
        <v>0</v>
      </c>
      <c r="AL1254" s="368">
        <v>0</v>
      </c>
      <c r="AM1254" s="368">
        <v>0</v>
      </c>
      <c r="AN1254" s="368"/>
      <c r="AO1254" s="368">
        <v>0</v>
      </c>
      <c r="AP1254" s="152"/>
      <c r="DQ1254" s="123"/>
      <c r="DR1254" s="123"/>
      <c r="DS1254" s="123"/>
      <c r="EG1254" s="124"/>
      <c r="EP1254" s="125"/>
      <c r="FS1254" s="126"/>
      <c r="GI1254" s="127"/>
    </row>
    <row r="1255" spans="1:191" s="121" customFormat="1" ht="36" customHeight="1" x14ac:dyDescent="0.9">
      <c r="A1255" s="152">
        <v>1</v>
      </c>
      <c r="B1255" s="90">
        <f>SUBTOTAL(103,$A$988:A1255)</f>
        <v>212</v>
      </c>
      <c r="C1255" s="176" t="s">
        <v>216</v>
      </c>
      <c r="D1255" s="163">
        <v>1989</v>
      </c>
      <c r="E1255" s="163"/>
      <c r="F1255" s="178" t="s">
        <v>270</v>
      </c>
      <c r="G1255" s="163">
        <v>3</v>
      </c>
      <c r="H1255" s="163">
        <v>2</v>
      </c>
      <c r="I1255" s="164">
        <v>1426.9</v>
      </c>
      <c r="J1255" s="164">
        <v>1318.5</v>
      </c>
      <c r="K1255" s="164">
        <v>1318.5</v>
      </c>
      <c r="L1255" s="177">
        <v>54</v>
      </c>
      <c r="M1255" s="163" t="s">
        <v>268</v>
      </c>
      <c r="N1255" s="163" t="s">
        <v>272</v>
      </c>
      <c r="O1255" s="163" t="s">
        <v>336</v>
      </c>
      <c r="P1255" s="164">
        <v>4059600</v>
      </c>
      <c r="Q1255" s="164">
        <v>0</v>
      </c>
      <c r="R1255" s="164">
        <v>0</v>
      </c>
      <c r="S1255" s="164">
        <f>P1255-Q1255-R1255</f>
        <v>4059600</v>
      </c>
      <c r="T1255" s="167">
        <f t="shared" si="380"/>
        <v>2845.0487069871747</v>
      </c>
      <c r="U1255" s="167">
        <v>3480.3927114724229</v>
      </c>
      <c r="V1255" s="149">
        <f t="shared" si="389"/>
        <v>635.34400448524821</v>
      </c>
      <c r="W1255" s="149">
        <f t="shared" si="394"/>
        <v>3480.3927114724229</v>
      </c>
      <c r="X1255" s="149">
        <v>0</v>
      </c>
      <c r="Y1255" s="368">
        <v>0</v>
      </c>
      <c r="Z1255" s="368">
        <v>0</v>
      </c>
      <c r="AA1255" s="368">
        <v>0</v>
      </c>
      <c r="AB1255" s="368">
        <v>0</v>
      </c>
      <c r="AC1255" s="368">
        <v>0</v>
      </c>
      <c r="AD1255" s="368">
        <v>0</v>
      </c>
      <c r="AE1255" s="368">
        <v>796</v>
      </c>
      <c r="AF1255" s="396">
        <f t="shared" si="395"/>
        <v>3480.3927114724229</v>
      </c>
      <c r="AG1255" s="368">
        <v>0</v>
      </c>
      <c r="AH1255" s="396">
        <v>0</v>
      </c>
      <c r="AI1255" s="368">
        <v>0</v>
      </c>
      <c r="AJ1255" s="396">
        <v>0</v>
      </c>
      <c r="AK1255" s="368">
        <v>0</v>
      </c>
      <c r="AL1255" s="368">
        <v>0</v>
      </c>
      <c r="AM1255" s="368">
        <v>0</v>
      </c>
      <c r="AN1255" s="368"/>
      <c r="AO1255" s="368">
        <v>0</v>
      </c>
      <c r="AP1255" s="152"/>
      <c r="DQ1255" s="123"/>
      <c r="DR1255" s="123"/>
      <c r="DS1255" s="123"/>
      <c r="EG1255" s="124"/>
      <c r="EP1255" s="125"/>
      <c r="FS1255" s="126"/>
      <c r="GI1255" s="127"/>
    </row>
    <row r="1256" spans="1:191" s="121" customFormat="1" ht="36" customHeight="1" x14ac:dyDescent="0.9">
      <c r="A1256" s="152">
        <v>1</v>
      </c>
      <c r="B1256" s="90">
        <f>SUBTOTAL(103,$A$988:A1256)</f>
        <v>213</v>
      </c>
      <c r="C1256" s="176" t="s">
        <v>217</v>
      </c>
      <c r="D1256" s="163">
        <v>1972</v>
      </c>
      <c r="E1256" s="163"/>
      <c r="F1256" s="178" t="s">
        <v>270</v>
      </c>
      <c r="G1256" s="163">
        <v>3</v>
      </c>
      <c r="H1256" s="163">
        <v>3</v>
      </c>
      <c r="I1256" s="164">
        <v>1583.5</v>
      </c>
      <c r="J1256" s="164">
        <v>1476.2</v>
      </c>
      <c r="K1256" s="164">
        <v>1476.2</v>
      </c>
      <c r="L1256" s="177">
        <v>48</v>
      </c>
      <c r="M1256" s="163" t="s">
        <v>268</v>
      </c>
      <c r="N1256" s="163" t="s">
        <v>272</v>
      </c>
      <c r="O1256" s="163" t="s">
        <v>336</v>
      </c>
      <c r="P1256" s="164">
        <v>4329900</v>
      </c>
      <c r="Q1256" s="164">
        <v>0</v>
      </c>
      <c r="R1256" s="164">
        <v>0</v>
      </c>
      <c r="S1256" s="164">
        <f>P1256-Q1256-R1256</f>
        <v>4329900</v>
      </c>
      <c r="T1256" s="167">
        <f t="shared" si="380"/>
        <v>2734.3858541206187</v>
      </c>
      <c r="U1256" s="167">
        <v>3345.0171076728766</v>
      </c>
      <c r="V1256" s="149">
        <f t="shared" si="389"/>
        <v>610.63125355225793</v>
      </c>
      <c r="W1256" s="149">
        <f t="shared" si="394"/>
        <v>3345.0171076728766</v>
      </c>
      <c r="X1256" s="149">
        <v>0</v>
      </c>
      <c r="Y1256" s="368">
        <v>0</v>
      </c>
      <c r="Z1256" s="368">
        <v>0</v>
      </c>
      <c r="AA1256" s="368">
        <v>0</v>
      </c>
      <c r="AB1256" s="368">
        <v>0</v>
      </c>
      <c r="AC1256" s="368">
        <v>0</v>
      </c>
      <c r="AD1256" s="368">
        <v>0</v>
      </c>
      <c r="AE1256" s="368">
        <v>849</v>
      </c>
      <c r="AF1256" s="396">
        <f t="shared" si="395"/>
        <v>3345.0171076728766</v>
      </c>
      <c r="AG1256" s="368">
        <v>0</v>
      </c>
      <c r="AH1256" s="396">
        <v>0</v>
      </c>
      <c r="AI1256" s="368">
        <v>0</v>
      </c>
      <c r="AJ1256" s="396">
        <v>0</v>
      </c>
      <c r="AK1256" s="368">
        <v>0</v>
      </c>
      <c r="AL1256" s="368">
        <v>0</v>
      </c>
      <c r="AM1256" s="368">
        <v>0</v>
      </c>
      <c r="AN1256" s="368"/>
      <c r="AO1256" s="368">
        <v>0</v>
      </c>
      <c r="AP1256" s="152"/>
      <c r="DQ1256" s="123"/>
      <c r="DR1256" s="123"/>
      <c r="DS1256" s="123"/>
      <c r="EG1256" s="124"/>
      <c r="EP1256" s="125"/>
      <c r="FS1256" s="126"/>
      <c r="GI1256" s="127"/>
    </row>
    <row r="1257" spans="1:191" s="152" customFormat="1" ht="36" customHeight="1" x14ac:dyDescent="0.9">
      <c r="B1257" s="382" t="s">
        <v>876</v>
      </c>
      <c r="C1257" s="382"/>
      <c r="D1257" s="384" t="s">
        <v>903</v>
      </c>
      <c r="E1257" s="163" t="s">
        <v>903</v>
      </c>
      <c r="F1257" s="384" t="s">
        <v>903</v>
      </c>
      <c r="G1257" s="384" t="s">
        <v>903</v>
      </c>
      <c r="H1257" s="163" t="s">
        <v>903</v>
      </c>
      <c r="I1257" s="386">
        <f>I1258</f>
        <v>775.2</v>
      </c>
      <c r="J1257" s="164">
        <f>J1258</f>
        <v>715.9</v>
      </c>
      <c r="K1257" s="164">
        <f>K1258</f>
        <v>715.9</v>
      </c>
      <c r="L1257" s="165">
        <f>L1258</f>
        <v>16</v>
      </c>
      <c r="M1257" s="163" t="s">
        <v>903</v>
      </c>
      <c r="N1257" s="163" t="s">
        <v>903</v>
      </c>
      <c r="O1257" s="166" t="s">
        <v>903</v>
      </c>
      <c r="P1257" s="387">
        <v>3396600</v>
      </c>
      <c r="Q1257" s="167">
        <f>Q1258</f>
        <v>0</v>
      </c>
      <c r="R1257" s="167">
        <f>R1258</f>
        <v>0</v>
      </c>
      <c r="S1257" s="167">
        <f>S1258</f>
        <v>3396600</v>
      </c>
      <c r="T1257" s="387">
        <f t="shared" si="380"/>
        <v>4381.5789473684208</v>
      </c>
      <c r="U1257" s="387">
        <f>U1258</f>
        <v>5360.0542569659438</v>
      </c>
      <c r="V1257" s="149">
        <f t="shared" si="389"/>
        <v>978.47530959752294</v>
      </c>
      <c r="W1257" s="149"/>
      <c r="X1257" s="149"/>
      <c r="Y1257" s="368"/>
      <c r="Z1257" s="368"/>
      <c r="AA1257" s="368"/>
      <c r="AB1257" s="368"/>
      <c r="AC1257" s="368"/>
      <c r="AD1257" s="368"/>
      <c r="AE1257" s="368"/>
      <c r="AF1257" s="368"/>
      <c r="AG1257" s="368"/>
      <c r="AH1257" s="368"/>
      <c r="AI1257" s="368"/>
      <c r="AJ1257" s="368"/>
      <c r="AK1257" s="368"/>
      <c r="AL1257" s="368"/>
      <c r="AM1257" s="368"/>
      <c r="AN1257" s="368"/>
      <c r="AO1257" s="368"/>
    </row>
    <row r="1258" spans="1:191" s="121" customFormat="1" ht="36" customHeight="1" x14ac:dyDescent="0.9">
      <c r="A1258" s="152">
        <v>1</v>
      </c>
      <c r="B1258" s="90">
        <f>SUBTOTAL(103,$A$988:A1258)</f>
        <v>214</v>
      </c>
      <c r="C1258" s="176" t="s">
        <v>223</v>
      </c>
      <c r="D1258" s="163">
        <v>1974</v>
      </c>
      <c r="E1258" s="163"/>
      <c r="F1258" s="178" t="s">
        <v>270</v>
      </c>
      <c r="G1258" s="163">
        <v>2</v>
      </c>
      <c r="H1258" s="163">
        <v>2</v>
      </c>
      <c r="I1258" s="164">
        <v>775.2</v>
      </c>
      <c r="J1258" s="164">
        <v>715.9</v>
      </c>
      <c r="K1258" s="164">
        <v>715.9</v>
      </c>
      <c r="L1258" s="177">
        <v>16</v>
      </c>
      <c r="M1258" s="163" t="s">
        <v>268</v>
      </c>
      <c r="N1258" s="163" t="s">
        <v>269</v>
      </c>
      <c r="O1258" s="163" t="s">
        <v>271</v>
      </c>
      <c r="P1258" s="164">
        <v>3396600</v>
      </c>
      <c r="Q1258" s="164">
        <v>0</v>
      </c>
      <c r="R1258" s="164">
        <v>0</v>
      </c>
      <c r="S1258" s="164">
        <f>P1258-Q1258-R1258</f>
        <v>3396600</v>
      </c>
      <c r="T1258" s="167">
        <f t="shared" si="380"/>
        <v>4381.5789473684208</v>
      </c>
      <c r="U1258" s="167">
        <v>5360.0542569659438</v>
      </c>
      <c r="V1258" s="149">
        <f>U1258-T1258</f>
        <v>978.47530959752294</v>
      </c>
      <c r="W1258" s="149">
        <f>X1258+Y1258+Z1258+AA1258+AB1258+AD1258+AF1258+AH1258+AJ1258+AL1258+AN1258+AO1258</f>
        <v>5360.0542569659438</v>
      </c>
      <c r="X1258" s="149">
        <v>0</v>
      </c>
      <c r="Y1258" s="368">
        <v>0</v>
      </c>
      <c r="Z1258" s="368">
        <v>0</v>
      </c>
      <c r="AA1258" s="368">
        <v>0</v>
      </c>
      <c r="AB1258" s="368">
        <v>0</v>
      </c>
      <c r="AC1258" s="368">
        <v>0</v>
      </c>
      <c r="AD1258" s="368">
        <v>0</v>
      </c>
      <c r="AE1258" s="368">
        <v>666</v>
      </c>
      <c r="AF1258" s="396">
        <f>6238.91*AE1258/I1258</f>
        <v>5360.0542569659438</v>
      </c>
      <c r="AG1258" s="368">
        <v>0</v>
      </c>
      <c r="AH1258" s="396">
        <v>0</v>
      </c>
      <c r="AI1258" s="368">
        <v>0</v>
      </c>
      <c r="AJ1258" s="396">
        <v>0</v>
      </c>
      <c r="AK1258" s="368">
        <v>0</v>
      </c>
      <c r="AL1258" s="368">
        <v>0</v>
      </c>
      <c r="AM1258" s="368">
        <v>0</v>
      </c>
      <c r="AN1258" s="368"/>
      <c r="AO1258" s="368">
        <v>0</v>
      </c>
      <c r="AP1258" s="152"/>
      <c r="DQ1258" s="123"/>
      <c r="DR1258" s="123"/>
      <c r="DS1258" s="123"/>
      <c r="EG1258" s="124"/>
      <c r="EP1258" s="125"/>
      <c r="FS1258" s="126"/>
      <c r="GI1258" s="127"/>
    </row>
    <row r="1259" spans="1:191" s="121" customFormat="1" ht="84" customHeight="1" x14ac:dyDescent="0.45">
      <c r="B1259" s="432" t="s">
        <v>1694</v>
      </c>
      <c r="C1259" s="432"/>
      <c r="D1259" s="432"/>
      <c r="E1259" s="432"/>
      <c r="F1259" s="432"/>
      <c r="G1259" s="432"/>
      <c r="H1259" s="432"/>
      <c r="I1259" s="432"/>
      <c r="J1259" s="432"/>
      <c r="K1259" s="432"/>
      <c r="L1259" s="432"/>
      <c r="M1259" s="432"/>
      <c r="N1259" s="432"/>
      <c r="O1259" s="432"/>
      <c r="P1259" s="432"/>
      <c r="Q1259" s="432"/>
      <c r="R1259" s="432"/>
      <c r="S1259" s="432"/>
      <c r="T1259" s="432"/>
      <c r="U1259" s="432"/>
      <c r="X1259" s="368"/>
      <c r="Y1259" s="368"/>
      <c r="Z1259" s="368"/>
      <c r="AA1259" s="368"/>
      <c r="AB1259" s="368"/>
      <c r="AC1259" s="368"/>
      <c r="AD1259" s="368"/>
      <c r="AE1259" s="368"/>
      <c r="AF1259" s="368"/>
      <c r="AG1259" s="368"/>
      <c r="AH1259" s="368"/>
      <c r="AI1259" s="368"/>
      <c r="AJ1259" s="368"/>
      <c r="AK1259" s="368"/>
      <c r="AL1259" s="368"/>
      <c r="AM1259" s="368"/>
      <c r="AN1259" s="368"/>
      <c r="AO1259" s="368"/>
      <c r="EG1259" s="122"/>
    </row>
    <row r="1260" spans="1:191" s="121" customFormat="1" ht="35.25" customHeight="1" x14ac:dyDescent="0.45">
      <c r="B1260" s="433" t="s">
        <v>1688</v>
      </c>
      <c r="C1260" s="434"/>
      <c r="D1260" s="391" t="s">
        <v>903</v>
      </c>
      <c r="E1260" s="171" t="s">
        <v>903</v>
      </c>
      <c r="F1260" s="393" t="s">
        <v>903</v>
      </c>
      <c r="G1260" s="391" t="s">
        <v>903</v>
      </c>
      <c r="H1260" s="171" t="s">
        <v>903</v>
      </c>
      <c r="I1260" s="394">
        <f>I1261+I1265+I1263</f>
        <v>3182.5</v>
      </c>
      <c r="J1260" s="173">
        <f>J1261+J1265+J1263</f>
        <v>2963.5</v>
      </c>
      <c r="K1260" s="173">
        <f>K1261+K1265+K1263</f>
        <v>2844.3</v>
      </c>
      <c r="L1260" s="174">
        <f>L1261+L1265+L1263</f>
        <v>134</v>
      </c>
      <c r="M1260" s="171" t="s">
        <v>903</v>
      </c>
      <c r="N1260" s="171" t="s">
        <v>903</v>
      </c>
      <c r="O1260" s="171" t="s">
        <v>903</v>
      </c>
      <c r="P1260" s="386">
        <f>P1261+P1265+P1263</f>
        <v>8174681</v>
      </c>
      <c r="Q1260" s="164">
        <f>Q1261+Q1265+Q1263</f>
        <v>5508642.6599999992</v>
      </c>
      <c r="R1260" s="164">
        <f>R1261+R1265+R1263</f>
        <v>1409400</v>
      </c>
      <c r="S1260" s="164">
        <f>S1261+S1265+S1263</f>
        <v>1256638.3399999999</v>
      </c>
      <c r="T1260" s="387">
        <f t="shared" si="380"/>
        <v>2568.6350353495682</v>
      </c>
      <c r="U1260" s="387">
        <f>MAX(U1261:U1266)</f>
        <v>6168.5576079654511</v>
      </c>
      <c r="X1260" s="377"/>
      <c r="Y1260" s="377"/>
      <c r="Z1260" s="377"/>
      <c r="AA1260" s="377"/>
      <c r="AB1260" s="377"/>
      <c r="AC1260" s="378"/>
      <c r="AD1260" s="377"/>
      <c r="AE1260" s="377"/>
      <c r="AF1260" s="377"/>
      <c r="AG1260" s="377"/>
      <c r="AH1260" s="377"/>
      <c r="AI1260" s="368"/>
      <c r="AJ1260" s="368"/>
      <c r="AK1260" s="368"/>
      <c r="AL1260" s="368"/>
      <c r="AM1260" s="368"/>
      <c r="AN1260" s="368"/>
      <c r="AO1260" s="368"/>
      <c r="EG1260" s="122"/>
    </row>
    <row r="1261" spans="1:191" s="121" customFormat="1" ht="35.25" x14ac:dyDescent="0.5">
      <c r="B1261" s="382" t="s">
        <v>875</v>
      </c>
      <c r="C1261" s="392"/>
      <c r="D1261" s="391" t="s">
        <v>903</v>
      </c>
      <c r="E1261" s="171" t="s">
        <v>903</v>
      </c>
      <c r="F1261" s="393" t="s">
        <v>903</v>
      </c>
      <c r="G1261" s="391" t="s">
        <v>903</v>
      </c>
      <c r="H1261" s="171" t="s">
        <v>903</v>
      </c>
      <c r="I1261" s="394">
        <f>SUM(I1262:I1262)</f>
        <v>522.9</v>
      </c>
      <c r="J1261" s="173">
        <f>SUM(J1262:J1262)</f>
        <v>463.3</v>
      </c>
      <c r="K1261" s="173">
        <f>SUM(K1262:K1262)</f>
        <v>463.3</v>
      </c>
      <c r="L1261" s="174">
        <f>SUM(L1262:L1262)</f>
        <v>31</v>
      </c>
      <c r="M1261" s="171" t="s">
        <v>903</v>
      </c>
      <c r="N1261" s="171" t="s">
        <v>903</v>
      </c>
      <c r="O1261" s="171" t="s">
        <v>903</v>
      </c>
      <c r="P1261" s="386">
        <f>SUM(P1262:P1262)</f>
        <v>2094823</v>
      </c>
      <c r="Q1261" s="164">
        <f>SUM(Q1262:Q1262)</f>
        <v>1485566.66</v>
      </c>
      <c r="R1261" s="164">
        <f>SUM(R1262:R1262)</f>
        <v>392000</v>
      </c>
      <c r="S1261" s="164">
        <f>SUM(S1262:S1262)</f>
        <v>217256.34</v>
      </c>
      <c r="T1261" s="387">
        <f t="shared" si="380"/>
        <v>4006.1637024287629</v>
      </c>
      <c r="U1261" s="387">
        <f>U1262</f>
        <v>5416.8390514438715</v>
      </c>
      <c r="X1261" s="377"/>
      <c r="Y1261" s="377"/>
      <c r="Z1261" s="377"/>
      <c r="AA1261" s="377"/>
      <c r="AB1261" s="377"/>
      <c r="AC1261" s="378"/>
      <c r="AD1261" s="377"/>
      <c r="AE1261" s="377"/>
      <c r="AF1261" s="377"/>
      <c r="AG1261" s="377"/>
      <c r="AH1261" s="377"/>
      <c r="AI1261" s="368"/>
      <c r="AJ1261" s="368"/>
      <c r="AK1261" s="368"/>
      <c r="AL1261" s="368"/>
      <c r="AM1261" s="368"/>
      <c r="AN1261" s="368"/>
      <c r="AO1261" s="368"/>
      <c r="DH1261" s="123"/>
      <c r="DI1261" s="123"/>
      <c r="DJ1261" s="123"/>
      <c r="DX1261" s="124"/>
      <c r="EG1261" s="125"/>
      <c r="FJ1261" s="126"/>
      <c r="FZ1261" s="127"/>
    </row>
    <row r="1262" spans="1:191" s="121" customFormat="1" ht="35.25" x14ac:dyDescent="0.4">
      <c r="B1262" s="179">
        <v>1</v>
      </c>
      <c r="C1262" s="176" t="s">
        <v>1687</v>
      </c>
      <c r="D1262" s="171">
        <v>1964</v>
      </c>
      <c r="E1262" s="171"/>
      <c r="F1262" s="175" t="s">
        <v>270</v>
      </c>
      <c r="G1262" s="171">
        <v>2</v>
      </c>
      <c r="H1262" s="171">
        <v>2</v>
      </c>
      <c r="I1262" s="173">
        <v>522.9</v>
      </c>
      <c r="J1262" s="173">
        <v>463.3</v>
      </c>
      <c r="K1262" s="173">
        <v>463.3</v>
      </c>
      <c r="L1262" s="174">
        <v>31</v>
      </c>
      <c r="M1262" s="171" t="s">
        <v>268</v>
      </c>
      <c r="N1262" s="171" t="s">
        <v>272</v>
      </c>
      <c r="O1262" s="163" t="s">
        <v>336</v>
      </c>
      <c r="P1262" s="164">
        <v>2094823</v>
      </c>
      <c r="Q1262" s="164">
        <v>1485566.66</v>
      </c>
      <c r="R1262" s="164">
        <v>392000</v>
      </c>
      <c r="S1262" s="164">
        <v>217256.34</v>
      </c>
      <c r="T1262" s="167">
        <f t="shared" si="380"/>
        <v>4006.1637024287629</v>
      </c>
      <c r="U1262" s="167">
        <v>5416.8390514438715</v>
      </c>
      <c r="V1262" s="149">
        <f>W1262-T1262</f>
        <v>1410.6753490151086</v>
      </c>
      <c r="W1262" s="149">
        <f>X1262+Y1262+Z1262+AA1262+AB1262+AD1262+AF1262+AH1262+AJ1262+AL1262+AN1262+AO1262</f>
        <v>5416.8390514438715</v>
      </c>
      <c r="X1262" s="379">
        <v>0</v>
      </c>
      <c r="Y1262" s="164">
        <v>0</v>
      </c>
      <c r="Z1262" s="164">
        <v>0</v>
      </c>
      <c r="AA1262" s="164">
        <v>0</v>
      </c>
      <c r="AB1262" s="164">
        <v>0</v>
      </c>
      <c r="AC1262" s="378">
        <v>0</v>
      </c>
      <c r="AD1262" s="164">
        <v>0</v>
      </c>
      <c r="AE1262" s="164">
        <v>454</v>
      </c>
      <c r="AF1262" s="396">
        <f>6238.91*AE1262/I1262</f>
        <v>5416.8390514438715</v>
      </c>
      <c r="AG1262" s="164">
        <v>0</v>
      </c>
      <c r="AH1262" s="164">
        <v>0</v>
      </c>
      <c r="AI1262" s="368"/>
      <c r="AJ1262" s="397">
        <f>7439.1*AI1262/I1262</f>
        <v>0</v>
      </c>
      <c r="AK1262" s="368"/>
      <c r="AL1262" s="396">
        <f>76773.02*AK1262/I1262</f>
        <v>0</v>
      </c>
      <c r="AM1262" s="368"/>
      <c r="AN1262" s="368"/>
      <c r="AO1262" s="368"/>
      <c r="DH1262" s="123"/>
      <c r="DI1262" s="123"/>
      <c r="DJ1262" s="123"/>
      <c r="DX1262" s="124"/>
      <c r="EG1262" s="125"/>
      <c r="FJ1262" s="126"/>
      <c r="FZ1262" s="127"/>
    </row>
    <row r="1263" spans="1:191" s="124" customFormat="1" ht="35.25" x14ac:dyDescent="0.25">
      <c r="B1263" s="395" t="s">
        <v>828</v>
      </c>
      <c r="C1263" s="392"/>
      <c r="D1263" s="391" t="s">
        <v>903</v>
      </c>
      <c r="E1263" s="171" t="s">
        <v>903</v>
      </c>
      <c r="F1263" s="393" t="s">
        <v>903</v>
      </c>
      <c r="G1263" s="391" t="s">
        <v>903</v>
      </c>
      <c r="H1263" s="171" t="s">
        <v>903</v>
      </c>
      <c r="I1263" s="394">
        <f>SUM(I1264:I1264)</f>
        <v>1826</v>
      </c>
      <c r="J1263" s="173">
        <f>SUM(J1264:J1264)</f>
        <v>1718</v>
      </c>
      <c r="K1263" s="173">
        <f>SUM(K1264:K1264)</f>
        <v>1598.8</v>
      </c>
      <c r="L1263" s="174">
        <f>SUM(L1264:L1264)</f>
        <v>73</v>
      </c>
      <c r="M1263" s="171" t="s">
        <v>903</v>
      </c>
      <c r="N1263" s="171" t="s">
        <v>903</v>
      </c>
      <c r="O1263" s="171" t="s">
        <v>903</v>
      </c>
      <c r="P1263" s="386">
        <f>SUM(P1264:P1264)</f>
        <v>2852270</v>
      </c>
      <c r="Q1263" s="164">
        <f>SUM(Q1264:Q1264)</f>
        <v>1758231.93</v>
      </c>
      <c r="R1263" s="164">
        <f>SUM(R1264:R1264)</f>
        <v>450000</v>
      </c>
      <c r="S1263" s="164">
        <f>SUM(S1264:S1264)</f>
        <v>644038.06999999995</v>
      </c>
      <c r="T1263" s="387">
        <f t="shared" si="380"/>
        <v>1562.0317634173057</v>
      </c>
      <c r="U1263" s="387">
        <f>U1264</f>
        <v>2460.0302300109529</v>
      </c>
      <c r="X1263" s="377"/>
      <c r="Y1263" s="377"/>
      <c r="Z1263" s="377"/>
      <c r="AA1263" s="377"/>
      <c r="AB1263" s="377"/>
      <c r="AC1263" s="378"/>
      <c r="AD1263" s="377"/>
      <c r="AE1263" s="377"/>
      <c r="AF1263" s="377"/>
      <c r="AG1263" s="377"/>
      <c r="AH1263" s="377"/>
      <c r="AI1263" s="369"/>
      <c r="AJ1263" s="369"/>
      <c r="AK1263" s="369"/>
      <c r="AL1263" s="369"/>
      <c r="AM1263" s="369"/>
      <c r="AN1263" s="369"/>
      <c r="AO1263" s="369"/>
      <c r="DH1263" s="123"/>
      <c r="DI1263" s="123"/>
      <c r="DJ1263" s="123"/>
      <c r="EG1263" s="125"/>
      <c r="FJ1263" s="126"/>
      <c r="FZ1263" s="127"/>
    </row>
    <row r="1264" spans="1:191" s="121" customFormat="1" ht="35.25" x14ac:dyDescent="0.4">
      <c r="B1264" s="179">
        <v>2</v>
      </c>
      <c r="C1264" s="176" t="s">
        <v>1712</v>
      </c>
      <c r="D1264" s="171">
        <v>1975</v>
      </c>
      <c r="E1264" s="171"/>
      <c r="F1264" s="175" t="s">
        <v>270</v>
      </c>
      <c r="G1264" s="171">
        <v>4</v>
      </c>
      <c r="H1264" s="171">
        <v>2</v>
      </c>
      <c r="I1264" s="173">
        <v>1826</v>
      </c>
      <c r="J1264" s="173">
        <v>1718</v>
      </c>
      <c r="K1264" s="173">
        <v>1598.8</v>
      </c>
      <c r="L1264" s="174">
        <v>73</v>
      </c>
      <c r="M1264" s="171" t="s">
        <v>268</v>
      </c>
      <c r="N1264" s="171" t="s">
        <v>345</v>
      </c>
      <c r="O1264" s="163" t="s">
        <v>1713</v>
      </c>
      <c r="P1264" s="164">
        <v>2852270</v>
      </c>
      <c r="Q1264" s="164">
        <v>1758231.93</v>
      </c>
      <c r="R1264" s="164">
        <v>450000</v>
      </c>
      <c r="S1264" s="164">
        <v>644038.06999999995</v>
      </c>
      <c r="T1264" s="167">
        <f t="shared" si="380"/>
        <v>1562.0317634173057</v>
      </c>
      <c r="U1264" s="167">
        <v>2460.0302300109529</v>
      </c>
      <c r="V1264" s="149">
        <f>W1264-T1264</f>
        <v>897.99846659364721</v>
      </c>
      <c r="W1264" s="149">
        <f>X1264+Y1264+Z1264+AA1264+AB1264+AD1264+AF1264+AH1264+AJ1264+AL1264+AN1264+AO1264</f>
        <v>2460.0302300109529</v>
      </c>
      <c r="X1264" s="379">
        <v>0</v>
      </c>
      <c r="Y1264" s="164">
        <v>0</v>
      </c>
      <c r="Z1264" s="164">
        <v>0</v>
      </c>
      <c r="AA1264" s="164">
        <v>0</v>
      </c>
      <c r="AB1264" s="164">
        <v>0</v>
      </c>
      <c r="AC1264" s="378">
        <v>0</v>
      </c>
      <c r="AD1264" s="164">
        <v>0</v>
      </c>
      <c r="AE1264" s="164">
        <v>720</v>
      </c>
      <c r="AF1264" s="396">
        <f>6238.91*AE1264/I1264</f>
        <v>2460.0302300109529</v>
      </c>
      <c r="AG1264" s="164">
        <v>0</v>
      </c>
      <c r="AH1264" s="164">
        <v>0</v>
      </c>
      <c r="AI1264" s="368"/>
      <c r="AJ1264" s="397">
        <f>7439.1*AI1264/I1264</f>
        <v>0</v>
      </c>
      <c r="AK1264" s="368"/>
      <c r="AL1264" s="396">
        <f>76773.02*AK1264/I1264</f>
        <v>0</v>
      </c>
      <c r="AM1264" s="368"/>
      <c r="AN1264" s="368"/>
      <c r="AO1264" s="368"/>
      <c r="DH1264" s="123"/>
      <c r="DI1264" s="123"/>
      <c r="DJ1264" s="123"/>
      <c r="DX1264" s="124"/>
      <c r="EG1264" s="125"/>
      <c r="FJ1264" s="126"/>
      <c r="FZ1264" s="127"/>
    </row>
    <row r="1265" spans="2:182" s="124" customFormat="1" ht="35.25" x14ac:dyDescent="0.25">
      <c r="B1265" s="395" t="s">
        <v>899</v>
      </c>
      <c r="C1265" s="392"/>
      <c r="D1265" s="391" t="s">
        <v>903</v>
      </c>
      <c r="E1265" s="171" t="s">
        <v>903</v>
      </c>
      <c r="F1265" s="393" t="s">
        <v>903</v>
      </c>
      <c r="G1265" s="391" t="s">
        <v>903</v>
      </c>
      <c r="H1265" s="171" t="s">
        <v>903</v>
      </c>
      <c r="I1265" s="394">
        <f>SUM(I1266:I1266)</f>
        <v>833.6</v>
      </c>
      <c r="J1265" s="173">
        <f>SUM(J1266:J1266)</f>
        <v>782.2</v>
      </c>
      <c r="K1265" s="173">
        <f>SUM(K1266:K1266)</f>
        <v>782.2</v>
      </c>
      <c r="L1265" s="174">
        <f>SUM(L1266:L1266)</f>
        <v>30</v>
      </c>
      <c r="M1265" s="171" t="s">
        <v>903</v>
      </c>
      <c r="N1265" s="171" t="s">
        <v>903</v>
      </c>
      <c r="O1265" s="171" t="s">
        <v>903</v>
      </c>
      <c r="P1265" s="386">
        <f>SUM(P1266:P1266)</f>
        <v>3227588</v>
      </c>
      <c r="Q1265" s="164">
        <f>SUM(Q1266:Q1266)</f>
        <v>2264844.0699999998</v>
      </c>
      <c r="R1265" s="164">
        <f>SUM(R1266:R1266)</f>
        <v>567400</v>
      </c>
      <c r="S1265" s="164">
        <f>SUM(S1266:S1266)</f>
        <v>395343.93</v>
      </c>
      <c r="T1265" s="387">
        <f t="shared" si="380"/>
        <v>3871.8666026871401</v>
      </c>
      <c r="U1265" s="387">
        <f>U1266</f>
        <v>6168.5576079654511</v>
      </c>
      <c r="X1265" s="377"/>
      <c r="Y1265" s="377"/>
      <c r="Z1265" s="377"/>
      <c r="AA1265" s="377"/>
      <c r="AB1265" s="377"/>
      <c r="AC1265" s="378"/>
      <c r="AD1265" s="377"/>
      <c r="AE1265" s="377"/>
      <c r="AF1265" s="377"/>
      <c r="AG1265" s="377"/>
      <c r="AH1265" s="377"/>
      <c r="AI1265" s="369"/>
      <c r="AJ1265" s="369"/>
      <c r="AK1265" s="369"/>
      <c r="AL1265" s="369"/>
      <c r="AM1265" s="369"/>
      <c r="AN1265" s="369"/>
      <c r="AO1265" s="369"/>
      <c r="DH1265" s="123"/>
      <c r="DI1265" s="123"/>
      <c r="DJ1265" s="123"/>
      <c r="EG1265" s="125"/>
      <c r="FJ1265" s="126"/>
      <c r="FZ1265" s="127"/>
    </row>
    <row r="1266" spans="2:182" s="121" customFormat="1" ht="35.25" x14ac:dyDescent="0.4">
      <c r="B1266" s="179">
        <v>3</v>
      </c>
      <c r="C1266" s="176" t="s">
        <v>3</v>
      </c>
      <c r="D1266" s="171">
        <v>1988</v>
      </c>
      <c r="E1266" s="171"/>
      <c r="F1266" s="175" t="s">
        <v>270</v>
      </c>
      <c r="G1266" s="171">
        <v>2</v>
      </c>
      <c r="H1266" s="171">
        <v>3</v>
      </c>
      <c r="I1266" s="173">
        <v>833.6</v>
      </c>
      <c r="J1266" s="173">
        <v>782.2</v>
      </c>
      <c r="K1266" s="173">
        <v>782.2</v>
      </c>
      <c r="L1266" s="174">
        <v>30</v>
      </c>
      <c r="M1266" s="171" t="s">
        <v>268</v>
      </c>
      <c r="N1266" s="163" t="s">
        <v>269</v>
      </c>
      <c r="O1266" s="163" t="s">
        <v>271</v>
      </c>
      <c r="P1266" s="164">
        <f>Q1266+R1266+S1266</f>
        <v>3227588</v>
      </c>
      <c r="Q1266" s="164">
        <v>2264844.0699999998</v>
      </c>
      <c r="R1266" s="164">
        <v>567400</v>
      </c>
      <c r="S1266" s="164">
        <v>395343.93</v>
      </c>
      <c r="T1266" s="167">
        <f t="shared" si="380"/>
        <v>3871.8666026871401</v>
      </c>
      <c r="U1266" s="167">
        <v>6168.5576079654511</v>
      </c>
      <c r="V1266" s="149">
        <f>W1266-T1266</f>
        <v>2296.691005278311</v>
      </c>
      <c r="W1266" s="149">
        <f>X1266+Y1266+Z1266+AA1266+AB1266+AD1266+AF1266+AH1266+AJ1266+AL1266+AN1266+AO1266</f>
        <v>6168.5576079654511</v>
      </c>
      <c r="X1266" s="379">
        <v>0</v>
      </c>
      <c r="Y1266" s="164">
        <v>0</v>
      </c>
      <c r="Z1266" s="164">
        <v>0</v>
      </c>
      <c r="AA1266" s="164">
        <v>0</v>
      </c>
      <c r="AB1266" s="164">
        <v>0</v>
      </c>
      <c r="AC1266" s="378">
        <v>0</v>
      </c>
      <c r="AD1266" s="164">
        <v>0</v>
      </c>
      <c r="AE1266" s="164">
        <v>824.2</v>
      </c>
      <c r="AF1266" s="396">
        <f>6238.91*AE1266/I1266</f>
        <v>6168.5576079654511</v>
      </c>
      <c r="AG1266" s="164">
        <v>0</v>
      </c>
      <c r="AH1266" s="164">
        <v>0</v>
      </c>
      <c r="AI1266" s="368"/>
      <c r="AJ1266" s="397">
        <f>7439.1*AI1266/I1266</f>
        <v>0</v>
      </c>
      <c r="AK1266" s="368"/>
      <c r="AL1266" s="396">
        <f>76773.02*AK1266/I1266</f>
        <v>0</v>
      </c>
      <c r="AM1266" s="368"/>
      <c r="AN1266" s="368"/>
      <c r="AO1266" s="368"/>
      <c r="DH1266" s="123"/>
      <c r="DI1266" s="123"/>
      <c r="DJ1266" s="123"/>
      <c r="DX1266" s="124"/>
      <c r="EG1266" s="125"/>
      <c r="FJ1266" s="126"/>
      <c r="FZ1266" s="127"/>
    </row>
    <row r="1267" spans="2:182" s="121" customFormat="1" ht="84" customHeight="1" x14ac:dyDescent="0.45">
      <c r="B1267" s="432" t="s">
        <v>1937</v>
      </c>
      <c r="C1267" s="432"/>
      <c r="D1267" s="432"/>
      <c r="E1267" s="432"/>
      <c r="F1267" s="432"/>
      <c r="G1267" s="432"/>
      <c r="H1267" s="432"/>
      <c r="I1267" s="432"/>
      <c r="J1267" s="432"/>
      <c r="K1267" s="432"/>
      <c r="L1267" s="432"/>
      <c r="M1267" s="432"/>
      <c r="N1267" s="432"/>
      <c r="O1267" s="432"/>
      <c r="P1267" s="432"/>
      <c r="Q1267" s="432"/>
      <c r="R1267" s="432"/>
      <c r="S1267" s="432"/>
      <c r="T1267" s="432"/>
      <c r="U1267" s="432"/>
      <c r="X1267" s="368"/>
      <c r="Y1267" s="368"/>
      <c r="Z1267" s="368"/>
      <c r="AA1267" s="368"/>
      <c r="AB1267" s="368"/>
      <c r="AC1267" s="368"/>
      <c r="AD1267" s="368"/>
      <c r="AE1267" s="368"/>
      <c r="AF1267" s="368"/>
      <c r="AG1267" s="368"/>
      <c r="AH1267" s="368"/>
      <c r="AI1267" s="368"/>
      <c r="AJ1267" s="368"/>
      <c r="AK1267" s="368"/>
      <c r="AL1267" s="368"/>
      <c r="AM1267" s="368"/>
      <c r="AN1267" s="368"/>
      <c r="AO1267" s="368"/>
      <c r="EG1267" s="122"/>
    </row>
    <row r="1268" spans="2:182" s="121" customFormat="1" ht="35.25" customHeight="1" x14ac:dyDescent="0.45">
      <c r="B1268" s="433" t="s">
        <v>1688</v>
      </c>
      <c r="C1268" s="434"/>
      <c r="D1268" s="391" t="s">
        <v>903</v>
      </c>
      <c r="E1268" s="171" t="s">
        <v>903</v>
      </c>
      <c r="F1268" s="393" t="s">
        <v>903</v>
      </c>
      <c r="G1268" s="391" t="s">
        <v>903</v>
      </c>
      <c r="H1268" s="171" t="s">
        <v>903</v>
      </c>
      <c r="I1268" s="394">
        <f>I1269+I1273</f>
        <v>8790.5</v>
      </c>
      <c r="J1268" s="173">
        <f>J1269+J1273</f>
        <v>7270.4</v>
      </c>
      <c r="K1268" s="173">
        <f>K1269+K1273</f>
        <v>7270.4</v>
      </c>
      <c r="L1268" s="174">
        <f>L1269+L1273</f>
        <v>403</v>
      </c>
      <c r="M1268" s="171" t="s">
        <v>903</v>
      </c>
      <c r="N1268" s="171" t="s">
        <v>903</v>
      </c>
      <c r="O1268" s="171" t="s">
        <v>903</v>
      </c>
      <c r="P1268" s="386">
        <f>P1269+P1273</f>
        <v>15488140.189999998</v>
      </c>
      <c r="Q1268" s="164">
        <f>Q1269+Q1273</f>
        <v>0</v>
      </c>
      <c r="R1268" s="164">
        <f>R1269+R1273</f>
        <v>0</v>
      </c>
      <c r="S1268" s="164">
        <f>S1269+S1273</f>
        <v>15488140.189999998</v>
      </c>
      <c r="T1268" s="387">
        <f t="shared" si="380"/>
        <v>1761.9180012513507</v>
      </c>
      <c r="U1268" s="387">
        <f>MAX(U1269:U1274)</f>
        <v>8543.5038528851946</v>
      </c>
      <c r="X1268" s="368"/>
      <c r="Y1268" s="368"/>
      <c r="Z1268" s="368"/>
      <c r="AA1268" s="368"/>
      <c r="AB1268" s="368"/>
      <c r="AC1268" s="368"/>
      <c r="AD1268" s="368"/>
      <c r="AE1268" s="368"/>
      <c r="AF1268" s="368"/>
      <c r="AG1268" s="368"/>
      <c r="AH1268" s="368"/>
      <c r="AI1268" s="368"/>
      <c r="AJ1268" s="368"/>
      <c r="AK1268" s="368"/>
      <c r="AL1268" s="368"/>
      <c r="AM1268" s="368"/>
      <c r="AN1268" s="368"/>
      <c r="AO1268" s="368"/>
      <c r="EG1268" s="122"/>
    </row>
    <row r="1269" spans="2:182" s="121" customFormat="1" ht="35.25" x14ac:dyDescent="0.5">
      <c r="B1269" s="382" t="s">
        <v>851</v>
      </c>
      <c r="C1269" s="392"/>
      <c r="D1269" s="391" t="s">
        <v>903</v>
      </c>
      <c r="E1269" s="171" t="s">
        <v>903</v>
      </c>
      <c r="F1269" s="393" t="s">
        <v>903</v>
      </c>
      <c r="G1269" s="391" t="s">
        <v>903</v>
      </c>
      <c r="H1269" s="171" t="s">
        <v>903</v>
      </c>
      <c r="I1269" s="394">
        <f>SUM(I1270:I1272)</f>
        <v>7491.9</v>
      </c>
      <c r="J1269" s="173">
        <f>SUM(J1270:J1272)</f>
        <v>6281</v>
      </c>
      <c r="K1269" s="173">
        <f>SUM(K1270:K1272)</f>
        <v>6281</v>
      </c>
      <c r="L1269" s="174">
        <f>SUM(L1270:L1272)</f>
        <v>356</v>
      </c>
      <c r="M1269" s="171" t="s">
        <v>903</v>
      </c>
      <c r="N1269" s="171" t="s">
        <v>903</v>
      </c>
      <c r="O1269" s="171" t="s">
        <v>903</v>
      </c>
      <c r="P1269" s="386">
        <f>SUM(P1270:P1272)</f>
        <v>13655036.579999998</v>
      </c>
      <c r="Q1269" s="164">
        <f>SUM(Q1270:Q1272)</f>
        <v>0</v>
      </c>
      <c r="R1269" s="164">
        <f>SUM(R1270:R1272)</f>
        <v>0</v>
      </c>
      <c r="S1269" s="164">
        <f>SUM(S1270:S1272)</f>
        <v>13655036.579999998</v>
      </c>
      <c r="T1269" s="387">
        <f t="shared" si="380"/>
        <v>1822.6399951948104</v>
      </c>
      <c r="U1269" s="387">
        <f>MAX(U1270:U1272)</f>
        <v>8543.5038528851946</v>
      </c>
      <c r="X1269" s="368"/>
      <c r="Y1269" s="368"/>
      <c r="Z1269" s="368"/>
      <c r="AA1269" s="368"/>
      <c r="AB1269" s="368"/>
      <c r="AC1269" s="368"/>
      <c r="AD1269" s="368"/>
      <c r="AE1269" s="368"/>
      <c r="AF1269" s="368"/>
      <c r="AG1269" s="368"/>
      <c r="AH1269" s="368"/>
      <c r="AI1269" s="368"/>
      <c r="AJ1269" s="368"/>
      <c r="AK1269" s="368"/>
      <c r="AL1269" s="368"/>
      <c r="AM1269" s="368"/>
      <c r="AN1269" s="368"/>
      <c r="AO1269" s="368"/>
      <c r="DH1269" s="123"/>
      <c r="DI1269" s="123"/>
      <c r="DJ1269" s="123"/>
      <c r="DX1269" s="124"/>
      <c r="EG1269" s="125"/>
      <c r="FJ1269" s="126"/>
      <c r="FZ1269" s="127"/>
    </row>
    <row r="1270" spans="2:182" s="121" customFormat="1" ht="35.25" x14ac:dyDescent="0.4">
      <c r="B1270" s="179">
        <v>1</v>
      </c>
      <c r="C1270" s="176" t="s">
        <v>1903</v>
      </c>
      <c r="D1270" s="171">
        <v>2007</v>
      </c>
      <c r="E1270" s="171"/>
      <c r="F1270" s="175" t="s">
        <v>322</v>
      </c>
      <c r="G1270" s="171">
        <v>5</v>
      </c>
      <c r="H1270" s="171">
        <v>4</v>
      </c>
      <c r="I1270" s="173">
        <v>3049.5</v>
      </c>
      <c r="J1270" s="173">
        <v>3049.5</v>
      </c>
      <c r="K1270" s="173">
        <v>3049.5</v>
      </c>
      <c r="L1270" s="282">
        <v>195</v>
      </c>
      <c r="M1270" s="171" t="s">
        <v>268</v>
      </c>
      <c r="N1270" s="171" t="s">
        <v>345</v>
      </c>
      <c r="O1270" s="163" t="s">
        <v>1904</v>
      </c>
      <c r="P1270" s="164">
        <v>4228150.99</v>
      </c>
      <c r="Q1270" s="164">
        <v>0</v>
      </c>
      <c r="R1270" s="164">
        <v>0</v>
      </c>
      <c r="S1270" s="164">
        <f>P1270-Q1270-R1270</f>
        <v>4228150.99</v>
      </c>
      <c r="T1270" s="167">
        <f t="shared" si="380"/>
        <v>1386.5063092310215</v>
      </c>
      <c r="U1270" s="167">
        <v>2296.8477093621905</v>
      </c>
      <c r="V1270" s="149">
        <f t="shared" ref="V1270:V1272" si="396">W1270-T1270</f>
        <v>910.34140013116894</v>
      </c>
      <c r="W1270" s="149">
        <f t="shared" ref="W1270:W1272" si="397">X1270+Y1270+Z1270+AA1270+AB1270+AD1270+AF1270+AH1270+AJ1270+AL1270+AN1270+AO1270</f>
        <v>2296.8477093621905</v>
      </c>
      <c r="X1270" s="368">
        <v>0</v>
      </c>
      <c r="Y1270" s="368">
        <v>0</v>
      </c>
      <c r="Z1270" s="368">
        <v>0</v>
      </c>
      <c r="AA1270" s="368">
        <v>0</v>
      </c>
      <c r="AB1270" s="368">
        <v>0</v>
      </c>
      <c r="AC1270" s="368">
        <v>0</v>
      </c>
      <c r="AD1270" s="368">
        <v>0</v>
      </c>
      <c r="AE1270" s="368">
        <v>1122.67</v>
      </c>
      <c r="AF1270" s="396">
        <f t="shared" ref="AF1270:AF1272" si="398">6238.91*AE1270/I1270</f>
        <v>2296.8477093621905</v>
      </c>
      <c r="AG1270" s="368">
        <v>0</v>
      </c>
      <c r="AH1270" s="396">
        <v>0</v>
      </c>
      <c r="AI1270" s="368"/>
      <c r="AJ1270" s="396"/>
      <c r="AK1270" s="368"/>
      <c r="AL1270" s="396">
        <f t="shared" ref="AL1270:AL1272" si="399">76773.02*AK1270/I1270</f>
        <v>0</v>
      </c>
      <c r="AM1270" s="368"/>
      <c r="AN1270" s="368"/>
      <c r="AO1270" s="368"/>
      <c r="DH1270" s="123"/>
      <c r="DI1270" s="123"/>
      <c r="DJ1270" s="123"/>
      <c r="DX1270" s="124"/>
      <c r="EG1270" s="125"/>
      <c r="FJ1270" s="126"/>
      <c r="FZ1270" s="127"/>
    </row>
    <row r="1271" spans="2:182" s="121" customFormat="1" ht="35.25" x14ac:dyDescent="0.4">
      <c r="B1271" s="179">
        <v>2</v>
      </c>
      <c r="C1271" s="176" t="s">
        <v>1906</v>
      </c>
      <c r="D1271" s="171">
        <v>2008</v>
      </c>
      <c r="E1271" s="171"/>
      <c r="F1271" s="175" t="s">
        <v>322</v>
      </c>
      <c r="G1271" s="171">
        <v>5</v>
      </c>
      <c r="H1271" s="171">
        <v>3</v>
      </c>
      <c r="I1271" s="173">
        <v>2288.3000000000002</v>
      </c>
      <c r="J1271" s="173">
        <v>2288.3000000000002</v>
      </c>
      <c r="K1271" s="173">
        <v>2288.3000000000002</v>
      </c>
      <c r="L1271" s="282">
        <v>143</v>
      </c>
      <c r="M1271" s="171" t="s">
        <v>268</v>
      </c>
      <c r="N1271" s="171" t="s">
        <v>272</v>
      </c>
      <c r="O1271" s="163" t="s">
        <v>1908</v>
      </c>
      <c r="P1271" s="164">
        <v>2813818.53</v>
      </c>
      <c r="Q1271" s="164">
        <v>0</v>
      </c>
      <c r="R1271" s="164">
        <v>0</v>
      </c>
      <c r="S1271" s="164">
        <f>P1271-Q1271-R1271</f>
        <v>2813818.53</v>
      </c>
      <c r="T1271" s="167">
        <f t="shared" si="380"/>
        <v>1229.6545601538257</v>
      </c>
      <c r="U1271" s="167">
        <v>2044.829130795787</v>
      </c>
      <c r="V1271" s="149">
        <f t="shared" si="396"/>
        <v>815.17457064196128</v>
      </c>
      <c r="W1271" s="149">
        <f t="shared" si="397"/>
        <v>2044.829130795787</v>
      </c>
      <c r="X1271" s="368">
        <v>0</v>
      </c>
      <c r="Y1271" s="368">
        <v>0</v>
      </c>
      <c r="Z1271" s="368">
        <v>0</v>
      </c>
      <c r="AA1271" s="368">
        <v>0</v>
      </c>
      <c r="AB1271" s="368">
        <v>0</v>
      </c>
      <c r="AC1271" s="368">
        <v>0</v>
      </c>
      <c r="AD1271" s="368">
        <v>0</v>
      </c>
      <c r="AE1271" s="368">
        <v>750</v>
      </c>
      <c r="AF1271" s="396">
        <f t="shared" si="398"/>
        <v>2044.829130795787</v>
      </c>
      <c r="AG1271" s="368">
        <v>0</v>
      </c>
      <c r="AH1271" s="396">
        <v>0</v>
      </c>
      <c r="AI1271" s="368"/>
      <c r="AJ1271" s="396"/>
      <c r="AK1271" s="368"/>
      <c r="AL1271" s="396">
        <f t="shared" si="399"/>
        <v>0</v>
      </c>
      <c r="AM1271" s="368"/>
      <c r="AN1271" s="368"/>
      <c r="AO1271" s="368"/>
      <c r="DH1271" s="123"/>
      <c r="DI1271" s="123"/>
      <c r="DJ1271" s="123"/>
      <c r="DX1271" s="124"/>
      <c r="EG1271" s="125"/>
      <c r="FJ1271" s="126"/>
      <c r="FZ1271" s="127"/>
    </row>
    <row r="1272" spans="2:182" s="121" customFormat="1" ht="35.25" x14ac:dyDescent="0.4">
      <c r="B1272" s="179">
        <v>3</v>
      </c>
      <c r="C1272" s="176" t="s">
        <v>1907</v>
      </c>
      <c r="D1272" s="171">
        <v>1914</v>
      </c>
      <c r="E1272" s="171"/>
      <c r="F1272" s="175" t="s">
        <v>270</v>
      </c>
      <c r="G1272" s="171">
        <v>4</v>
      </c>
      <c r="H1272" s="171">
        <v>2</v>
      </c>
      <c r="I1272" s="173">
        <v>2154.1</v>
      </c>
      <c r="J1272" s="173">
        <v>943.2</v>
      </c>
      <c r="K1272" s="173">
        <v>943.2</v>
      </c>
      <c r="L1272" s="282">
        <v>18</v>
      </c>
      <c r="M1272" s="171" t="s">
        <v>268</v>
      </c>
      <c r="N1272" s="171" t="s">
        <v>272</v>
      </c>
      <c r="O1272" s="163" t="s">
        <v>1909</v>
      </c>
      <c r="P1272" s="164">
        <v>6613067.0599999996</v>
      </c>
      <c r="Q1272" s="164">
        <v>0</v>
      </c>
      <c r="R1272" s="164">
        <v>0</v>
      </c>
      <c r="S1272" s="164">
        <f>P1272-Q1272-R1272</f>
        <v>6613067.0599999996</v>
      </c>
      <c r="T1272" s="167">
        <f t="shared" si="380"/>
        <v>3069.9907432338332</v>
      </c>
      <c r="U1272" s="167">
        <v>8543.5038528851946</v>
      </c>
      <c r="V1272" s="149">
        <f t="shared" si="396"/>
        <v>5473.5131096513614</v>
      </c>
      <c r="W1272" s="149">
        <f t="shared" si="397"/>
        <v>8543.5038528851946</v>
      </c>
      <c r="X1272" s="368">
        <v>0</v>
      </c>
      <c r="Y1272" s="368">
        <v>0</v>
      </c>
      <c r="Z1272" s="368">
        <v>3259.66</v>
      </c>
      <c r="AA1272" s="368">
        <v>0</v>
      </c>
      <c r="AB1272" s="368">
        <v>795.31</v>
      </c>
      <c r="AC1272" s="368">
        <v>0</v>
      </c>
      <c r="AD1272" s="368">
        <v>0</v>
      </c>
      <c r="AE1272" s="368">
        <v>1549.75</v>
      </c>
      <c r="AF1272" s="396">
        <f t="shared" si="398"/>
        <v>4488.5338528851953</v>
      </c>
      <c r="AG1272" s="368">
        <v>0</v>
      </c>
      <c r="AH1272" s="396">
        <v>0</v>
      </c>
      <c r="AI1272" s="368"/>
      <c r="AJ1272" s="397">
        <f>7439.1*AI1272/I1272</f>
        <v>0</v>
      </c>
      <c r="AK1272" s="368"/>
      <c r="AL1272" s="396">
        <f t="shared" si="399"/>
        <v>0</v>
      </c>
      <c r="AM1272" s="368"/>
      <c r="AN1272" s="368"/>
      <c r="AO1272" s="368"/>
      <c r="DH1272" s="123"/>
      <c r="DI1272" s="123"/>
      <c r="DJ1272" s="123"/>
      <c r="DX1272" s="124"/>
      <c r="EG1272" s="125"/>
      <c r="FJ1272" s="126"/>
      <c r="FZ1272" s="127"/>
    </row>
    <row r="1273" spans="2:182" s="124" customFormat="1" ht="35.25" x14ac:dyDescent="0.25">
      <c r="B1273" s="395" t="s">
        <v>850</v>
      </c>
      <c r="C1273" s="392"/>
      <c r="D1273" s="391" t="s">
        <v>903</v>
      </c>
      <c r="E1273" s="171" t="s">
        <v>903</v>
      </c>
      <c r="F1273" s="393" t="s">
        <v>903</v>
      </c>
      <c r="G1273" s="391" t="s">
        <v>903</v>
      </c>
      <c r="H1273" s="171" t="s">
        <v>903</v>
      </c>
      <c r="I1273" s="394">
        <f>SUM(I1274:I1274)</f>
        <v>1298.5999999999999</v>
      </c>
      <c r="J1273" s="173">
        <f>SUM(J1274:J1274)</f>
        <v>989.4</v>
      </c>
      <c r="K1273" s="173">
        <f>SUM(K1274:K1274)</f>
        <v>989.4</v>
      </c>
      <c r="L1273" s="174">
        <f>SUM(L1274:L1274)</f>
        <v>47</v>
      </c>
      <c r="M1273" s="171" t="s">
        <v>903</v>
      </c>
      <c r="N1273" s="171" t="s">
        <v>903</v>
      </c>
      <c r="O1273" s="171" t="s">
        <v>903</v>
      </c>
      <c r="P1273" s="386">
        <f>SUM(P1274:P1274)</f>
        <v>1833103.6099999999</v>
      </c>
      <c r="Q1273" s="164">
        <f>SUM(Q1274:Q1274)</f>
        <v>0</v>
      </c>
      <c r="R1273" s="164">
        <f>SUM(R1274:R1274)</f>
        <v>0</v>
      </c>
      <c r="S1273" s="164">
        <f>SUM(S1274:S1274)</f>
        <v>1833103.6099999999</v>
      </c>
      <c r="T1273" s="387">
        <f t="shared" si="380"/>
        <v>1411.5998844909902</v>
      </c>
      <c r="U1273" s="387">
        <f>U1274</f>
        <v>3320.2762213152632</v>
      </c>
      <c r="X1273" s="369"/>
      <c r="Y1273" s="369"/>
      <c r="Z1273" s="369"/>
      <c r="AA1273" s="369"/>
      <c r="AB1273" s="369"/>
      <c r="AC1273" s="369"/>
      <c r="AD1273" s="369"/>
      <c r="AE1273" s="369"/>
      <c r="AF1273" s="369"/>
      <c r="AG1273" s="369"/>
      <c r="AH1273" s="369"/>
      <c r="AI1273" s="369"/>
      <c r="AJ1273" s="369"/>
      <c r="AK1273" s="369"/>
      <c r="AL1273" s="369"/>
      <c r="AM1273" s="369"/>
      <c r="AN1273" s="369"/>
      <c r="AO1273" s="369"/>
      <c r="DH1273" s="123"/>
      <c r="DI1273" s="123"/>
      <c r="DJ1273" s="123"/>
      <c r="EG1273" s="125"/>
      <c r="FJ1273" s="126"/>
      <c r="FZ1273" s="127"/>
    </row>
    <row r="1274" spans="2:182" s="121" customFormat="1" ht="35.25" x14ac:dyDescent="0.4">
      <c r="B1274" s="179">
        <v>4</v>
      </c>
      <c r="C1274" s="176" t="s">
        <v>1905</v>
      </c>
      <c r="D1274" s="171">
        <v>1984</v>
      </c>
      <c r="E1274" s="171"/>
      <c r="F1274" s="175" t="s">
        <v>270</v>
      </c>
      <c r="G1274" s="171">
        <v>2</v>
      </c>
      <c r="H1274" s="171">
        <v>3</v>
      </c>
      <c r="I1274" s="173">
        <v>1298.5999999999999</v>
      </c>
      <c r="J1274" s="173">
        <v>989.4</v>
      </c>
      <c r="K1274" s="173">
        <v>989.4</v>
      </c>
      <c r="L1274" s="174">
        <v>47</v>
      </c>
      <c r="M1274" s="171" t="s">
        <v>268</v>
      </c>
      <c r="N1274" s="163" t="s">
        <v>269</v>
      </c>
      <c r="O1274" s="163" t="s">
        <v>818</v>
      </c>
      <c r="P1274" s="164">
        <v>1833103.6099999999</v>
      </c>
      <c r="Q1274" s="164">
        <v>0</v>
      </c>
      <c r="R1274" s="164">
        <v>0</v>
      </c>
      <c r="S1274" s="164">
        <f>P1274-Q1274-R1274</f>
        <v>1833103.6099999999</v>
      </c>
      <c r="T1274" s="167">
        <f t="shared" si="380"/>
        <v>1411.5998844909902</v>
      </c>
      <c r="U1274" s="167">
        <v>3320.2762213152632</v>
      </c>
      <c r="V1274" s="149">
        <f>W1274-T1274</f>
        <v>1908.676336824273</v>
      </c>
      <c r="W1274" s="149">
        <f>X1274+Y1274+Z1274+AA1274+AB1274+AD1274+AF1274+AH1274+AJ1274+AL1274+AN1274+AO1274</f>
        <v>3320.2762213152632</v>
      </c>
      <c r="X1274" s="368">
        <v>0</v>
      </c>
      <c r="Y1274" s="368">
        <v>0</v>
      </c>
      <c r="Z1274" s="368">
        <v>0</v>
      </c>
      <c r="AA1274" s="368">
        <v>0</v>
      </c>
      <c r="AB1274" s="368">
        <v>0</v>
      </c>
      <c r="AC1274" s="368">
        <v>0</v>
      </c>
      <c r="AD1274" s="368">
        <v>0</v>
      </c>
      <c r="AE1274" s="368">
        <v>691.1</v>
      </c>
      <c r="AF1274" s="396">
        <f>6238.91*AE1274/I1274</f>
        <v>3320.2762213152632</v>
      </c>
      <c r="AG1274" s="368">
        <v>0</v>
      </c>
      <c r="AH1274" s="396">
        <v>0</v>
      </c>
      <c r="AI1274" s="368"/>
      <c r="AJ1274" s="397">
        <f>7439.1*AI1274/I1274</f>
        <v>0</v>
      </c>
      <c r="AK1274" s="368"/>
      <c r="AL1274" s="396">
        <f>76773.02*AK1274/I1274</f>
        <v>0</v>
      </c>
      <c r="AM1274" s="368"/>
      <c r="AN1274" s="368"/>
      <c r="AO1274" s="368"/>
      <c r="DH1274" s="123"/>
      <c r="DI1274" s="123"/>
      <c r="DJ1274" s="123"/>
      <c r="DX1274" s="124"/>
      <c r="EG1274" s="125"/>
      <c r="FJ1274" s="126"/>
      <c r="FZ1274" s="127"/>
    </row>
    <row r="1275" spans="2:182" ht="61.5" hidden="1" x14ac:dyDescent="0.9">
      <c r="AP1275" s="64"/>
    </row>
    <row r="1276" spans="2:182" ht="61.5" hidden="1" x14ac:dyDescent="0.9">
      <c r="AP1276" s="64"/>
    </row>
    <row r="1277" spans="2:182" ht="61.5" hidden="1" x14ac:dyDescent="0.9">
      <c r="AP1277" s="64"/>
    </row>
    <row r="1278" spans="2:182" ht="61.5" hidden="1" x14ac:dyDescent="0.9">
      <c r="AP1278" s="64"/>
    </row>
    <row r="1279" spans="2:182" ht="61.5" hidden="1" x14ac:dyDescent="0.9">
      <c r="AP1279" s="64"/>
    </row>
    <row r="1280" spans="2:182" ht="61.5" hidden="1" x14ac:dyDescent="0.9">
      <c r="AP1280" s="64"/>
    </row>
    <row r="1281" spans="42:42" ht="61.5" hidden="1" x14ac:dyDescent="0.9">
      <c r="AP1281" s="64"/>
    </row>
    <row r="1282" spans="42:42" ht="61.5" hidden="1" x14ac:dyDescent="0.9">
      <c r="AP1282" s="64"/>
    </row>
    <row r="1283" spans="42:42" ht="61.5" hidden="1" x14ac:dyDescent="0.9">
      <c r="AP1283" s="64"/>
    </row>
    <row r="1284" spans="42:42" ht="61.5" hidden="1" x14ac:dyDescent="0.9">
      <c r="AP1284" s="64"/>
    </row>
    <row r="1285" spans="42:42" ht="61.5" hidden="1" x14ac:dyDescent="0.9">
      <c r="AP1285" s="64"/>
    </row>
    <row r="1286" spans="42:42" ht="61.5" hidden="1" x14ac:dyDescent="0.9">
      <c r="AP1286" s="64"/>
    </row>
    <row r="1287" spans="42:42" ht="61.5" hidden="1" x14ac:dyDescent="0.9">
      <c r="AP1287" s="64"/>
    </row>
    <row r="1288" spans="42:42" ht="61.5" hidden="1" x14ac:dyDescent="0.9">
      <c r="AP1288" s="64"/>
    </row>
    <row r="1289" spans="42:42" ht="61.5" hidden="1" x14ac:dyDescent="0.9">
      <c r="AP1289" s="64"/>
    </row>
    <row r="1290" spans="42:42" ht="61.5" hidden="1" x14ac:dyDescent="0.9">
      <c r="AP1290" s="64"/>
    </row>
    <row r="1291" spans="42:42" ht="61.5" hidden="1" x14ac:dyDescent="0.9">
      <c r="AP1291" s="64"/>
    </row>
    <row r="1292" spans="42:42" ht="61.5" hidden="1" x14ac:dyDescent="0.9">
      <c r="AP1292" s="64"/>
    </row>
    <row r="1293" spans="42:42" ht="61.5" hidden="1" x14ac:dyDescent="0.9">
      <c r="AP1293" s="64"/>
    </row>
    <row r="1294" spans="42:42" ht="61.5" hidden="1" x14ac:dyDescent="0.9">
      <c r="AP1294" s="64"/>
    </row>
    <row r="1295" spans="42:42" ht="61.5" hidden="1" x14ac:dyDescent="0.9">
      <c r="AP1295" s="64"/>
    </row>
    <row r="1296" spans="42:42" ht="61.5" hidden="1" x14ac:dyDescent="0.9">
      <c r="AP1296" s="64"/>
    </row>
    <row r="1297" spans="42:42" ht="61.5" hidden="1" x14ac:dyDescent="0.9">
      <c r="AP1297" s="64"/>
    </row>
    <row r="1298" spans="42:42" ht="61.5" hidden="1" x14ac:dyDescent="0.9">
      <c r="AP1298" s="64"/>
    </row>
    <row r="1299" spans="42:42" ht="61.5" hidden="1" x14ac:dyDescent="0.9">
      <c r="AP1299" s="64"/>
    </row>
    <row r="1300" spans="42:42" ht="61.5" hidden="1" x14ac:dyDescent="0.9">
      <c r="AP1300" s="64"/>
    </row>
    <row r="1301" spans="42:42" ht="61.5" hidden="1" x14ac:dyDescent="0.9">
      <c r="AP1301" s="64"/>
    </row>
    <row r="1302" spans="42:42" ht="61.5" hidden="1" x14ac:dyDescent="0.9">
      <c r="AP1302" s="64"/>
    </row>
    <row r="1303" spans="42:42" ht="61.5" hidden="1" x14ac:dyDescent="0.9">
      <c r="AP1303" s="64"/>
    </row>
    <row r="1304" spans="42:42" ht="61.5" hidden="1" x14ac:dyDescent="0.9">
      <c r="AP1304" s="64"/>
    </row>
    <row r="1305" spans="42:42" ht="61.5" hidden="1" x14ac:dyDescent="0.9">
      <c r="AP1305" s="64"/>
    </row>
    <row r="1306" spans="42:42" ht="61.5" hidden="1" x14ac:dyDescent="0.9">
      <c r="AP1306" s="64"/>
    </row>
    <row r="1307" spans="42:42" ht="61.5" hidden="1" x14ac:dyDescent="0.9">
      <c r="AP1307" s="64"/>
    </row>
    <row r="1308" spans="42:42" ht="61.5" hidden="1" x14ac:dyDescent="0.9">
      <c r="AP1308" s="64"/>
    </row>
    <row r="1309" spans="42:42" ht="61.5" hidden="1" x14ac:dyDescent="0.9">
      <c r="AP1309" s="64"/>
    </row>
    <row r="1310" spans="42:42" ht="61.5" hidden="1" x14ac:dyDescent="0.9">
      <c r="AP1310" s="64"/>
    </row>
    <row r="1311" spans="42:42" ht="61.5" hidden="1" x14ac:dyDescent="0.9">
      <c r="AP1311" s="64"/>
    </row>
    <row r="1312" spans="42:42" ht="61.5" hidden="1" x14ac:dyDescent="0.9">
      <c r="AP1312" s="64"/>
    </row>
    <row r="1313" spans="42:42" ht="61.5" hidden="1" x14ac:dyDescent="0.9">
      <c r="AP1313" s="64"/>
    </row>
    <row r="1314" spans="42:42" ht="61.5" hidden="1" x14ac:dyDescent="0.9">
      <c r="AP1314" s="64"/>
    </row>
    <row r="1315" spans="42:42" ht="61.5" hidden="1" x14ac:dyDescent="0.9">
      <c r="AP1315" s="64"/>
    </row>
    <row r="1316" spans="42:42" ht="61.5" hidden="1" x14ac:dyDescent="0.9">
      <c r="AP1316" s="64"/>
    </row>
    <row r="1317" spans="42:42" ht="61.5" hidden="1" x14ac:dyDescent="0.9">
      <c r="AP1317" s="64"/>
    </row>
    <row r="1318" spans="42:42" ht="61.5" hidden="1" x14ac:dyDescent="0.9">
      <c r="AP1318" s="64"/>
    </row>
    <row r="1319" spans="42:42" ht="61.5" hidden="1" x14ac:dyDescent="0.9">
      <c r="AP1319" s="64"/>
    </row>
    <row r="1320" spans="42:42" ht="61.5" hidden="1" x14ac:dyDescent="0.9">
      <c r="AP1320" s="64"/>
    </row>
    <row r="1321" spans="42:42" ht="61.5" hidden="1" x14ac:dyDescent="0.9">
      <c r="AP1321" s="64"/>
    </row>
    <row r="1322" spans="42:42" ht="61.5" hidden="1" x14ac:dyDescent="0.9">
      <c r="AP1322" s="64"/>
    </row>
    <row r="1323" spans="42:42" ht="61.5" hidden="1" x14ac:dyDescent="0.9">
      <c r="AP1323" s="64"/>
    </row>
    <row r="1324" spans="42:42" ht="61.5" hidden="1" x14ac:dyDescent="0.9">
      <c r="AP1324" s="64"/>
    </row>
    <row r="1325" spans="42:42" ht="61.5" hidden="1" x14ac:dyDescent="0.9">
      <c r="AP1325" s="64"/>
    </row>
    <row r="1326" spans="42:42" ht="61.5" hidden="1" x14ac:dyDescent="0.9">
      <c r="AP1326" s="64"/>
    </row>
    <row r="1327" spans="42:42" ht="61.5" hidden="1" x14ac:dyDescent="0.9">
      <c r="AP1327" s="64"/>
    </row>
    <row r="1328" spans="42:42" ht="61.5" hidden="1" x14ac:dyDescent="0.9">
      <c r="AP1328" s="64"/>
    </row>
    <row r="1329" spans="42:42" ht="61.5" hidden="1" x14ac:dyDescent="0.9">
      <c r="AP1329" s="64"/>
    </row>
    <row r="1330" spans="42:42" ht="61.5" hidden="1" x14ac:dyDescent="0.9">
      <c r="AP1330" s="64"/>
    </row>
    <row r="1331" spans="42:42" ht="61.5" hidden="1" x14ac:dyDescent="0.9">
      <c r="AP1331" s="64"/>
    </row>
    <row r="1332" spans="42:42" ht="61.5" hidden="1" x14ac:dyDescent="0.9">
      <c r="AP1332" s="64"/>
    </row>
    <row r="1333" spans="42:42" ht="61.5" hidden="1" x14ac:dyDescent="0.9">
      <c r="AP1333" s="64"/>
    </row>
    <row r="1334" spans="42:42" ht="61.5" hidden="1" x14ac:dyDescent="0.9">
      <c r="AP1334" s="64"/>
    </row>
    <row r="1335" spans="42:42" ht="61.5" hidden="1" x14ac:dyDescent="0.9">
      <c r="AP1335" s="64"/>
    </row>
    <row r="1336" spans="42:42" ht="61.5" hidden="1" x14ac:dyDescent="0.9">
      <c r="AP1336" s="64"/>
    </row>
    <row r="1337" spans="42:42" ht="61.5" hidden="1" x14ac:dyDescent="0.9">
      <c r="AP1337" s="64"/>
    </row>
    <row r="1338" spans="42:42" ht="61.5" hidden="1" x14ac:dyDescent="0.9">
      <c r="AP1338" s="64"/>
    </row>
    <row r="1339" spans="42:42" ht="61.5" x14ac:dyDescent="0.9">
      <c r="AP1339" s="64"/>
    </row>
    <row r="1340" spans="42:42" ht="61.5" x14ac:dyDescent="0.9">
      <c r="AP1340" s="64"/>
    </row>
    <row r="1341" spans="42:42" ht="61.5" x14ac:dyDescent="0.9">
      <c r="AP1341" s="64"/>
    </row>
    <row r="1342" spans="42:42" ht="61.5" x14ac:dyDescent="0.9">
      <c r="AP1342" s="64"/>
    </row>
    <row r="1343" spans="42:42" ht="61.5" x14ac:dyDescent="0.9">
      <c r="AP1343" s="64"/>
    </row>
    <row r="1344" spans="42:42" ht="61.5" x14ac:dyDescent="0.9">
      <c r="AP1344" s="64"/>
    </row>
    <row r="1345" spans="42:42" ht="61.5" x14ac:dyDescent="0.9">
      <c r="AP1345" s="64"/>
    </row>
    <row r="1346" spans="42:42" ht="61.5" x14ac:dyDescent="0.9">
      <c r="AP1346" s="64"/>
    </row>
    <row r="1347" spans="42:42" ht="61.5" x14ac:dyDescent="0.9">
      <c r="AP1347" s="64"/>
    </row>
    <row r="1348" spans="42:42" ht="61.5" x14ac:dyDescent="0.9">
      <c r="AP1348" s="64"/>
    </row>
    <row r="1349" spans="42:42" ht="61.5" x14ac:dyDescent="0.9">
      <c r="AP1349" s="64"/>
    </row>
    <row r="1350" spans="42:42" ht="61.5" x14ac:dyDescent="0.9">
      <c r="AP1350" s="64"/>
    </row>
    <row r="1351" spans="42:42" ht="61.5" x14ac:dyDescent="0.9">
      <c r="AP1351" s="64"/>
    </row>
    <row r="1352" spans="42:42" ht="61.5" x14ac:dyDescent="0.9">
      <c r="AP1352" s="64"/>
    </row>
    <row r="1353" spans="42:42" ht="61.5" x14ac:dyDescent="0.9">
      <c r="AP1353" s="64"/>
    </row>
    <row r="1354" spans="42:42" ht="61.5" x14ac:dyDescent="0.9">
      <c r="AP1354" s="64"/>
    </row>
    <row r="1355" spans="42:42" ht="61.5" x14ac:dyDescent="0.9">
      <c r="AP1355" s="64"/>
    </row>
    <row r="1356" spans="42:42" ht="61.5" x14ac:dyDescent="0.9">
      <c r="AP1356" s="64"/>
    </row>
    <row r="1357" spans="42:42" ht="61.5" x14ac:dyDescent="0.9">
      <c r="AP1357" s="64"/>
    </row>
    <row r="1358" spans="42:42" ht="61.5" x14ac:dyDescent="0.9">
      <c r="AP1358" s="64"/>
    </row>
    <row r="1359" spans="42:42" ht="61.5" x14ac:dyDescent="0.9">
      <c r="AP1359" s="64"/>
    </row>
    <row r="1360" spans="42:42" ht="61.5" x14ac:dyDescent="0.9">
      <c r="AP1360" s="64"/>
    </row>
    <row r="1361" spans="42:42" ht="61.5" x14ac:dyDescent="0.9">
      <c r="AP1361" s="64"/>
    </row>
    <row r="1362" spans="42:42" ht="61.5" x14ac:dyDescent="0.9">
      <c r="AP1362" s="64"/>
    </row>
    <row r="1363" spans="42:42" ht="61.5" x14ac:dyDescent="0.9">
      <c r="AP1363" s="64"/>
    </row>
    <row r="1364" spans="42:42" ht="61.5" x14ac:dyDescent="0.9">
      <c r="AP1364" s="64"/>
    </row>
    <row r="1365" spans="42:42" ht="61.5" x14ac:dyDescent="0.9">
      <c r="AP1365" s="64"/>
    </row>
    <row r="1366" spans="42:42" ht="61.5" x14ac:dyDescent="0.9">
      <c r="AP1366" s="64"/>
    </row>
    <row r="1367" spans="42:42" ht="61.5" x14ac:dyDescent="0.9">
      <c r="AP1367" s="64"/>
    </row>
    <row r="1368" spans="42:42" ht="61.5" x14ac:dyDescent="0.9">
      <c r="AP1368" s="64"/>
    </row>
    <row r="1369" spans="42:42" ht="61.5" x14ac:dyDescent="0.9">
      <c r="AP1369" s="64"/>
    </row>
    <row r="1370" spans="42:42" ht="61.5" x14ac:dyDescent="0.9">
      <c r="AP1370" s="64"/>
    </row>
    <row r="1371" spans="42:42" ht="61.5" x14ac:dyDescent="0.9">
      <c r="AP1371" s="64"/>
    </row>
    <row r="1372" spans="42:42" ht="61.5" x14ac:dyDescent="0.9">
      <c r="AP1372" s="64"/>
    </row>
    <row r="1373" spans="42:42" ht="61.5" x14ac:dyDescent="0.9">
      <c r="AP1373" s="64"/>
    </row>
    <row r="1374" spans="42:42" ht="61.5" x14ac:dyDescent="0.9">
      <c r="AP1374" s="64"/>
    </row>
    <row r="1375" spans="42:42" ht="61.5" x14ac:dyDescent="0.9">
      <c r="AP1375" s="64"/>
    </row>
    <row r="1376" spans="42:42" ht="61.5" x14ac:dyDescent="0.9">
      <c r="AP1376" s="64"/>
    </row>
    <row r="1377" spans="42:42" ht="61.5" x14ac:dyDescent="0.9">
      <c r="AP1377" s="64"/>
    </row>
    <row r="1378" spans="42:42" ht="61.5" x14ac:dyDescent="0.9">
      <c r="AP1378" s="64"/>
    </row>
    <row r="1379" spans="42:42" ht="61.5" x14ac:dyDescent="0.9">
      <c r="AP1379" s="64"/>
    </row>
    <row r="1380" spans="42:42" ht="61.5" x14ac:dyDescent="0.9">
      <c r="AP1380" s="64"/>
    </row>
    <row r="1381" spans="42:42" ht="61.5" x14ac:dyDescent="0.9">
      <c r="AP1381" s="64"/>
    </row>
    <row r="1382" spans="42:42" ht="61.5" x14ac:dyDescent="0.9">
      <c r="AP1382" s="64"/>
    </row>
    <row r="1383" spans="42:42" ht="61.5" x14ac:dyDescent="0.9">
      <c r="AP1383" s="64"/>
    </row>
    <row r="1384" spans="42:42" ht="61.5" x14ac:dyDescent="0.9">
      <c r="AP1384" s="64"/>
    </row>
    <row r="1385" spans="42:42" ht="61.5" x14ac:dyDescent="0.9">
      <c r="AP1385" s="64"/>
    </row>
    <row r="1386" spans="42:42" ht="61.5" x14ac:dyDescent="0.9">
      <c r="AP1386" s="64"/>
    </row>
    <row r="1387" spans="42:42" ht="61.5" x14ac:dyDescent="0.9">
      <c r="AP1387" s="64"/>
    </row>
    <row r="1388" spans="42:42" ht="61.5" x14ac:dyDescent="0.9">
      <c r="AP1388" s="64"/>
    </row>
    <row r="1389" spans="42:42" ht="61.5" x14ac:dyDescent="0.9">
      <c r="AP1389" s="64"/>
    </row>
    <row r="1390" spans="42:42" ht="61.5" x14ac:dyDescent="0.9">
      <c r="AP1390" s="64"/>
    </row>
    <row r="1391" spans="42:42" ht="61.5" x14ac:dyDescent="0.9">
      <c r="AP1391" s="64"/>
    </row>
    <row r="1392" spans="42:42" ht="61.5" x14ac:dyDescent="0.9">
      <c r="AP1392" s="64"/>
    </row>
    <row r="1393" spans="42:42" ht="61.5" x14ac:dyDescent="0.9">
      <c r="AP1393" s="64"/>
    </row>
    <row r="1394" spans="42:42" ht="61.5" x14ac:dyDescent="0.9">
      <c r="AP1394" s="64"/>
    </row>
    <row r="1395" spans="42:42" ht="61.5" x14ac:dyDescent="0.9">
      <c r="AP1395" s="64"/>
    </row>
    <row r="1396" spans="42:42" ht="61.5" x14ac:dyDescent="0.9">
      <c r="AP1396" s="64"/>
    </row>
    <row r="1397" spans="42:42" ht="61.5" x14ac:dyDescent="0.9">
      <c r="AP1397" s="64"/>
    </row>
    <row r="1398" spans="42:42" ht="61.5" x14ac:dyDescent="0.9">
      <c r="AP1398" s="64"/>
    </row>
    <row r="1399" spans="42:42" ht="61.5" x14ac:dyDescent="0.9">
      <c r="AP1399" s="64"/>
    </row>
    <row r="1400" spans="42:42" ht="61.5" x14ac:dyDescent="0.9">
      <c r="AP1400" s="64"/>
    </row>
    <row r="1401" spans="42:42" ht="61.5" x14ac:dyDescent="0.9">
      <c r="AP1401" s="64"/>
    </row>
    <row r="1402" spans="42:42" ht="61.5" x14ac:dyDescent="0.9">
      <c r="AP1402" s="64"/>
    </row>
    <row r="1403" spans="42:42" ht="61.5" x14ac:dyDescent="0.9">
      <c r="AP1403" s="64"/>
    </row>
    <row r="1404" spans="42:42" ht="61.5" x14ac:dyDescent="0.9">
      <c r="AP1404" s="64"/>
    </row>
    <row r="1405" spans="42:42" ht="61.5" x14ac:dyDescent="0.9">
      <c r="AP1405" s="64"/>
    </row>
    <row r="1406" spans="42:42" ht="61.5" x14ac:dyDescent="0.9">
      <c r="AP1406" s="64"/>
    </row>
    <row r="1407" spans="42:42" ht="61.5" x14ac:dyDescent="0.9">
      <c r="AP1407" s="64"/>
    </row>
    <row r="1408" spans="42:42" ht="61.5" x14ac:dyDescent="0.9">
      <c r="AP1408" s="64"/>
    </row>
    <row r="1409" spans="42:42" ht="61.5" x14ac:dyDescent="0.9">
      <c r="AP1409" s="64"/>
    </row>
    <row r="1410" spans="42:42" ht="61.5" x14ac:dyDescent="0.9">
      <c r="AP1410" s="64"/>
    </row>
    <row r="1411" spans="42:42" ht="61.5" x14ac:dyDescent="0.9">
      <c r="AP1411" s="64"/>
    </row>
    <row r="1412" spans="42:42" ht="61.5" x14ac:dyDescent="0.9">
      <c r="AP1412" s="64"/>
    </row>
    <row r="1413" spans="42:42" ht="61.5" x14ac:dyDescent="0.9">
      <c r="AP1413" s="64"/>
    </row>
    <row r="1414" spans="42:42" ht="61.5" x14ac:dyDescent="0.9">
      <c r="AP1414" s="64"/>
    </row>
    <row r="1415" spans="42:42" ht="61.5" x14ac:dyDescent="0.9">
      <c r="AP1415" s="64"/>
    </row>
    <row r="1416" spans="42:42" ht="61.5" x14ac:dyDescent="0.9">
      <c r="AP1416" s="64"/>
    </row>
    <row r="1417" spans="42:42" ht="61.5" x14ac:dyDescent="0.9">
      <c r="AP1417" s="64"/>
    </row>
    <row r="1418" spans="42:42" ht="61.5" x14ac:dyDescent="0.9">
      <c r="AP1418" s="64"/>
    </row>
    <row r="1419" spans="42:42" ht="61.5" x14ac:dyDescent="0.9">
      <c r="AP1419" s="64"/>
    </row>
    <row r="1420" spans="42:42" ht="61.5" x14ac:dyDescent="0.9">
      <c r="AP1420" s="64"/>
    </row>
    <row r="1421" spans="42:42" ht="61.5" x14ac:dyDescent="0.9">
      <c r="AP1421" s="64"/>
    </row>
    <row r="1422" spans="42:42" ht="61.5" x14ac:dyDescent="0.9">
      <c r="AP1422" s="64"/>
    </row>
    <row r="1423" spans="42:42" ht="61.5" x14ac:dyDescent="0.9">
      <c r="AP1423" s="64"/>
    </row>
    <row r="1424" spans="42:42" ht="61.5" x14ac:dyDescent="0.9">
      <c r="AP1424" s="64"/>
    </row>
    <row r="1425" spans="42:42" ht="61.5" x14ac:dyDescent="0.9">
      <c r="AP1425" s="64"/>
    </row>
    <row r="1426" spans="42:42" ht="61.5" x14ac:dyDescent="0.9">
      <c r="AP1426" s="64"/>
    </row>
    <row r="1427" spans="42:42" ht="61.5" x14ac:dyDescent="0.9">
      <c r="AP1427" s="64"/>
    </row>
    <row r="1428" spans="42:42" ht="61.5" x14ac:dyDescent="0.9">
      <c r="AP1428" s="64"/>
    </row>
    <row r="1429" spans="42:42" ht="61.5" x14ac:dyDescent="0.9">
      <c r="AP1429" s="64"/>
    </row>
    <row r="1430" spans="42:42" ht="61.5" x14ac:dyDescent="0.9">
      <c r="AP1430" s="64"/>
    </row>
    <row r="1431" spans="42:42" ht="61.5" x14ac:dyDescent="0.9">
      <c r="AP1431" s="64"/>
    </row>
    <row r="1432" spans="42:42" ht="61.5" x14ac:dyDescent="0.9">
      <c r="AP1432" s="64"/>
    </row>
    <row r="1433" spans="42:42" ht="61.5" x14ac:dyDescent="0.9">
      <c r="AP1433" s="64"/>
    </row>
    <row r="1434" spans="42:42" ht="61.5" x14ac:dyDescent="0.9">
      <c r="AP1434" s="64"/>
    </row>
    <row r="1435" spans="42:42" ht="61.5" x14ac:dyDescent="0.9">
      <c r="AP1435" s="64"/>
    </row>
    <row r="1436" spans="42:42" ht="61.5" x14ac:dyDescent="0.9">
      <c r="AP1436" s="64"/>
    </row>
    <row r="1437" spans="42:42" ht="61.5" x14ac:dyDescent="0.9">
      <c r="AP1437" s="64"/>
    </row>
    <row r="1438" spans="42:42" ht="61.5" x14ac:dyDescent="0.9">
      <c r="AP1438" s="64"/>
    </row>
    <row r="1439" spans="42:42" ht="61.5" x14ac:dyDescent="0.9">
      <c r="AP1439" s="64"/>
    </row>
    <row r="1440" spans="42:42" ht="61.5" x14ac:dyDescent="0.9">
      <c r="AP1440" s="64"/>
    </row>
    <row r="1441" spans="42:42" ht="61.5" x14ac:dyDescent="0.9">
      <c r="AP1441" s="64"/>
    </row>
    <row r="1442" spans="42:42" ht="61.5" x14ac:dyDescent="0.9">
      <c r="AP1442" s="64"/>
    </row>
    <row r="1443" spans="42:42" ht="61.5" x14ac:dyDescent="0.9">
      <c r="AP1443" s="64"/>
    </row>
    <row r="1444" spans="42:42" ht="61.5" x14ac:dyDescent="0.9">
      <c r="AP1444" s="64"/>
    </row>
    <row r="1445" spans="42:42" ht="61.5" x14ac:dyDescent="0.9">
      <c r="AP1445" s="64"/>
    </row>
    <row r="1446" spans="42:42" ht="61.5" x14ac:dyDescent="0.9">
      <c r="AP1446" s="64"/>
    </row>
    <row r="1447" spans="42:42" ht="61.5" x14ac:dyDescent="0.9">
      <c r="AP1447" s="64"/>
    </row>
    <row r="1448" spans="42:42" ht="61.5" x14ac:dyDescent="0.9">
      <c r="AP1448" s="64"/>
    </row>
    <row r="1449" spans="42:42" ht="61.5" x14ac:dyDescent="0.9">
      <c r="AP1449" s="64"/>
    </row>
    <row r="1450" spans="42:42" ht="61.5" x14ac:dyDescent="0.9">
      <c r="AP1450" s="64"/>
    </row>
    <row r="1451" spans="42:42" ht="61.5" x14ac:dyDescent="0.9">
      <c r="AP1451" s="64"/>
    </row>
    <row r="1452" spans="42:42" ht="61.5" x14ac:dyDescent="0.9">
      <c r="AP1452" s="64"/>
    </row>
    <row r="1453" spans="42:42" ht="61.5" x14ac:dyDescent="0.9">
      <c r="AP1453" s="64"/>
    </row>
    <row r="1454" spans="42:42" ht="61.5" x14ac:dyDescent="0.9">
      <c r="AP1454" s="64"/>
    </row>
    <row r="1455" spans="42:42" ht="61.5" x14ac:dyDescent="0.9">
      <c r="AP1455" s="64"/>
    </row>
    <row r="1456" spans="42:42" ht="61.5" x14ac:dyDescent="0.9">
      <c r="AP1456" s="64"/>
    </row>
    <row r="1457" spans="42:42" ht="61.5" x14ac:dyDescent="0.9">
      <c r="AP1457" s="64"/>
    </row>
    <row r="1458" spans="42:42" ht="61.5" x14ac:dyDescent="0.9">
      <c r="AP1458" s="64"/>
    </row>
    <row r="1459" spans="42:42" ht="61.5" x14ac:dyDescent="0.9">
      <c r="AP1459" s="64"/>
    </row>
    <row r="1460" spans="42:42" ht="61.5" x14ac:dyDescent="0.9">
      <c r="AP1460" s="64"/>
    </row>
    <row r="1461" spans="42:42" ht="61.5" x14ac:dyDescent="0.9">
      <c r="AP1461" s="64"/>
    </row>
    <row r="1462" spans="42:42" ht="61.5" x14ac:dyDescent="0.9">
      <c r="AP1462" s="64"/>
    </row>
    <row r="1463" spans="42:42" ht="61.5" x14ac:dyDescent="0.9">
      <c r="AP1463" s="64"/>
    </row>
    <row r="1464" spans="42:42" ht="61.5" x14ac:dyDescent="0.9">
      <c r="AP1464" s="64"/>
    </row>
    <row r="1465" spans="42:42" ht="61.5" x14ac:dyDescent="0.9">
      <c r="AP1465" s="64"/>
    </row>
    <row r="1466" spans="42:42" ht="61.5" x14ac:dyDescent="0.9">
      <c r="AP1466" s="64"/>
    </row>
    <row r="1467" spans="42:42" ht="61.5" x14ac:dyDescent="0.9">
      <c r="AP1467" s="64"/>
    </row>
    <row r="1468" spans="42:42" ht="61.5" x14ac:dyDescent="0.9">
      <c r="AP1468" s="64"/>
    </row>
    <row r="1469" spans="42:42" ht="61.5" x14ac:dyDescent="0.9">
      <c r="AP1469" s="64"/>
    </row>
    <row r="1470" spans="42:42" ht="61.5" x14ac:dyDescent="0.9">
      <c r="AP1470" s="64"/>
    </row>
    <row r="1471" spans="42:42" ht="61.5" x14ac:dyDescent="0.9">
      <c r="AP1471" s="64"/>
    </row>
    <row r="1472" spans="42:42" ht="61.5" x14ac:dyDescent="0.9">
      <c r="AP1472" s="64"/>
    </row>
    <row r="1473" spans="42:42" ht="61.5" x14ac:dyDescent="0.9">
      <c r="AP1473" s="64"/>
    </row>
    <row r="1474" spans="42:42" ht="61.5" x14ac:dyDescent="0.9">
      <c r="AP1474" s="64"/>
    </row>
    <row r="1475" spans="42:42" ht="61.5" x14ac:dyDescent="0.9">
      <c r="AP1475" s="64"/>
    </row>
    <row r="1476" spans="42:42" ht="61.5" x14ac:dyDescent="0.9">
      <c r="AP1476" s="64"/>
    </row>
  </sheetData>
  <autoFilter ref="A12:GI1274"/>
  <mergeCells count="30">
    <mergeCell ref="B1267:U1267"/>
    <mergeCell ref="B1268:C1268"/>
    <mergeCell ref="B1259:U1259"/>
    <mergeCell ref="B1260:C1260"/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</mergeCells>
  <printOptions horizontalCentered="1"/>
  <pageMargins left="0" right="0" top="0.39370078740157483" bottom="0" header="0" footer="0"/>
  <pageSetup paperSize="9" scale="16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view="pageBreakPreview" topLeftCell="A28" zoomScale="60" zoomScaleNormal="60" workbookViewId="0">
      <selection activeCell="C19" activeCellId="2" sqref="C5 C12 C19"/>
    </sheetView>
  </sheetViews>
  <sheetFormatPr defaultRowHeight="15" x14ac:dyDescent="0.25"/>
  <cols>
    <col min="1" max="1" width="28.7109375" customWidth="1"/>
    <col min="2" max="2" width="43.42578125" customWidth="1"/>
    <col min="3" max="3" width="52.7109375" customWidth="1"/>
    <col min="4" max="4" width="0" hidden="1" customWidth="1"/>
    <col min="5" max="5" width="14" hidden="1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5" ht="18.75" x14ac:dyDescent="0.3">
      <c r="A1" s="1"/>
      <c r="B1" s="1"/>
      <c r="C1" s="2" t="s">
        <v>743</v>
      </c>
    </row>
    <row r="2" spans="1:5" ht="63.75" customHeight="1" x14ac:dyDescent="0.25">
      <c r="A2" s="441" t="s">
        <v>751</v>
      </c>
      <c r="B2" s="441"/>
      <c r="C2" s="441"/>
    </row>
    <row r="3" spans="1:5" ht="41.45" customHeight="1" x14ac:dyDescent="0.25">
      <c r="A3" s="438" t="s">
        <v>744</v>
      </c>
      <c r="B3" s="439"/>
      <c r="C3" s="440"/>
    </row>
    <row r="4" spans="1:5" ht="18.75" customHeight="1" x14ac:dyDescent="0.25">
      <c r="A4" s="438" t="s">
        <v>745</v>
      </c>
      <c r="B4" s="440"/>
      <c r="C4" s="41" t="s">
        <v>752</v>
      </c>
    </row>
    <row r="5" spans="1:5" ht="18.75" x14ac:dyDescent="0.3">
      <c r="A5" s="436" t="s">
        <v>746</v>
      </c>
      <c r="B5" s="437"/>
      <c r="C5" s="42">
        <f>Перечень!P14</f>
        <v>1472013756.6300004</v>
      </c>
    </row>
    <row r="6" spans="1:5" ht="37.5" customHeight="1" x14ac:dyDescent="0.3">
      <c r="A6" s="436" t="s">
        <v>747</v>
      </c>
      <c r="B6" s="437"/>
      <c r="C6" s="42">
        <v>0</v>
      </c>
    </row>
    <row r="7" spans="1:5" ht="18.75" x14ac:dyDescent="0.3">
      <c r="A7" s="436" t="s">
        <v>748</v>
      </c>
      <c r="B7" s="437"/>
      <c r="C7" s="42">
        <f>Перечень!Q14</f>
        <v>0</v>
      </c>
    </row>
    <row r="8" spans="1:5" ht="18.75" x14ac:dyDescent="0.3">
      <c r="A8" s="436" t="s">
        <v>749</v>
      </c>
      <c r="B8" s="437"/>
      <c r="C8" s="42">
        <f>Перечень!R14</f>
        <v>3768516.65</v>
      </c>
      <c r="D8">
        <v>4344514.92</v>
      </c>
      <c r="E8" s="110">
        <v>746895.1400000006</v>
      </c>
    </row>
    <row r="9" spans="1:5" ht="18.75" customHeight="1" x14ac:dyDescent="0.3">
      <c r="A9" s="436" t="s">
        <v>750</v>
      </c>
      <c r="B9" s="437"/>
      <c r="C9" s="42">
        <f>C5-C6-C7-C8</f>
        <v>1468245239.9800003</v>
      </c>
    </row>
    <row r="10" spans="1:5" ht="43.9" customHeight="1" x14ac:dyDescent="0.25">
      <c r="A10" s="438" t="s">
        <v>744</v>
      </c>
      <c r="B10" s="439"/>
      <c r="C10" s="440"/>
    </row>
    <row r="11" spans="1:5" ht="18.75" customHeight="1" x14ac:dyDescent="0.25">
      <c r="A11" s="438" t="s">
        <v>745</v>
      </c>
      <c r="B11" s="440"/>
      <c r="C11" s="41" t="s">
        <v>753</v>
      </c>
    </row>
    <row r="12" spans="1:5" ht="18.75" x14ac:dyDescent="0.3">
      <c r="A12" s="436" t="s">
        <v>746</v>
      </c>
      <c r="B12" s="437"/>
      <c r="C12" s="42">
        <f>Перечень!P552</f>
        <v>1024488175.7100002</v>
      </c>
    </row>
    <row r="13" spans="1:5" ht="33.75" customHeight="1" x14ac:dyDescent="0.3">
      <c r="A13" s="436" t="s">
        <v>747</v>
      </c>
      <c r="B13" s="437"/>
      <c r="C13" s="42">
        <v>0</v>
      </c>
    </row>
    <row r="14" spans="1:5" ht="18.75" x14ac:dyDescent="0.3">
      <c r="A14" s="436" t="s">
        <v>748</v>
      </c>
      <c r="B14" s="437"/>
      <c r="C14" s="42">
        <f>Перечень!Q552</f>
        <v>0</v>
      </c>
    </row>
    <row r="15" spans="1:5" ht="18.75" x14ac:dyDescent="0.3">
      <c r="A15" s="436" t="s">
        <v>749</v>
      </c>
      <c r="B15" s="437"/>
      <c r="C15" s="42">
        <f>Перечень!R552</f>
        <v>3015567.51</v>
      </c>
    </row>
    <row r="16" spans="1:5" ht="18.75" customHeight="1" x14ac:dyDescent="0.3">
      <c r="A16" s="436" t="s">
        <v>750</v>
      </c>
      <c r="B16" s="437"/>
      <c r="C16" s="42">
        <f>C12-C13-C14-C15</f>
        <v>1021472608.2000002</v>
      </c>
    </row>
    <row r="17" spans="1:3" ht="39.75" customHeight="1" x14ac:dyDescent="0.25">
      <c r="A17" s="438" t="s">
        <v>744</v>
      </c>
      <c r="B17" s="439"/>
      <c r="C17" s="440"/>
    </row>
    <row r="18" spans="1:3" ht="18.75" customHeight="1" x14ac:dyDescent="0.25">
      <c r="A18" s="438" t="s">
        <v>745</v>
      </c>
      <c r="B18" s="440"/>
      <c r="C18" s="41" t="s">
        <v>754</v>
      </c>
    </row>
    <row r="19" spans="1:3" ht="18.75" x14ac:dyDescent="0.3">
      <c r="A19" s="436" t="s">
        <v>746</v>
      </c>
      <c r="B19" s="437"/>
      <c r="C19" s="42">
        <f>Перечень!P986</f>
        <v>794968208.19000018</v>
      </c>
    </row>
    <row r="20" spans="1:3" ht="41.25" customHeight="1" x14ac:dyDescent="0.3">
      <c r="A20" s="436" t="s">
        <v>747</v>
      </c>
      <c r="B20" s="437"/>
      <c r="C20" s="42">
        <v>0</v>
      </c>
    </row>
    <row r="21" spans="1:3" ht="18.75" x14ac:dyDescent="0.3">
      <c r="A21" s="436" t="s">
        <v>748</v>
      </c>
      <c r="B21" s="437"/>
      <c r="C21" s="42">
        <f>Перечень!Q986</f>
        <v>0</v>
      </c>
    </row>
    <row r="22" spans="1:3" ht="18.75" x14ac:dyDescent="0.3">
      <c r="A22" s="436" t="s">
        <v>749</v>
      </c>
      <c r="B22" s="437"/>
      <c r="C22" s="42">
        <f>Перечень!R986</f>
        <v>1851570.68</v>
      </c>
    </row>
    <row r="23" spans="1:3" ht="18.75" customHeight="1" x14ac:dyDescent="0.3">
      <c r="A23" s="436" t="s">
        <v>750</v>
      </c>
      <c r="B23" s="437"/>
      <c r="C23" s="42">
        <f>C19-C20-C21-C22</f>
        <v>793116637.51000023</v>
      </c>
    </row>
    <row r="24" spans="1:3" ht="81.75" customHeight="1" x14ac:dyDescent="0.25">
      <c r="A24" s="438" t="s">
        <v>1629</v>
      </c>
      <c r="B24" s="439"/>
      <c r="C24" s="440"/>
    </row>
    <row r="25" spans="1:3" ht="18.75" customHeight="1" x14ac:dyDescent="0.25">
      <c r="A25" s="438" t="s">
        <v>745</v>
      </c>
      <c r="B25" s="440"/>
      <c r="C25" s="41" t="s">
        <v>752</v>
      </c>
    </row>
    <row r="26" spans="1:3" ht="18.75" x14ac:dyDescent="0.3">
      <c r="A26" s="436" t="s">
        <v>748</v>
      </c>
      <c r="B26" s="437"/>
      <c r="C26" s="42">
        <v>28865700</v>
      </c>
    </row>
    <row r="27" spans="1:3" s="128" customFormat="1" ht="23.25" customHeight="1" x14ac:dyDescent="0.3">
      <c r="A27" s="436" t="s">
        <v>1689</v>
      </c>
      <c r="B27" s="437"/>
      <c r="C27" s="42">
        <f>C26-Перечень!Q1260</f>
        <v>23357057.34</v>
      </c>
    </row>
    <row r="28" spans="1:3" s="128" customFormat="1" ht="23.25" customHeight="1" x14ac:dyDescent="0.3">
      <c r="A28" s="436" t="s">
        <v>749</v>
      </c>
      <c r="B28" s="437"/>
      <c r="C28" s="42">
        <f>Перечень!R1260</f>
        <v>1409400</v>
      </c>
    </row>
    <row r="29" spans="1:3" s="128" customFormat="1" ht="27" customHeight="1" x14ac:dyDescent="0.3">
      <c r="A29" s="436" t="s">
        <v>750</v>
      </c>
      <c r="B29" s="437"/>
      <c r="C29" s="42">
        <f>Перечень!S1260</f>
        <v>1256638.3399999999</v>
      </c>
    </row>
    <row r="30" spans="1:3" ht="82.5" customHeight="1" x14ac:dyDescent="0.25">
      <c r="A30" s="438" t="s">
        <v>1691</v>
      </c>
      <c r="B30" s="439"/>
      <c r="C30" s="440"/>
    </row>
    <row r="31" spans="1:3" ht="18.75" customHeight="1" x14ac:dyDescent="0.25">
      <c r="A31" s="438" t="s">
        <v>745</v>
      </c>
      <c r="B31" s="440"/>
      <c r="C31" s="41" t="s">
        <v>753</v>
      </c>
    </row>
    <row r="32" spans="1:3" ht="18.75" x14ac:dyDescent="0.3">
      <c r="A32" s="436" t="s">
        <v>748</v>
      </c>
      <c r="B32" s="437"/>
      <c r="C32" s="42">
        <v>28826300</v>
      </c>
    </row>
    <row r="33" spans="1:5" ht="81" customHeight="1" x14ac:dyDescent="0.25">
      <c r="A33" s="438" t="s">
        <v>1629</v>
      </c>
      <c r="B33" s="439"/>
      <c r="C33" s="440"/>
    </row>
    <row r="34" spans="1:5" ht="18.75" customHeight="1" x14ac:dyDescent="0.25">
      <c r="A34" s="438" t="s">
        <v>745</v>
      </c>
      <c r="B34" s="440"/>
      <c r="C34" s="41" t="s">
        <v>754</v>
      </c>
    </row>
    <row r="35" spans="1:5" ht="18.75" x14ac:dyDescent="0.3">
      <c r="A35" s="436" t="s">
        <v>748</v>
      </c>
      <c r="B35" s="437"/>
      <c r="C35" s="42">
        <v>28058900</v>
      </c>
    </row>
    <row r="36" spans="1:5" ht="81.75" customHeight="1" x14ac:dyDescent="0.25">
      <c r="A36" s="438" t="s">
        <v>1954</v>
      </c>
      <c r="B36" s="439"/>
      <c r="C36" s="440"/>
    </row>
    <row r="37" spans="1:5" ht="18.75" customHeight="1" x14ac:dyDescent="0.25">
      <c r="A37" s="438" t="s">
        <v>745</v>
      </c>
      <c r="B37" s="440"/>
      <c r="C37" s="41" t="s">
        <v>752</v>
      </c>
    </row>
    <row r="38" spans="1:5" ht="18.75" x14ac:dyDescent="0.3">
      <c r="A38" s="436" t="s">
        <v>746</v>
      </c>
      <c r="B38" s="437"/>
      <c r="C38" s="42">
        <f>Реестр!D1275</f>
        <v>15488140.189999998</v>
      </c>
    </row>
    <row r="39" spans="1:5" ht="37.5" customHeight="1" x14ac:dyDescent="0.3">
      <c r="A39" s="436" t="s">
        <v>747</v>
      </c>
      <c r="B39" s="437"/>
      <c r="C39" s="42">
        <v>0</v>
      </c>
    </row>
    <row r="40" spans="1:5" ht="18.75" x14ac:dyDescent="0.3">
      <c r="A40" s="436" t="s">
        <v>748</v>
      </c>
      <c r="B40" s="437"/>
      <c r="C40" s="42">
        <f>Перечень!Q47</f>
        <v>0</v>
      </c>
    </row>
    <row r="41" spans="1:5" ht="18.75" x14ac:dyDescent="0.3">
      <c r="A41" s="436" t="s">
        <v>749</v>
      </c>
      <c r="B41" s="437"/>
      <c r="C41" s="42">
        <f>Перечень!R47</f>
        <v>0</v>
      </c>
      <c r="D41">
        <v>4344514.92</v>
      </c>
      <c r="E41" s="110">
        <v>746895.1400000006</v>
      </c>
    </row>
    <row r="42" spans="1:5" ht="18.75" customHeight="1" x14ac:dyDescent="0.3">
      <c r="A42" s="436" t="s">
        <v>750</v>
      </c>
      <c r="B42" s="437"/>
      <c r="C42" s="42">
        <f>C38-C39-C40-C41</f>
        <v>15488140.189999998</v>
      </c>
    </row>
  </sheetData>
  <mergeCells count="41">
    <mergeCell ref="A33:C33"/>
    <mergeCell ref="A34:B34"/>
    <mergeCell ref="A35:B35"/>
    <mergeCell ref="A32:B32"/>
    <mergeCell ref="A24:C24"/>
    <mergeCell ref="A25:B25"/>
    <mergeCell ref="A26:B26"/>
    <mergeCell ref="A30:C30"/>
    <mergeCell ref="A31:B31"/>
    <mergeCell ref="A27:B27"/>
    <mergeCell ref="A28:B28"/>
    <mergeCell ref="A29:B29"/>
    <mergeCell ref="A7:B7"/>
    <mergeCell ref="A2:C2"/>
    <mergeCell ref="A3:C3"/>
    <mergeCell ref="A4:B4"/>
    <mergeCell ref="A5:B5"/>
    <mergeCell ref="A6:B6"/>
    <mergeCell ref="A8:B8"/>
    <mergeCell ref="A9:B9"/>
    <mergeCell ref="A10:C10"/>
    <mergeCell ref="A11:B11"/>
    <mergeCell ref="A12:B12"/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  <mergeCell ref="A42:B42"/>
    <mergeCell ref="A38:B38"/>
    <mergeCell ref="A36:C36"/>
    <mergeCell ref="A37:B37"/>
    <mergeCell ref="A39:B39"/>
    <mergeCell ref="A40:B40"/>
    <mergeCell ref="A41:B41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opLeftCell="A7" zoomScale="70" zoomScaleNormal="70" workbookViewId="0">
      <selection activeCell="F139" sqref="F139:F196"/>
    </sheetView>
  </sheetViews>
  <sheetFormatPr defaultRowHeight="15" x14ac:dyDescent="0.25"/>
  <cols>
    <col min="1" max="1" width="9" style="6" customWidth="1"/>
    <col min="2" max="2" width="81" style="6" customWidth="1"/>
    <col min="3" max="3" width="23.85546875" style="6" customWidth="1"/>
    <col min="4" max="4" width="32.28515625" style="6" customWidth="1"/>
    <col min="5" max="5" width="22.140625" style="6" customWidth="1"/>
    <col min="6" max="6" width="28.85546875" style="6" customWidth="1"/>
    <col min="7" max="7" width="9.140625" style="6"/>
    <col min="8" max="8" width="0" style="6" hidden="1" customWidth="1"/>
    <col min="9" max="9" width="16.28515625" style="6" hidden="1" customWidth="1"/>
    <col min="10" max="10" width="0" style="6" hidden="1" customWidth="1"/>
    <col min="11" max="11" width="17" style="6" customWidth="1"/>
    <col min="12" max="12" width="11.7109375" style="6" bestFit="1" customWidth="1"/>
    <col min="13" max="13" width="13.28515625" style="6" bestFit="1" customWidth="1"/>
    <col min="14" max="14" width="11.85546875" style="6" bestFit="1" customWidth="1"/>
    <col min="15" max="15" width="16.85546875" style="6" bestFit="1" customWidth="1"/>
    <col min="16" max="16384" width="9.140625" style="6"/>
  </cols>
  <sheetData>
    <row r="1" spans="1:15" ht="20.25" x14ac:dyDescent="0.25">
      <c r="A1" s="5"/>
      <c r="B1" s="5"/>
      <c r="C1" s="5"/>
      <c r="D1" s="5"/>
      <c r="E1" s="445" t="s">
        <v>755</v>
      </c>
      <c r="F1" s="445"/>
    </row>
    <row r="2" spans="1:15" ht="95.25" customHeight="1" x14ac:dyDescent="0.25">
      <c r="B2" s="7"/>
      <c r="C2" s="7"/>
      <c r="D2" s="446" t="s">
        <v>762</v>
      </c>
      <c r="E2" s="446"/>
      <c r="F2" s="446"/>
    </row>
    <row r="3" spans="1:15" x14ac:dyDescent="0.25">
      <c r="A3" s="447" t="s">
        <v>763</v>
      </c>
      <c r="B3" s="447"/>
      <c r="C3" s="447"/>
      <c r="D3" s="447"/>
      <c r="E3" s="447"/>
      <c r="F3" s="447"/>
    </row>
    <row r="4" spans="1:15" ht="93" customHeight="1" x14ac:dyDescent="0.25">
      <c r="A4" s="447"/>
      <c r="B4" s="447"/>
      <c r="C4" s="447"/>
      <c r="D4" s="447"/>
      <c r="E4" s="447"/>
      <c r="F4" s="447"/>
    </row>
    <row r="5" spans="1:15" x14ac:dyDescent="0.25">
      <c r="A5" s="448" t="s">
        <v>6</v>
      </c>
      <c r="B5" s="451" t="s">
        <v>756</v>
      </c>
      <c r="C5" s="448" t="s">
        <v>757</v>
      </c>
      <c r="D5" s="448" t="s">
        <v>758</v>
      </c>
      <c r="E5" s="448" t="s">
        <v>759</v>
      </c>
      <c r="F5" s="448" t="s">
        <v>760</v>
      </c>
    </row>
    <row r="6" spans="1:15" x14ac:dyDescent="0.25">
      <c r="A6" s="449"/>
      <c r="B6" s="452"/>
      <c r="C6" s="454"/>
      <c r="D6" s="454"/>
      <c r="E6" s="454"/>
      <c r="F6" s="454"/>
    </row>
    <row r="7" spans="1:15" ht="101.25" customHeight="1" x14ac:dyDescent="0.25">
      <c r="A7" s="449"/>
      <c r="B7" s="452"/>
      <c r="C7" s="455"/>
      <c r="D7" s="455"/>
      <c r="E7" s="455"/>
      <c r="F7" s="455"/>
    </row>
    <row r="8" spans="1:15" ht="20.25" x14ac:dyDescent="0.3">
      <c r="A8" s="450"/>
      <c r="B8" s="453"/>
      <c r="C8" s="8" t="s">
        <v>761</v>
      </c>
      <c r="D8" s="8" t="s">
        <v>266</v>
      </c>
      <c r="E8" s="9" t="s">
        <v>37</v>
      </c>
      <c r="F8" s="9" t="s">
        <v>36</v>
      </c>
    </row>
    <row r="9" spans="1:15" ht="20.25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15" ht="20.25" x14ac:dyDescent="0.3">
      <c r="A10" s="3" t="s">
        <v>765</v>
      </c>
      <c r="B10" s="11"/>
      <c r="C10" s="77">
        <f>C11+C79+C138</f>
        <v>2703761.5600000005</v>
      </c>
      <c r="D10" s="78">
        <f>D11+D79+D138</f>
        <v>102304</v>
      </c>
      <c r="E10" s="154">
        <f>E11+E79+E138</f>
        <v>1059</v>
      </c>
      <c r="F10" s="77">
        <f>F11+F79+F138</f>
        <v>3291470140.5300007</v>
      </c>
      <c r="K10" s="120"/>
      <c r="M10" s="120"/>
      <c r="N10" s="120"/>
      <c r="O10" s="120"/>
    </row>
    <row r="11" spans="1:15" ht="20.25" x14ac:dyDescent="0.3">
      <c r="A11" s="3" t="s">
        <v>766</v>
      </c>
      <c r="B11" s="11"/>
      <c r="C11" s="77">
        <f>SUM(C12:C78)</f>
        <v>1287203.5500000003</v>
      </c>
      <c r="D11" s="78">
        <f>SUM(D12:D78)</f>
        <v>47570</v>
      </c>
      <c r="E11" s="154">
        <f>SUM(E12:E78)</f>
        <v>470</v>
      </c>
      <c r="F11" s="77">
        <f>SUM(F12:F78)</f>
        <v>1472013756.6300004</v>
      </c>
      <c r="K11" s="120"/>
    </row>
    <row r="12" spans="1:15" ht="20.25" x14ac:dyDescent="0.3">
      <c r="A12" s="4">
        <v>1</v>
      </c>
      <c r="B12" s="3" t="s">
        <v>999</v>
      </c>
      <c r="C12" s="77">
        <v>349283.52999999997</v>
      </c>
      <c r="D12" s="78">
        <v>13102</v>
      </c>
      <c r="E12" s="133">
        <v>107</v>
      </c>
      <c r="F12" s="101">
        <v>343675633.75000006</v>
      </c>
    </row>
    <row r="13" spans="1:15" ht="20.25" x14ac:dyDescent="0.3">
      <c r="A13" s="4">
        <v>2</v>
      </c>
      <c r="B13" s="3" t="s">
        <v>905</v>
      </c>
      <c r="C13" s="77">
        <v>56787.200000000004</v>
      </c>
      <c r="D13" s="78">
        <v>2311</v>
      </c>
      <c r="E13" s="133">
        <v>31</v>
      </c>
      <c r="F13" s="101">
        <v>79026156.439999998</v>
      </c>
    </row>
    <row r="14" spans="1:15" ht="20.25" x14ac:dyDescent="0.3">
      <c r="A14" s="4">
        <v>3</v>
      </c>
      <c r="B14" s="3" t="s">
        <v>906</v>
      </c>
      <c r="C14" s="101">
        <v>115983.30999999998</v>
      </c>
      <c r="D14" s="79">
        <v>4439</v>
      </c>
      <c r="E14" s="133">
        <v>41</v>
      </c>
      <c r="F14" s="101">
        <v>116895934.10000001</v>
      </c>
    </row>
    <row r="15" spans="1:15" ht="20.25" x14ac:dyDescent="0.3">
      <c r="A15" s="4">
        <v>4</v>
      </c>
      <c r="B15" s="3" t="s">
        <v>961</v>
      </c>
      <c r="C15" s="101">
        <v>222078.57000000004</v>
      </c>
      <c r="D15" s="79">
        <v>7269</v>
      </c>
      <c r="E15" s="133">
        <v>39</v>
      </c>
      <c r="F15" s="101">
        <v>177119433.23000002</v>
      </c>
    </row>
    <row r="16" spans="1:15" ht="20.25" x14ac:dyDescent="0.3">
      <c r="A16" s="4">
        <v>5</v>
      </c>
      <c r="B16" s="3" t="s">
        <v>908</v>
      </c>
      <c r="C16" s="77">
        <v>42084.039999999994</v>
      </c>
      <c r="D16" s="78">
        <v>1883</v>
      </c>
      <c r="E16" s="133">
        <v>6</v>
      </c>
      <c r="F16" s="101">
        <v>26597638.940000001</v>
      </c>
    </row>
    <row r="17" spans="1:6" ht="20.25" x14ac:dyDescent="0.3">
      <c r="A17" s="4">
        <v>6</v>
      </c>
      <c r="B17" s="3" t="s">
        <v>909</v>
      </c>
      <c r="C17" s="101">
        <v>87528.61</v>
      </c>
      <c r="D17" s="79">
        <v>3340</v>
      </c>
      <c r="E17" s="133">
        <v>26</v>
      </c>
      <c r="F17" s="101">
        <v>88215847.820000023</v>
      </c>
    </row>
    <row r="18" spans="1:6" ht="20.25" x14ac:dyDescent="0.3">
      <c r="A18" s="4">
        <v>7</v>
      </c>
      <c r="B18" s="3" t="s">
        <v>910</v>
      </c>
      <c r="C18" s="101">
        <v>36218.400000000001</v>
      </c>
      <c r="D18" s="79">
        <v>983</v>
      </c>
      <c r="E18" s="133">
        <v>6</v>
      </c>
      <c r="F18" s="101">
        <v>26089685.730000004</v>
      </c>
    </row>
    <row r="19" spans="1:6" ht="20.25" x14ac:dyDescent="0.3">
      <c r="A19" s="4">
        <v>8</v>
      </c>
      <c r="B19" s="3" t="s">
        <v>911</v>
      </c>
      <c r="C19" s="101">
        <v>10556.800000000001</v>
      </c>
      <c r="D19" s="79">
        <v>411</v>
      </c>
      <c r="E19" s="133">
        <v>6</v>
      </c>
      <c r="F19" s="101">
        <v>35599350.519999996</v>
      </c>
    </row>
    <row r="20" spans="1:6" ht="20.25" x14ac:dyDescent="0.3">
      <c r="A20" s="4">
        <v>9</v>
      </c>
      <c r="B20" s="3" t="s">
        <v>912</v>
      </c>
      <c r="C20" s="101">
        <v>15661.67</v>
      </c>
      <c r="D20" s="79">
        <v>532</v>
      </c>
      <c r="E20" s="133">
        <v>4</v>
      </c>
      <c r="F20" s="101">
        <v>13590086.029999999</v>
      </c>
    </row>
    <row r="21" spans="1:6" ht="20.25" x14ac:dyDescent="0.3">
      <c r="A21" s="4">
        <v>10</v>
      </c>
      <c r="B21" s="3" t="s">
        <v>1380</v>
      </c>
      <c r="C21" s="101">
        <v>762</v>
      </c>
      <c r="D21" s="79">
        <v>12</v>
      </c>
      <c r="E21" s="133">
        <v>1</v>
      </c>
      <c r="F21" s="101">
        <v>345301.56</v>
      </c>
    </row>
    <row r="22" spans="1:6" ht="20.25" x14ac:dyDescent="0.3">
      <c r="A22" s="4">
        <v>11</v>
      </c>
      <c r="B22" s="3" t="s">
        <v>913</v>
      </c>
      <c r="C22" s="101">
        <v>2259.1</v>
      </c>
      <c r="D22" s="79">
        <v>104</v>
      </c>
      <c r="E22" s="133">
        <v>2</v>
      </c>
      <c r="F22" s="101">
        <v>6197385.3000000007</v>
      </c>
    </row>
    <row r="23" spans="1:6" ht="20.25" x14ac:dyDescent="0.3">
      <c r="A23" s="4">
        <v>12</v>
      </c>
      <c r="B23" s="3" t="s">
        <v>914</v>
      </c>
      <c r="C23" s="101">
        <v>4271.2</v>
      </c>
      <c r="D23" s="79">
        <v>161</v>
      </c>
      <c r="E23" s="133">
        <v>5</v>
      </c>
      <c r="F23" s="101">
        <v>12655548.699999999</v>
      </c>
    </row>
    <row r="24" spans="1:6" ht="20.25" x14ac:dyDescent="0.3">
      <c r="A24" s="4">
        <v>13</v>
      </c>
      <c r="B24" s="3" t="s">
        <v>915</v>
      </c>
      <c r="C24" s="101">
        <v>2996.9</v>
      </c>
      <c r="D24" s="79">
        <v>130</v>
      </c>
      <c r="E24" s="133">
        <v>5</v>
      </c>
      <c r="F24" s="101">
        <v>4997517.37</v>
      </c>
    </row>
    <row r="25" spans="1:6" ht="20.25" x14ac:dyDescent="0.3">
      <c r="A25" s="4">
        <v>14</v>
      </c>
      <c r="B25" s="3" t="s">
        <v>917</v>
      </c>
      <c r="C25" s="101">
        <v>3504.3</v>
      </c>
      <c r="D25" s="79">
        <v>153</v>
      </c>
      <c r="E25" s="133">
        <v>1</v>
      </c>
      <c r="F25" s="101">
        <v>1997229.1400000001</v>
      </c>
    </row>
    <row r="26" spans="1:6" ht="20.25" x14ac:dyDescent="0.3">
      <c r="A26" s="4">
        <v>15</v>
      </c>
      <c r="B26" s="3" t="s">
        <v>918</v>
      </c>
      <c r="C26" s="101">
        <v>38583.5</v>
      </c>
      <c r="D26" s="79">
        <v>1088</v>
      </c>
      <c r="E26" s="133">
        <v>15</v>
      </c>
      <c r="F26" s="101">
        <v>45687622.32</v>
      </c>
    </row>
    <row r="27" spans="1:6" ht="20.25" x14ac:dyDescent="0.3">
      <c r="A27" s="4">
        <v>16</v>
      </c>
      <c r="B27" s="3" t="s">
        <v>919</v>
      </c>
      <c r="C27" s="101">
        <v>12781.9</v>
      </c>
      <c r="D27" s="79">
        <v>775</v>
      </c>
      <c r="E27" s="133">
        <v>16</v>
      </c>
      <c r="F27" s="101">
        <v>34780549.410000004</v>
      </c>
    </row>
    <row r="28" spans="1:6" ht="20.25" x14ac:dyDescent="0.3">
      <c r="A28" s="4">
        <v>17</v>
      </c>
      <c r="B28" s="3" t="s">
        <v>920</v>
      </c>
      <c r="C28" s="101">
        <v>2214.1</v>
      </c>
      <c r="D28" s="79">
        <v>77</v>
      </c>
      <c r="E28" s="133">
        <v>6</v>
      </c>
      <c r="F28" s="101">
        <v>4160433.67</v>
      </c>
    </row>
    <row r="29" spans="1:6" ht="20.25" x14ac:dyDescent="0.3">
      <c r="A29" s="4">
        <v>18</v>
      </c>
      <c r="B29" s="3" t="s">
        <v>921</v>
      </c>
      <c r="C29" s="101">
        <v>1535</v>
      </c>
      <c r="D29" s="79">
        <v>47</v>
      </c>
      <c r="E29" s="133">
        <v>2</v>
      </c>
      <c r="F29" s="101">
        <v>4763676.91</v>
      </c>
    </row>
    <row r="30" spans="1:6" ht="20.25" x14ac:dyDescent="0.3">
      <c r="A30" s="4">
        <v>19</v>
      </c>
      <c r="B30" s="3" t="s">
        <v>979</v>
      </c>
      <c r="C30" s="101">
        <v>1746.5</v>
      </c>
      <c r="D30" s="79">
        <v>90</v>
      </c>
      <c r="E30" s="133">
        <v>2</v>
      </c>
      <c r="F30" s="101">
        <v>7840990.7699999996</v>
      </c>
    </row>
    <row r="31" spans="1:6" ht="20.25" x14ac:dyDescent="0.3">
      <c r="A31" s="4">
        <v>20</v>
      </c>
      <c r="B31" s="3" t="s">
        <v>924</v>
      </c>
      <c r="C31" s="77">
        <v>5687.8</v>
      </c>
      <c r="D31" s="78">
        <v>224</v>
      </c>
      <c r="E31" s="133">
        <v>3</v>
      </c>
      <c r="F31" s="101">
        <v>8430489</v>
      </c>
    </row>
    <row r="32" spans="1:6" ht="20.25" x14ac:dyDescent="0.3">
      <c r="A32" s="4">
        <v>21</v>
      </c>
      <c r="B32" s="3" t="s">
        <v>966</v>
      </c>
      <c r="C32" s="77">
        <v>9027.7200000000012</v>
      </c>
      <c r="D32" s="78">
        <v>298</v>
      </c>
      <c r="E32" s="133">
        <v>2</v>
      </c>
      <c r="F32" s="101">
        <v>9250134.5000000019</v>
      </c>
    </row>
    <row r="33" spans="1:6" ht="20.25" x14ac:dyDescent="0.3">
      <c r="A33" s="4">
        <v>22</v>
      </c>
      <c r="B33" s="3" t="s">
        <v>926</v>
      </c>
      <c r="C33" s="77">
        <v>846.4</v>
      </c>
      <c r="D33" s="78">
        <v>26</v>
      </c>
      <c r="E33" s="133">
        <v>1</v>
      </c>
      <c r="F33" s="101">
        <v>7261486.2599999998</v>
      </c>
    </row>
    <row r="34" spans="1:6" ht="20.25" x14ac:dyDescent="0.3">
      <c r="A34" s="4">
        <v>23</v>
      </c>
      <c r="B34" s="3" t="s">
        <v>928</v>
      </c>
      <c r="C34" s="101">
        <v>47247.65</v>
      </c>
      <c r="D34" s="79">
        <v>1628</v>
      </c>
      <c r="E34" s="133">
        <v>15</v>
      </c>
      <c r="F34" s="101">
        <v>51632572.710000001</v>
      </c>
    </row>
    <row r="35" spans="1:6" ht="20.25" x14ac:dyDescent="0.3">
      <c r="A35" s="4">
        <v>24</v>
      </c>
      <c r="B35" s="3" t="s">
        <v>980</v>
      </c>
      <c r="C35" s="101">
        <v>2529.2999999999997</v>
      </c>
      <c r="D35" s="79">
        <v>114</v>
      </c>
      <c r="E35" s="133">
        <v>2</v>
      </c>
      <c r="F35" s="101">
        <v>2913286.51</v>
      </c>
    </row>
    <row r="36" spans="1:6" ht="20.25" x14ac:dyDescent="0.3">
      <c r="A36" s="4">
        <v>25</v>
      </c>
      <c r="B36" s="3" t="s">
        <v>981</v>
      </c>
      <c r="C36" s="101">
        <v>375</v>
      </c>
      <c r="D36" s="79">
        <v>14</v>
      </c>
      <c r="E36" s="133">
        <v>1</v>
      </c>
      <c r="F36" s="101">
        <v>2727875.44</v>
      </c>
    </row>
    <row r="37" spans="1:6" ht="20.25" x14ac:dyDescent="0.3">
      <c r="A37" s="4">
        <v>26</v>
      </c>
      <c r="B37" s="3" t="s">
        <v>982</v>
      </c>
      <c r="C37" s="101">
        <v>1156.21</v>
      </c>
      <c r="D37" s="79">
        <v>34</v>
      </c>
      <c r="E37" s="133">
        <v>1</v>
      </c>
      <c r="F37" s="101">
        <v>3866903.76</v>
      </c>
    </row>
    <row r="38" spans="1:6" ht="20.25" x14ac:dyDescent="0.3">
      <c r="A38" s="4">
        <v>27</v>
      </c>
      <c r="B38" s="3" t="s">
        <v>930</v>
      </c>
      <c r="C38" s="101">
        <v>2599.7999999999997</v>
      </c>
      <c r="D38" s="79">
        <v>115</v>
      </c>
      <c r="E38" s="133">
        <v>4</v>
      </c>
      <c r="F38" s="101">
        <v>11324422.880000001</v>
      </c>
    </row>
    <row r="39" spans="1:6" ht="20.25" x14ac:dyDescent="0.3">
      <c r="A39" s="4">
        <v>28</v>
      </c>
      <c r="B39" s="3" t="s">
        <v>931</v>
      </c>
      <c r="C39" s="77">
        <v>1157</v>
      </c>
      <c r="D39" s="78">
        <v>49</v>
      </c>
      <c r="E39" s="133">
        <v>2</v>
      </c>
      <c r="F39" s="101">
        <v>4615005.4700000007</v>
      </c>
    </row>
    <row r="40" spans="1:6" ht="20.25" x14ac:dyDescent="0.3">
      <c r="A40" s="4">
        <v>29</v>
      </c>
      <c r="B40" s="3" t="s">
        <v>929</v>
      </c>
      <c r="C40" s="102">
        <v>407.9</v>
      </c>
      <c r="D40" s="103">
        <v>24</v>
      </c>
      <c r="E40" s="133">
        <v>1</v>
      </c>
      <c r="F40" s="101">
        <v>1491809.6800000002</v>
      </c>
    </row>
    <row r="41" spans="1:6" ht="20.25" x14ac:dyDescent="0.3">
      <c r="A41" s="4">
        <v>30</v>
      </c>
      <c r="B41" s="3" t="s">
        <v>932</v>
      </c>
      <c r="C41" s="101">
        <v>2141.5</v>
      </c>
      <c r="D41" s="79">
        <v>79</v>
      </c>
      <c r="E41" s="133">
        <v>4</v>
      </c>
      <c r="F41" s="101">
        <v>7263579.6499999994</v>
      </c>
    </row>
    <row r="42" spans="1:6" ht="20.25" x14ac:dyDescent="0.3">
      <c r="A42" s="4">
        <v>31</v>
      </c>
      <c r="B42" s="3" t="s">
        <v>967</v>
      </c>
      <c r="C42" s="77">
        <v>829.4</v>
      </c>
      <c r="D42" s="78">
        <v>24</v>
      </c>
      <c r="E42" s="133">
        <v>1</v>
      </c>
      <c r="F42" s="101">
        <v>3281480.1</v>
      </c>
    </row>
    <row r="43" spans="1:6" ht="20.25" x14ac:dyDescent="0.3">
      <c r="A43" s="4">
        <v>32</v>
      </c>
      <c r="B43" s="3" t="s">
        <v>933</v>
      </c>
      <c r="C43" s="77">
        <v>9725.5</v>
      </c>
      <c r="D43" s="78">
        <v>360</v>
      </c>
      <c r="E43" s="133">
        <v>5</v>
      </c>
      <c r="F43" s="101">
        <v>18773024.589999996</v>
      </c>
    </row>
    <row r="44" spans="1:6" ht="20.25" x14ac:dyDescent="0.3">
      <c r="A44" s="4">
        <v>33</v>
      </c>
      <c r="B44" s="3" t="s">
        <v>934</v>
      </c>
      <c r="C44" s="77">
        <v>613</v>
      </c>
      <c r="D44" s="78">
        <v>33</v>
      </c>
      <c r="E44" s="133">
        <v>1</v>
      </c>
      <c r="F44" s="101">
        <v>3182125.22</v>
      </c>
    </row>
    <row r="45" spans="1:6" ht="20.25" x14ac:dyDescent="0.3">
      <c r="A45" s="4">
        <v>34</v>
      </c>
      <c r="B45" s="3" t="s">
        <v>968</v>
      </c>
      <c r="C45" s="77">
        <v>320</v>
      </c>
      <c r="D45" s="78">
        <v>21</v>
      </c>
      <c r="E45" s="133">
        <v>1</v>
      </c>
      <c r="F45" s="101">
        <v>522383.64</v>
      </c>
    </row>
    <row r="46" spans="1:6" ht="20.25" x14ac:dyDescent="0.3">
      <c r="A46" s="4">
        <v>35</v>
      </c>
      <c r="B46" s="3" t="s">
        <v>936</v>
      </c>
      <c r="C46" s="101">
        <v>6014.58</v>
      </c>
      <c r="D46" s="79">
        <v>225</v>
      </c>
      <c r="E46" s="133">
        <v>4</v>
      </c>
      <c r="F46" s="101">
        <v>18167495.66</v>
      </c>
    </row>
    <row r="47" spans="1:6" ht="20.25" x14ac:dyDescent="0.3">
      <c r="A47" s="4">
        <v>36</v>
      </c>
      <c r="B47" s="3" t="s">
        <v>939</v>
      </c>
      <c r="C47" s="77">
        <v>2767.4</v>
      </c>
      <c r="D47" s="78">
        <v>148</v>
      </c>
      <c r="E47" s="133">
        <v>1</v>
      </c>
      <c r="F47" s="101">
        <v>5141890.1999999993</v>
      </c>
    </row>
    <row r="48" spans="1:6" ht="20.25" x14ac:dyDescent="0.3">
      <c r="A48" s="4">
        <v>37</v>
      </c>
      <c r="B48" s="3" t="s">
        <v>945</v>
      </c>
      <c r="C48" s="77">
        <v>15806.099999999999</v>
      </c>
      <c r="D48" s="78">
        <v>544</v>
      </c>
      <c r="E48" s="133">
        <v>3</v>
      </c>
      <c r="F48" s="101">
        <v>15983757.409999998</v>
      </c>
    </row>
    <row r="49" spans="1:6" ht="20.25" x14ac:dyDescent="0.3">
      <c r="A49" s="4">
        <v>38</v>
      </c>
      <c r="B49" s="3" t="s">
        <v>940</v>
      </c>
      <c r="C49" s="77">
        <v>21187.5</v>
      </c>
      <c r="D49" s="78">
        <v>986</v>
      </c>
      <c r="E49" s="133">
        <v>7</v>
      </c>
      <c r="F49" s="101">
        <v>33530692.979999997</v>
      </c>
    </row>
    <row r="50" spans="1:6" ht="20.25" x14ac:dyDescent="0.3">
      <c r="A50" s="4">
        <v>39</v>
      </c>
      <c r="B50" s="3" t="s">
        <v>941</v>
      </c>
      <c r="C50" s="77">
        <v>5121.21</v>
      </c>
      <c r="D50" s="78">
        <v>162</v>
      </c>
      <c r="E50" s="133">
        <v>5</v>
      </c>
      <c r="F50" s="101">
        <v>9403284.9900000002</v>
      </c>
    </row>
    <row r="51" spans="1:6" ht="20.25" x14ac:dyDescent="0.3">
      <c r="A51" s="4">
        <v>40</v>
      </c>
      <c r="B51" s="3" t="s">
        <v>942</v>
      </c>
      <c r="C51" s="77">
        <v>1488.6</v>
      </c>
      <c r="D51" s="78">
        <v>67</v>
      </c>
      <c r="E51" s="133">
        <v>2</v>
      </c>
      <c r="F51" s="101">
        <v>5174634.9800000004</v>
      </c>
    </row>
    <row r="52" spans="1:6" ht="20.25" x14ac:dyDescent="0.3">
      <c r="A52" s="4">
        <v>41</v>
      </c>
      <c r="B52" s="3" t="s">
        <v>944</v>
      </c>
      <c r="C52" s="77">
        <v>14074.8</v>
      </c>
      <c r="D52" s="78">
        <v>602</v>
      </c>
      <c r="E52" s="133">
        <v>9</v>
      </c>
      <c r="F52" s="101">
        <v>28248063.09</v>
      </c>
    </row>
    <row r="53" spans="1:6" ht="20.25" x14ac:dyDescent="0.3">
      <c r="A53" s="4">
        <v>42</v>
      </c>
      <c r="B53" s="3" t="s">
        <v>943</v>
      </c>
      <c r="C53" s="77">
        <v>878.6</v>
      </c>
      <c r="D53" s="78">
        <v>65</v>
      </c>
      <c r="E53" s="133">
        <v>1</v>
      </c>
      <c r="F53" s="101">
        <v>3623254.4499999997</v>
      </c>
    </row>
    <row r="54" spans="1:6" ht="20.25" x14ac:dyDescent="0.3">
      <c r="A54" s="4">
        <v>43</v>
      </c>
      <c r="B54" s="3" t="s">
        <v>946</v>
      </c>
      <c r="C54" s="101">
        <v>940.6</v>
      </c>
      <c r="D54" s="79">
        <v>33</v>
      </c>
      <c r="E54" s="133">
        <v>1</v>
      </c>
      <c r="F54" s="101">
        <v>3515825.94</v>
      </c>
    </row>
    <row r="55" spans="1:6" ht="20.25" x14ac:dyDescent="0.3">
      <c r="A55" s="4">
        <v>44</v>
      </c>
      <c r="B55" s="3" t="s">
        <v>983</v>
      </c>
      <c r="C55" s="101">
        <v>320</v>
      </c>
      <c r="D55" s="79">
        <v>19</v>
      </c>
      <c r="E55" s="133">
        <v>1</v>
      </c>
      <c r="F55" s="101">
        <v>1371104.41</v>
      </c>
    </row>
    <row r="56" spans="1:6" ht="20.25" x14ac:dyDescent="0.3">
      <c r="A56" s="4">
        <v>45</v>
      </c>
      <c r="B56" s="3" t="s">
        <v>1381</v>
      </c>
      <c r="C56" s="101">
        <v>953.9</v>
      </c>
      <c r="D56" s="79">
        <v>28</v>
      </c>
      <c r="E56" s="133">
        <v>1</v>
      </c>
      <c r="F56" s="101">
        <v>4974970.34</v>
      </c>
    </row>
    <row r="57" spans="1:6" ht="20.25" x14ac:dyDescent="0.3">
      <c r="A57" s="4">
        <v>46</v>
      </c>
      <c r="B57" s="3" t="s">
        <v>972</v>
      </c>
      <c r="C57" s="101">
        <v>1446.38</v>
      </c>
      <c r="D57" s="79">
        <v>93</v>
      </c>
      <c r="E57" s="133">
        <v>1</v>
      </c>
      <c r="F57" s="101">
        <v>5368567.4000000004</v>
      </c>
    </row>
    <row r="58" spans="1:6" ht="20.25" x14ac:dyDescent="0.3">
      <c r="A58" s="4">
        <v>47</v>
      </c>
      <c r="B58" s="3" t="s">
        <v>984</v>
      </c>
      <c r="C58" s="77">
        <v>676.3</v>
      </c>
      <c r="D58" s="78">
        <v>33</v>
      </c>
      <c r="E58" s="133">
        <v>1</v>
      </c>
      <c r="F58" s="101">
        <v>2682382.0500000003</v>
      </c>
    </row>
    <row r="59" spans="1:6" ht="20.25" x14ac:dyDescent="0.3">
      <c r="A59" s="4">
        <v>48</v>
      </c>
      <c r="B59" s="3" t="s">
        <v>949</v>
      </c>
      <c r="C59" s="102">
        <v>3415.58</v>
      </c>
      <c r="D59" s="103">
        <v>141</v>
      </c>
      <c r="E59" s="133">
        <v>5</v>
      </c>
      <c r="F59" s="101">
        <v>11742480.74</v>
      </c>
    </row>
    <row r="60" spans="1:6" ht="20.25" x14ac:dyDescent="0.3">
      <c r="A60" s="4">
        <v>49</v>
      </c>
      <c r="B60" s="3" t="s">
        <v>974</v>
      </c>
      <c r="C60" s="101">
        <v>39848.200000000004</v>
      </c>
      <c r="D60" s="79">
        <v>1332</v>
      </c>
      <c r="E60" s="133">
        <v>11</v>
      </c>
      <c r="F60" s="101">
        <v>40245217.780000001</v>
      </c>
    </row>
    <row r="61" spans="1:6" ht="20.25" x14ac:dyDescent="0.3">
      <c r="A61" s="4">
        <v>50</v>
      </c>
      <c r="B61" s="3" t="s">
        <v>950</v>
      </c>
      <c r="C61" s="77">
        <v>33276.850000000006</v>
      </c>
      <c r="D61" s="78">
        <v>1281</v>
      </c>
      <c r="E61" s="133">
        <v>8</v>
      </c>
      <c r="F61" s="101">
        <v>34433820.409999996</v>
      </c>
    </row>
    <row r="62" spans="1:6" ht="20.25" x14ac:dyDescent="0.3">
      <c r="A62" s="4">
        <v>51</v>
      </c>
      <c r="B62" s="3" t="s">
        <v>1382</v>
      </c>
      <c r="C62" s="77">
        <v>720.74</v>
      </c>
      <c r="D62" s="78">
        <v>19</v>
      </c>
      <c r="E62" s="133">
        <v>1</v>
      </c>
      <c r="F62" s="101">
        <v>1499263.62</v>
      </c>
    </row>
    <row r="63" spans="1:6" ht="20.25" x14ac:dyDescent="0.3">
      <c r="A63" s="4">
        <v>52</v>
      </c>
      <c r="B63" s="3" t="s">
        <v>1379</v>
      </c>
      <c r="C63" s="77">
        <v>970.5</v>
      </c>
      <c r="D63" s="78">
        <v>38</v>
      </c>
      <c r="E63" s="133">
        <v>1</v>
      </c>
      <c r="F63" s="101">
        <v>474650.14999999997</v>
      </c>
    </row>
    <row r="64" spans="1:6" ht="20.25" x14ac:dyDescent="0.3">
      <c r="A64" s="4">
        <v>53</v>
      </c>
      <c r="B64" s="3" t="s">
        <v>947</v>
      </c>
      <c r="C64" s="77">
        <v>8901.1</v>
      </c>
      <c r="D64" s="78">
        <v>365</v>
      </c>
      <c r="E64" s="133">
        <v>4</v>
      </c>
      <c r="F64" s="101">
        <v>4102310.33</v>
      </c>
    </row>
    <row r="65" spans="1:14" ht="20.25" x14ac:dyDescent="0.3">
      <c r="A65" s="4">
        <v>54</v>
      </c>
      <c r="B65" s="3" t="s">
        <v>951</v>
      </c>
      <c r="C65" s="77">
        <v>3040.6</v>
      </c>
      <c r="D65" s="78">
        <v>115</v>
      </c>
      <c r="E65" s="133">
        <v>5</v>
      </c>
      <c r="F65" s="101">
        <v>11405468.119999999</v>
      </c>
    </row>
    <row r="66" spans="1:14" ht="20.25" x14ac:dyDescent="0.3">
      <c r="A66" s="4">
        <v>55</v>
      </c>
      <c r="B66" s="3" t="s">
        <v>952</v>
      </c>
      <c r="C66" s="101">
        <v>1191.0999999999999</v>
      </c>
      <c r="D66" s="79">
        <v>31</v>
      </c>
      <c r="E66" s="133">
        <v>1</v>
      </c>
      <c r="F66" s="101">
        <v>2846268.34</v>
      </c>
    </row>
    <row r="67" spans="1:14" ht="20.25" x14ac:dyDescent="0.3">
      <c r="A67" s="4">
        <v>56</v>
      </c>
      <c r="B67" s="3" t="s">
        <v>953</v>
      </c>
      <c r="C67" s="77">
        <v>706</v>
      </c>
      <c r="D67" s="78">
        <v>41</v>
      </c>
      <c r="E67" s="133">
        <v>1</v>
      </c>
      <c r="F67" s="101">
        <v>2720657.6</v>
      </c>
    </row>
    <row r="68" spans="1:14" ht="20.25" x14ac:dyDescent="0.3">
      <c r="A68" s="4">
        <v>57</v>
      </c>
      <c r="B68" s="3" t="s">
        <v>954</v>
      </c>
      <c r="C68" s="77">
        <v>2609.1000000000004</v>
      </c>
      <c r="D68" s="78">
        <v>98</v>
      </c>
      <c r="E68" s="133">
        <v>2</v>
      </c>
      <c r="F68" s="101">
        <v>5746431.5800000001</v>
      </c>
    </row>
    <row r="69" spans="1:14" ht="20.25" x14ac:dyDescent="0.3">
      <c r="A69" s="4">
        <v>58</v>
      </c>
      <c r="B69" s="3" t="s">
        <v>976</v>
      </c>
      <c r="C69" s="77">
        <v>702.7</v>
      </c>
      <c r="D69" s="78">
        <v>34</v>
      </c>
      <c r="E69" s="133">
        <v>1</v>
      </c>
      <c r="F69" s="101">
        <v>2598169.9500000002</v>
      </c>
    </row>
    <row r="70" spans="1:14" ht="20.25" x14ac:dyDescent="0.3">
      <c r="A70" s="4">
        <v>59</v>
      </c>
      <c r="B70" s="3" t="s">
        <v>1383</v>
      </c>
      <c r="C70" s="77">
        <v>853.8</v>
      </c>
      <c r="D70" s="78">
        <v>38</v>
      </c>
      <c r="E70" s="133">
        <v>1</v>
      </c>
      <c r="F70" s="101">
        <v>2309984.3499999996</v>
      </c>
    </row>
    <row r="71" spans="1:14" ht="20.25" x14ac:dyDescent="0.3">
      <c r="A71" s="4">
        <v>60</v>
      </c>
      <c r="B71" s="3" t="s">
        <v>955</v>
      </c>
      <c r="C71" s="77">
        <v>3456.2</v>
      </c>
      <c r="D71" s="78">
        <v>132</v>
      </c>
      <c r="E71" s="133">
        <v>6</v>
      </c>
      <c r="F71" s="101">
        <v>6366130.2999999998</v>
      </c>
    </row>
    <row r="72" spans="1:14" ht="20.25" x14ac:dyDescent="0.3">
      <c r="A72" s="4">
        <v>61</v>
      </c>
      <c r="B72" s="3" t="s">
        <v>956</v>
      </c>
      <c r="C72" s="77">
        <v>1755.2</v>
      </c>
      <c r="D72" s="78">
        <v>63</v>
      </c>
      <c r="E72" s="133">
        <v>1</v>
      </c>
      <c r="F72" s="101">
        <v>4880587.2799999993</v>
      </c>
    </row>
    <row r="73" spans="1:14" ht="20.25" x14ac:dyDescent="0.3">
      <c r="A73" s="4">
        <v>62</v>
      </c>
      <c r="B73" s="3" t="s">
        <v>977</v>
      </c>
      <c r="C73" s="77">
        <v>4920.8999999999996</v>
      </c>
      <c r="D73" s="78">
        <v>133</v>
      </c>
      <c r="E73" s="133">
        <v>2</v>
      </c>
      <c r="F73" s="101">
        <v>8593030.2200000007</v>
      </c>
    </row>
    <row r="74" spans="1:14" ht="20.25" x14ac:dyDescent="0.3">
      <c r="A74" s="4">
        <v>63</v>
      </c>
      <c r="B74" s="3" t="s">
        <v>957</v>
      </c>
      <c r="C74" s="77">
        <v>428.4</v>
      </c>
      <c r="D74" s="78">
        <v>20</v>
      </c>
      <c r="E74" s="133">
        <v>1</v>
      </c>
      <c r="F74" s="101">
        <v>1241065.97</v>
      </c>
    </row>
    <row r="75" spans="1:14" ht="20.25" x14ac:dyDescent="0.3">
      <c r="A75" s="4">
        <v>64</v>
      </c>
      <c r="B75" s="3" t="s">
        <v>959</v>
      </c>
      <c r="C75" s="77">
        <v>11982.299999999997</v>
      </c>
      <c r="D75" s="78">
        <v>561</v>
      </c>
      <c r="E75" s="133">
        <v>8</v>
      </c>
      <c r="F75" s="101">
        <v>16754328.49</v>
      </c>
    </row>
    <row r="76" spans="1:14" ht="20.25" x14ac:dyDescent="0.3">
      <c r="A76" s="4">
        <v>65</v>
      </c>
      <c r="B76" s="3" t="s">
        <v>960</v>
      </c>
      <c r="C76" s="77">
        <v>3295.2</v>
      </c>
      <c r="D76" s="78">
        <v>81</v>
      </c>
      <c r="E76" s="133">
        <v>5</v>
      </c>
      <c r="F76" s="101">
        <v>7943688.4699999997</v>
      </c>
    </row>
    <row r="77" spans="1:14" ht="20.25" x14ac:dyDescent="0.3">
      <c r="A77" s="4">
        <v>66</v>
      </c>
      <c r="B77" s="3" t="s">
        <v>985</v>
      </c>
      <c r="C77" s="77">
        <v>1634.9</v>
      </c>
      <c r="D77" s="78">
        <v>75</v>
      </c>
      <c r="E77" s="133">
        <v>3</v>
      </c>
      <c r="F77" s="101">
        <v>917252.46</v>
      </c>
    </row>
    <row r="78" spans="1:14" ht="20.25" x14ac:dyDescent="0.3">
      <c r="A78" s="4">
        <v>67</v>
      </c>
      <c r="B78" s="3" t="s">
        <v>978</v>
      </c>
      <c r="C78" s="77">
        <v>317.39999999999998</v>
      </c>
      <c r="D78" s="78">
        <v>17</v>
      </c>
      <c r="E78" s="133">
        <v>1</v>
      </c>
      <c r="F78" s="101">
        <v>1234425.4500000002</v>
      </c>
    </row>
    <row r="79" spans="1:14" ht="20.25" x14ac:dyDescent="0.3">
      <c r="A79" s="3" t="s">
        <v>767</v>
      </c>
      <c r="B79" s="3"/>
      <c r="C79" s="77">
        <f>SUM(C80:C137)</f>
        <v>903343.85000000009</v>
      </c>
      <c r="D79" s="78">
        <f>SUM(D80:D137)</f>
        <v>35187</v>
      </c>
      <c r="E79" s="133">
        <f>SUM(E80:E137)</f>
        <v>375</v>
      </c>
      <c r="F79" s="77">
        <f>SUM(F80:F137)</f>
        <v>1024488175.7100002</v>
      </c>
      <c r="K79" s="120"/>
      <c r="L79" s="120"/>
      <c r="M79" s="120"/>
      <c r="N79" s="120"/>
    </row>
    <row r="80" spans="1:14" ht="20.25" x14ac:dyDescent="0.3">
      <c r="A80" s="4">
        <v>1</v>
      </c>
      <c r="B80" s="3" t="s">
        <v>999</v>
      </c>
      <c r="C80" s="77">
        <v>410521.47</v>
      </c>
      <c r="D80" s="78">
        <v>17090</v>
      </c>
      <c r="E80" s="133">
        <v>130</v>
      </c>
      <c r="F80" s="101">
        <v>254600033.64999992</v>
      </c>
      <c r="H80" s="6">
        <v>209231.22999999995</v>
      </c>
      <c r="I80" s="6">
        <v>8552</v>
      </c>
      <c r="J80" s="6">
        <v>216853215.43000004</v>
      </c>
    </row>
    <row r="81" spans="1:10" ht="20.25" x14ac:dyDescent="0.3">
      <c r="A81" s="4">
        <v>2</v>
      </c>
      <c r="B81" s="3" t="s">
        <v>905</v>
      </c>
      <c r="C81" s="77">
        <v>34239.9</v>
      </c>
      <c r="D81" s="78">
        <v>1299</v>
      </c>
      <c r="E81" s="133">
        <v>23</v>
      </c>
      <c r="F81" s="101">
        <v>71633775.410000011</v>
      </c>
      <c r="H81" s="6">
        <v>15519.199999999999</v>
      </c>
      <c r="I81" s="6">
        <v>787</v>
      </c>
      <c r="J81" s="6">
        <v>45048314.759999998</v>
      </c>
    </row>
    <row r="82" spans="1:10" ht="20.25" x14ac:dyDescent="0.3">
      <c r="A82" s="4">
        <v>3</v>
      </c>
      <c r="B82" s="3" t="s">
        <v>906</v>
      </c>
      <c r="C82" s="77">
        <v>119127.41999999998</v>
      </c>
      <c r="D82" s="78">
        <v>4746</v>
      </c>
      <c r="E82" s="133">
        <v>63</v>
      </c>
      <c r="F82" s="101">
        <v>140871458.16</v>
      </c>
      <c r="H82" s="6">
        <v>55253.150000000009</v>
      </c>
      <c r="I82" s="6">
        <v>2316</v>
      </c>
      <c r="J82" s="6">
        <v>91626897.959999993</v>
      </c>
    </row>
    <row r="83" spans="1:10" ht="20.25" x14ac:dyDescent="0.3">
      <c r="A83" s="4">
        <v>4</v>
      </c>
      <c r="B83" s="3" t="s">
        <v>961</v>
      </c>
      <c r="C83" s="77">
        <v>68688.009999999995</v>
      </c>
      <c r="D83" s="78">
        <v>2150</v>
      </c>
      <c r="E83" s="133">
        <v>21</v>
      </c>
      <c r="F83" s="101">
        <v>50116095.18</v>
      </c>
      <c r="H83" s="6">
        <v>26773.05</v>
      </c>
      <c r="I83" s="6">
        <v>869</v>
      </c>
      <c r="J83" s="6">
        <v>44137673.120000005</v>
      </c>
    </row>
    <row r="84" spans="1:10" ht="20.25" x14ac:dyDescent="0.3">
      <c r="A84" s="4">
        <v>5</v>
      </c>
      <c r="B84" s="3" t="s">
        <v>908</v>
      </c>
      <c r="C84" s="77">
        <v>36347.64</v>
      </c>
      <c r="D84" s="78">
        <v>1590</v>
      </c>
      <c r="E84" s="133">
        <v>5</v>
      </c>
      <c r="F84" s="101">
        <v>47943565.089999996</v>
      </c>
      <c r="H84" s="6">
        <v>13712.7</v>
      </c>
      <c r="I84" s="6">
        <v>336</v>
      </c>
      <c r="J84" s="6">
        <v>21856214.650000002</v>
      </c>
    </row>
    <row r="85" spans="1:10" ht="20.25" x14ac:dyDescent="0.3">
      <c r="A85" s="4">
        <v>6</v>
      </c>
      <c r="B85" s="3" t="s">
        <v>909</v>
      </c>
      <c r="C85" s="77">
        <v>42243.709999999992</v>
      </c>
      <c r="D85" s="78">
        <v>1529</v>
      </c>
      <c r="E85" s="133">
        <v>19</v>
      </c>
      <c r="F85" s="101">
        <v>84154449.210000008</v>
      </c>
      <c r="H85" s="6">
        <v>45913.430000000008</v>
      </c>
      <c r="I85" s="6">
        <v>1959</v>
      </c>
      <c r="J85" s="6">
        <v>51679396.32</v>
      </c>
    </row>
    <row r="86" spans="1:10" ht="20.25" x14ac:dyDescent="0.3">
      <c r="A86" s="4">
        <v>7</v>
      </c>
      <c r="B86" s="3" t="s">
        <v>910</v>
      </c>
      <c r="C86" s="77">
        <v>23407.8</v>
      </c>
      <c r="D86" s="78">
        <v>749</v>
      </c>
      <c r="E86" s="133">
        <v>5</v>
      </c>
      <c r="F86" s="101">
        <v>19605520.310000002</v>
      </c>
      <c r="H86" s="6">
        <v>11170.900000000001</v>
      </c>
      <c r="I86" s="6">
        <v>305</v>
      </c>
      <c r="J86" s="6">
        <v>9890638.1399999987</v>
      </c>
    </row>
    <row r="87" spans="1:10" ht="20.25" x14ac:dyDescent="0.3">
      <c r="A87" s="4">
        <v>8</v>
      </c>
      <c r="B87" s="3" t="s">
        <v>911</v>
      </c>
      <c r="C87" s="77">
        <v>3741.9999999999995</v>
      </c>
      <c r="D87" s="78">
        <v>153</v>
      </c>
      <c r="E87" s="133">
        <v>4</v>
      </c>
      <c r="F87" s="101">
        <v>13069363.829999998</v>
      </c>
      <c r="H87" s="6">
        <v>4408.6000000000004</v>
      </c>
      <c r="I87" s="6">
        <v>120</v>
      </c>
      <c r="J87" s="6">
        <v>11422752.699999999</v>
      </c>
    </row>
    <row r="88" spans="1:10" ht="20.25" x14ac:dyDescent="0.3">
      <c r="A88" s="4">
        <v>9</v>
      </c>
      <c r="B88" s="3" t="s">
        <v>912</v>
      </c>
      <c r="C88" s="77">
        <v>10456.710000000001</v>
      </c>
      <c r="D88" s="78">
        <v>416</v>
      </c>
      <c r="E88" s="133">
        <v>3</v>
      </c>
      <c r="F88" s="101">
        <v>12458692.33</v>
      </c>
      <c r="H88" s="6">
        <v>8897</v>
      </c>
      <c r="I88" s="6">
        <v>313</v>
      </c>
      <c r="J88" s="6">
        <v>9642280</v>
      </c>
    </row>
    <row r="89" spans="1:10" ht="20.25" x14ac:dyDescent="0.3">
      <c r="A89" s="4">
        <v>10</v>
      </c>
      <c r="B89" s="3" t="s">
        <v>913</v>
      </c>
      <c r="C89" s="77">
        <v>2780.7</v>
      </c>
      <c r="D89" s="78">
        <v>103</v>
      </c>
      <c r="E89" s="133">
        <v>1</v>
      </c>
      <c r="F89" s="101">
        <v>2579501.7000000002</v>
      </c>
      <c r="H89" s="6">
        <v>804.5</v>
      </c>
      <c r="I89" s="6">
        <v>47</v>
      </c>
      <c r="J89" s="6">
        <v>4369866.08</v>
      </c>
    </row>
    <row r="90" spans="1:10" ht="20.25" x14ac:dyDescent="0.3">
      <c r="A90" s="4">
        <v>11</v>
      </c>
      <c r="B90" s="3" t="s">
        <v>915</v>
      </c>
      <c r="C90" s="77">
        <v>983.7</v>
      </c>
      <c r="D90" s="78">
        <v>39</v>
      </c>
      <c r="E90" s="133">
        <v>2</v>
      </c>
      <c r="F90" s="101">
        <v>3008567.42</v>
      </c>
      <c r="H90" s="6">
        <v>1070.8</v>
      </c>
      <c r="I90" s="6">
        <v>42</v>
      </c>
      <c r="J90" s="6">
        <v>2936950.21</v>
      </c>
    </row>
    <row r="91" spans="1:10" ht="20.25" x14ac:dyDescent="0.3">
      <c r="A91" s="4">
        <v>12</v>
      </c>
      <c r="B91" s="3" t="s">
        <v>962</v>
      </c>
      <c r="C91" s="77">
        <v>618.29999999999995</v>
      </c>
      <c r="D91" s="78">
        <v>30</v>
      </c>
      <c r="E91" s="133">
        <v>1</v>
      </c>
      <c r="F91" s="101">
        <v>3080948</v>
      </c>
      <c r="H91" s="6">
        <v>1426.8</v>
      </c>
      <c r="I91" s="6">
        <v>72</v>
      </c>
      <c r="J91" s="6">
        <v>2773728.46</v>
      </c>
    </row>
    <row r="92" spans="1:10" ht="20.25" x14ac:dyDescent="0.3">
      <c r="A92" s="4">
        <v>13</v>
      </c>
      <c r="B92" s="3" t="s">
        <v>917</v>
      </c>
      <c r="C92" s="77">
        <v>3085.8</v>
      </c>
      <c r="D92" s="78">
        <v>144</v>
      </c>
      <c r="E92" s="133">
        <v>1</v>
      </c>
      <c r="F92" s="101">
        <v>2008998.15</v>
      </c>
      <c r="H92" s="6">
        <v>456.6</v>
      </c>
      <c r="I92" s="6">
        <v>26</v>
      </c>
      <c r="J92" s="6">
        <v>2158336.3499999996</v>
      </c>
    </row>
    <row r="93" spans="1:10" ht="20.25" x14ac:dyDescent="0.3">
      <c r="A93" s="4">
        <v>14</v>
      </c>
      <c r="B93" s="3" t="s">
        <v>918</v>
      </c>
      <c r="C93" s="77">
        <v>18150.600000000002</v>
      </c>
      <c r="D93" s="78">
        <v>563</v>
      </c>
      <c r="E93" s="133">
        <v>9</v>
      </c>
      <c r="F93" s="101">
        <v>29982330.300000001</v>
      </c>
      <c r="H93" s="6">
        <v>3374.6</v>
      </c>
      <c r="I93" s="6">
        <v>144</v>
      </c>
      <c r="J93" s="6">
        <v>2000000</v>
      </c>
    </row>
    <row r="94" spans="1:10" ht="20.25" x14ac:dyDescent="0.3">
      <c r="A94" s="4">
        <v>15</v>
      </c>
      <c r="B94" s="3" t="s">
        <v>919</v>
      </c>
      <c r="C94" s="77">
        <v>6796.31</v>
      </c>
      <c r="D94" s="78">
        <v>274</v>
      </c>
      <c r="E94" s="133">
        <v>5</v>
      </c>
      <c r="F94" s="101">
        <v>16668323.34</v>
      </c>
      <c r="H94" s="6">
        <v>13638.6</v>
      </c>
      <c r="I94" s="6">
        <v>299</v>
      </c>
      <c r="J94" s="6">
        <v>23342011.919999998</v>
      </c>
    </row>
    <row r="95" spans="1:10" ht="20.25" x14ac:dyDescent="0.3">
      <c r="A95" s="4">
        <v>16</v>
      </c>
      <c r="B95" s="3" t="s">
        <v>1384</v>
      </c>
      <c r="C95" s="77">
        <v>1813.6000000000001</v>
      </c>
      <c r="D95" s="78">
        <v>54</v>
      </c>
      <c r="E95" s="133">
        <v>2</v>
      </c>
      <c r="F95" s="101">
        <v>4544967.91</v>
      </c>
      <c r="H95" s="6">
        <v>5759.0999999999995</v>
      </c>
      <c r="I95" s="6">
        <v>215</v>
      </c>
      <c r="J95" s="6">
        <v>12591900</v>
      </c>
    </row>
    <row r="96" spans="1:10" ht="20.25" x14ac:dyDescent="0.3">
      <c r="A96" s="4">
        <v>17</v>
      </c>
      <c r="B96" s="3" t="s">
        <v>963</v>
      </c>
      <c r="C96" s="77">
        <v>924.3</v>
      </c>
      <c r="D96" s="78">
        <v>24</v>
      </c>
      <c r="E96" s="133">
        <v>1</v>
      </c>
      <c r="F96" s="101">
        <v>2205555.96</v>
      </c>
      <c r="H96" s="6">
        <v>396.2</v>
      </c>
      <c r="I96" s="6">
        <v>21</v>
      </c>
      <c r="J96" s="6">
        <v>1724820</v>
      </c>
    </row>
    <row r="97" spans="1:10" ht="20.25" x14ac:dyDescent="0.3">
      <c r="A97" s="4">
        <v>18</v>
      </c>
      <c r="B97" s="3" t="s">
        <v>964</v>
      </c>
      <c r="C97" s="77">
        <v>622.4</v>
      </c>
      <c r="D97" s="78">
        <v>35</v>
      </c>
      <c r="E97" s="133">
        <v>1</v>
      </c>
      <c r="F97" s="101">
        <v>2610900</v>
      </c>
      <c r="H97" s="6">
        <v>1011.8</v>
      </c>
      <c r="I97" s="6">
        <v>26</v>
      </c>
      <c r="J97" s="6">
        <v>1739107.3499999999</v>
      </c>
    </row>
    <row r="98" spans="1:10" ht="20.25" x14ac:dyDescent="0.3">
      <c r="A98" s="4">
        <v>19</v>
      </c>
      <c r="B98" s="3" t="s">
        <v>965</v>
      </c>
      <c r="C98" s="77">
        <v>531.9</v>
      </c>
      <c r="D98" s="78">
        <v>22</v>
      </c>
      <c r="E98" s="133">
        <v>1</v>
      </c>
      <c r="F98" s="101">
        <v>3133080</v>
      </c>
      <c r="H98" s="6">
        <v>594.20000000000005</v>
      </c>
      <c r="I98" s="6">
        <v>23</v>
      </c>
      <c r="J98" s="6">
        <v>3373804.98</v>
      </c>
    </row>
    <row r="99" spans="1:10" ht="20.25" x14ac:dyDescent="0.3">
      <c r="A99" s="4">
        <v>20</v>
      </c>
      <c r="B99" s="3" t="s">
        <v>924</v>
      </c>
      <c r="C99" s="77">
        <v>7845.75</v>
      </c>
      <c r="D99" s="78">
        <v>225</v>
      </c>
      <c r="E99" s="133">
        <v>1</v>
      </c>
      <c r="F99" s="101">
        <v>8458120</v>
      </c>
      <c r="H99" s="6">
        <v>906.9</v>
      </c>
      <c r="I99" s="6">
        <v>32</v>
      </c>
      <c r="J99" s="6">
        <v>3916350</v>
      </c>
    </row>
    <row r="100" spans="1:10" ht="20.25" x14ac:dyDescent="0.3">
      <c r="A100" s="4">
        <v>21</v>
      </c>
      <c r="B100" s="3" t="s">
        <v>925</v>
      </c>
      <c r="C100" s="77">
        <v>550.20000000000005</v>
      </c>
      <c r="D100" s="78">
        <v>20</v>
      </c>
      <c r="E100" s="133">
        <v>1</v>
      </c>
      <c r="F100" s="101">
        <v>2537436</v>
      </c>
      <c r="H100" s="6">
        <v>2184</v>
      </c>
      <c r="I100" s="6">
        <v>57</v>
      </c>
      <c r="J100" s="6">
        <v>3516578.96</v>
      </c>
    </row>
    <row r="101" spans="1:10" ht="20.25" x14ac:dyDescent="0.3">
      <c r="A101" s="4">
        <v>22</v>
      </c>
      <c r="B101" s="3" t="s">
        <v>966</v>
      </c>
      <c r="C101" s="77">
        <v>4578.08</v>
      </c>
      <c r="D101" s="78">
        <v>186</v>
      </c>
      <c r="E101" s="133">
        <v>2</v>
      </c>
      <c r="F101" s="101">
        <v>6009009.3600000003</v>
      </c>
      <c r="H101" s="6">
        <v>1069.5</v>
      </c>
      <c r="I101" s="6">
        <v>39</v>
      </c>
      <c r="J101" s="6">
        <v>3598749.4899999998</v>
      </c>
    </row>
    <row r="102" spans="1:10" ht="20.25" x14ac:dyDescent="0.3">
      <c r="A102" s="4">
        <v>23</v>
      </c>
      <c r="B102" s="3" t="s">
        <v>928</v>
      </c>
      <c r="C102" s="77">
        <v>15474.9</v>
      </c>
      <c r="D102" s="78">
        <v>580</v>
      </c>
      <c r="E102" s="133">
        <v>9</v>
      </c>
      <c r="F102" s="101">
        <v>33508915.759999998</v>
      </c>
      <c r="H102" s="6">
        <v>630</v>
      </c>
      <c r="I102" s="6">
        <v>32</v>
      </c>
      <c r="J102" s="6">
        <v>3488946.79</v>
      </c>
    </row>
    <row r="103" spans="1:10" ht="20.25" x14ac:dyDescent="0.3">
      <c r="A103" s="4">
        <v>24</v>
      </c>
      <c r="B103" s="3" t="s">
        <v>932</v>
      </c>
      <c r="C103" s="77">
        <v>791.5</v>
      </c>
      <c r="D103" s="78">
        <v>42</v>
      </c>
      <c r="E103" s="133">
        <v>1</v>
      </c>
      <c r="F103" s="101">
        <v>3328825.5</v>
      </c>
      <c r="H103" s="6">
        <v>626.5</v>
      </c>
      <c r="I103" s="6">
        <v>23</v>
      </c>
      <c r="J103" s="6">
        <v>1538879.17</v>
      </c>
    </row>
    <row r="104" spans="1:10" ht="20.25" x14ac:dyDescent="0.3">
      <c r="A104" s="4">
        <v>25</v>
      </c>
      <c r="B104" s="3" t="s">
        <v>931</v>
      </c>
      <c r="C104" s="77">
        <v>910.90000000000009</v>
      </c>
      <c r="D104" s="78">
        <v>39</v>
      </c>
      <c r="E104" s="133">
        <v>2</v>
      </c>
      <c r="F104" s="101">
        <v>5279138.41</v>
      </c>
      <c r="H104" s="6">
        <v>20161.96</v>
      </c>
      <c r="I104" s="6">
        <v>621</v>
      </c>
      <c r="J104" s="6">
        <v>28415186.600000001</v>
      </c>
    </row>
    <row r="105" spans="1:10" ht="20.25" x14ac:dyDescent="0.3">
      <c r="A105" s="4">
        <v>26</v>
      </c>
      <c r="B105" s="3" t="s">
        <v>967</v>
      </c>
      <c r="C105" s="77">
        <v>960.39</v>
      </c>
      <c r="D105" s="78">
        <v>48</v>
      </c>
      <c r="E105" s="133">
        <v>1</v>
      </c>
      <c r="F105" s="101">
        <v>4178956.32</v>
      </c>
      <c r="H105" s="6">
        <v>1573</v>
      </c>
      <c r="I105" s="6">
        <v>68</v>
      </c>
      <c r="J105" s="6">
        <v>5777967.8699999992</v>
      </c>
    </row>
    <row r="106" spans="1:10" ht="20.25" x14ac:dyDescent="0.3">
      <c r="A106" s="4">
        <v>27</v>
      </c>
      <c r="B106" s="3" t="s">
        <v>929</v>
      </c>
      <c r="C106" s="77">
        <v>388.8</v>
      </c>
      <c r="D106" s="78">
        <v>14</v>
      </c>
      <c r="E106" s="133">
        <v>1</v>
      </c>
      <c r="F106" s="101">
        <v>1889236.5</v>
      </c>
      <c r="H106" s="6">
        <v>1266.2</v>
      </c>
      <c r="I106" s="6">
        <v>52</v>
      </c>
      <c r="J106" s="6">
        <v>4715781.71</v>
      </c>
    </row>
    <row r="107" spans="1:10" ht="20.25" x14ac:dyDescent="0.3">
      <c r="A107" s="4">
        <v>28</v>
      </c>
      <c r="B107" s="3" t="s">
        <v>933</v>
      </c>
      <c r="C107" s="77">
        <v>3104.9</v>
      </c>
      <c r="D107" s="78">
        <v>119</v>
      </c>
      <c r="E107" s="133">
        <v>5</v>
      </c>
      <c r="F107" s="101">
        <v>14950249.880000001</v>
      </c>
      <c r="H107" s="6">
        <v>703.5</v>
      </c>
      <c r="I107" s="6">
        <v>36</v>
      </c>
      <c r="J107" s="6">
        <v>2590114.16</v>
      </c>
    </row>
    <row r="108" spans="1:10" ht="20.25" x14ac:dyDescent="0.3">
      <c r="A108" s="4">
        <v>29</v>
      </c>
      <c r="B108" s="3" t="s">
        <v>968</v>
      </c>
      <c r="C108" s="77">
        <v>530.5</v>
      </c>
      <c r="D108" s="78">
        <v>25</v>
      </c>
      <c r="E108" s="133">
        <v>2</v>
      </c>
      <c r="F108" s="101">
        <v>2766932.97</v>
      </c>
      <c r="H108" s="6">
        <v>1217.2</v>
      </c>
      <c r="I108" s="6">
        <v>47</v>
      </c>
      <c r="J108" s="6">
        <v>1456533.11</v>
      </c>
    </row>
    <row r="109" spans="1:10" ht="20.25" x14ac:dyDescent="0.3">
      <c r="A109" s="4">
        <v>30</v>
      </c>
      <c r="B109" s="3" t="s">
        <v>969</v>
      </c>
      <c r="C109" s="77">
        <v>654.5</v>
      </c>
      <c r="D109" s="78">
        <v>19</v>
      </c>
      <c r="E109" s="133">
        <v>1</v>
      </c>
      <c r="F109" s="101">
        <v>2568179.12</v>
      </c>
      <c r="H109" s="6">
        <v>1774</v>
      </c>
      <c r="I109" s="6">
        <v>80</v>
      </c>
      <c r="J109" s="6">
        <v>10290828.25</v>
      </c>
    </row>
    <row r="110" spans="1:10" ht="20.25" x14ac:dyDescent="0.3">
      <c r="A110" s="4">
        <v>31</v>
      </c>
      <c r="B110" s="3" t="s">
        <v>936</v>
      </c>
      <c r="C110" s="77">
        <v>1693.8000000000002</v>
      </c>
      <c r="D110" s="78">
        <v>52</v>
      </c>
      <c r="E110" s="133">
        <v>2</v>
      </c>
      <c r="F110" s="101">
        <v>4165100.4399999995</v>
      </c>
      <c r="H110" s="6">
        <v>609</v>
      </c>
      <c r="I110" s="6">
        <v>31</v>
      </c>
      <c r="J110" s="6">
        <v>3013803.8600000003</v>
      </c>
    </row>
    <row r="111" spans="1:10" ht="20.25" x14ac:dyDescent="0.3">
      <c r="A111" s="4">
        <v>32</v>
      </c>
      <c r="B111" s="3" t="s">
        <v>970</v>
      </c>
      <c r="C111" s="77">
        <v>948.2</v>
      </c>
      <c r="D111" s="78">
        <v>43</v>
      </c>
      <c r="E111" s="133">
        <v>1</v>
      </c>
      <c r="F111" s="101">
        <v>4290230.8800000008</v>
      </c>
      <c r="H111" s="6">
        <v>616</v>
      </c>
      <c r="I111" s="6">
        <v>21</v>
      </c>
      <c r="J111" s="6">
        <v>2036502</v>
      </c>
    </row>
    <row r="112" spans="1:10" ht="20.25" x14ac:dyDescent="0.3">
      <c r="A112" s="4">
        <v>33</v>
      </c>
      <c r="B112" s="3" t="s">
        <v>937</v>
      </c>
      <c r="C112" s="77">
        <v>779.2</v>
      </c>
      <c r="D112" s="78">
        <v>33</v>
      </c>
      <c r="E112" s="133">
        <v>1</v>
      </c>
      <c r="F112" s="101">
        <v>2903320.8000000003</v>
      </c>
      <c r="H112" s="6">
        <v>772.9</v>
      </c>
      <c r="I112" s="6">
        <v>32</v>
      </c>
      <c r="J112" s="6">
        <v>3592598.4</v>
      </c>
    </row>
    <row r="113" spans="1:15" ht="20.25" x14ac:dyDescent="0.3">
      <c r="A113" s="4">
        <v>34</v>
      </c>
      <c r="B113" s="3" t="s">
        <v>939</v>
      </c>
      <c r="C113" s="77">
        <v>1015.6</v>
      </c>
      <c r="D113" s="78">
        <v>47</v>
      </c>
      <c r="E113" s="133">
        <v>1</v>
      </c>
      <c r="F113" s="101">
        <v>3826397.3000000003</v>
      </c>
      <c r="H113" s="6">
        <v>976.3</v>
      </c>
      <c r="I113" s="6">
        <v>36</v>
      </c>
      <c r="J113" s="6">
        <v>4454195.3999999994</v>
      </c>
    </row>
    <row r="114" spans="1:15" ht="20.25" x14ac:dyDescent="0.3">
      <c r="A114" s="4">
        <v>35</v>
      </c>
      <c r="B114" s="3" t="s">
        <v>945</v>
      </c>
      <c r="C114" s="77">
        <v>11870.84</v>
      </c>
      <c r="D114" s="78">
        <v>424</v>
      </c>
      <c r="E114" s="133">
        <v>2</v>
      </c>
      <c r="F114" s="101">
        <v>11567413.620000001</v>
      </c>
      <c r="H114" s="6">
        <v>781.7</v>
      </c>
      <c r="I114" s="6">
        <v>25</v>
      </c>
      <c r="J114" s="6">
        <v>4839701.7600000007</v>
      </c>
    </row>
    <row r="115" spans="1:15" ht="20.25" x14ac:dyDescent="0.3">
      <c r="A115" s="4">
        <v>36</v>
      </c>
      <c r="B115" s="3" t="s">
        <v>971</v>
      </c>
      <c r="C115" s="77">
        <v>1431.7</v>
      </c>
      <c r="D115" s="78">
        <v>50</v>
      </c>
      <c r="E115" s="133">
        <v>2</v>
      </c>
      <c r="F115" s="101">
        <v>5796065.7599999998</v>
      </c>
      <c r="H115" s="6">
        <v>792.9</v>
      </c>
      <c r="I115" s="6">
        <v>42</v>
      </c>
      <c r="J115" s="6">
        <v>3231458.3</v>
      </c>
      <c r="K115" s="16"/>
      <c r="L115" s="16"/>
      <c r="M115" s="16"/>
      <c r="N115" s="16"/>
      <c r="O115" s="16"/>
    </row>
    <row r="116" spans="1:15" ht="20.25" x14ac:dyDescent="0.3">
      <c r="A116" s="4">
        <v>37</v>
      </c>
      <c r="B116" s="3" t="s">
        <v>943</v>
      </c>
      <c r="C116" s="77">
        <v>783.2</v>
      </c>
      <c r="D116" s="78">
        <v>21</v>
      </c>
      <c r="E116" s="133">
        <v>1</v>
      </c>
      <c r="F116" s="101">
        <v>3707032</v>
      </c>
      <c r="H116" s="6">
        <v>792.9</v>
      </c>
      <c r="I116" s="6">
        <v>42</v>
      </c>
      <c r="J116" s="6">
        <v>3231458.3</v>
      </c>
    </row>
    <row r="117" spans="1:15" ht="20.25" x14ac:dyDescent="0.3">
      <c r="A117" s="4">
        <v>38</v>
      </c>
      <c r="B117" s="3" t="s">
        <v>940</v>
      </c>
      <c r="C117" s="77">
        <v>5924.49</v>
      </c>
      <c r="D117" s="78">
        <v>259</v>
      </c>
      <c r="E117" s="133">
        <v>3</v>
      </c>
      <c r="F117" s="101">
        <v>12199052.439999999</v>
      </c>
      <c r="H117" s="6">
        <v>9443</v>
      </c>
      <c r="I117" s="6">
        <v>371</v>
      </c>
      <c r="J117" s="6">
        <v>16849360.93</v>
      </c>
    </row>
    <row r="118" spans="1:15" ht="20.25" x14ac:dyDescent="0.3">
      <c r="A118" s="4">
        <v>39</v>
      </c>
      <c r="B118" s="3" t="s">
        <v>941</v>
      </c>
      <c r="C118" s="77">
        <v>8998.25</v>
      </c>
      <c r="D118" s="78">
        <v>261</v>
      </c>
      <c r="E118" s="133">
        <v>3</v>
      </c>
      <c r="F118" s="101">
        <v>11675176.630000001</v>
      </c>
      <c r="H118" s="6">
        <v>2168.41</v>
      </c>
      <c r="I118" s="6">
        <v>62</v>
      </c>
      <c r="J118" s="6">
        <v>3799734.79</v>
      </c>
    </row>
    <row r="119" spans="1:15" ht="20.25" x14ac:dyDescent="0.3">
      <c r="A119" s="4">
        <v>40</v>
      </c>
      <c r="B119" s="3" t="s">
        <v>942</v>
      </c>
      <c r="C119" s="77">
        <v>485.3</v>
      </c>
      <c r="D119" s="78">
        <v>24</v>
      </c>
      <c r="E119" s="133">
        <v>1</v>
      </c>
      <c r="F119" s="101">
        <v>2311215.4500000002</v>
      </c>
      <c r="H119" s="6">
        <v>780.3</v>
      </c>
      <c r="I119" s="6">
        <v>24</v>
      </c>
      <c r="J119" s="6">
        <v>2311215.4500000002</v>
      </c>
    </row>
    <row r="120" spans="1:15" ht="20.25" x14ac:dyDescent="0.3">
      <c r="A120" s="4">
        <v>41</v>
      </c>
      <c r="B120" s="3" t="s">
        <v>944</v>
      </c>
      <c r="C120" s="77">
        <v>4891.9000000000005</v>
      </c>
      <c r="D120" s="78">
        <v>172</v>
      </c>
      <c r="E120" s="133">
        <v>5</v>
      </c>
      <c r="F120" s="101">
        <v>16487311.32</v>
      </c>
      <c r="H120" s="6">
        <v>540.79999999999995</v>
      </c>
      <c r="I120" s="6">
        <v>15</v>
      </c>
      <c r="J120" s="6">
        <v>3215375.5700000003</v>
      </c>
    </row>
    <row r="121" spans="1:15" ht="20.25" x14ac:dyDescent="0.3">
      <c r="A121" s="4">
        <v>42</v>
      </c>
      <c r="B121" s="3" t="s">
        <v>946</v>
      </c>
      <c r="C121" s="77">
        <v>4675.3</v>
      </c>
      <c r="D121" s="78">
        <v>143</v>
      </c>
      <c r="E121" s="133">
        <v>3</v>
      </c>
      <c r="F121" s="101">
        <v>8165392.25</v>
      </c>
      <c r="H121" s="6">
        <v>2550.6999999999998</v>
      </c>
      <c r="I121" s="6">
        <v>119</v>
      </c>
      <c r="J121" s="6">
        <v>10672314.84</v>
      </c>
    </row>
    <row r="122" spans="1:15" ht="20.25" x14ac:dyDescent="0.3">
      <c r="A122" s="4">
        <v>43</v>
      </c>
      <c r="B122" s="3" t="s">
        <v>972</v>
      </c>
      <c r="C122" s="77">
        <v>545.34</v>
      </c>
      <c r="D122" s="78">
        <v>22</v>
      </c>
      <c r="E122" s="133">
        <v>1</v>
      </c>
      <c r="F122" s="101">
        <v>1799918.22</v>
      </c>
      <c r="H122" s="6">
        <v>5727.7</v>
      </c>
      <c r="I122" s="6">
        <v>188</v>
      </c>
      <c r="J122" s="6">
        <v>6053192.4699999997</v>
      </c>
    </row>
    <row r="123" spans="1:15" ht="20.25" x14ac:dyDescent="0.3">
      <c r="A123" s="4">
        <v>44</v>
      </c>
      <c r="B123" s="3" t="s">
        <v>973</v>
      </c>
      <c r="C123" s="77">
        <v>2138.8000000000002</v>
      </c>
      <c r="D123" s="78">
        <v>56</v>
      </c>
      <c r="E123" s="133">
        <v>1</v>
      </c>
      <c r="F123" s="101">
        <v>3974620.0799999996</v>
      </c>
      <c r="H123" s="6">
        <v>1040.7</v>
      </c>
      <c r="I123" s="6">
        <v>44</v>
      </c>
      <c r="J123" s="6">
        <v>4804056</v>
      </c>
    </row>
    <row r="124" spans="1:15" ht="20.25" x14ac:dyDescent="0.3">
      <c r="A124" s="4">
        <v>45</v>
      </c>
      <c r="B124" s="3" t="s">
        <v>948</v>
      </c>
      <c r="C124" s="77">
        <v>1367.9</v>
      </c>
      <c r="D124" s="78">
        <v>64</v>
      </c>
      <c r="E124" s="133">
        <v>1</v>
      </c>
      <c r="F124" s="101">
        <v>2957808</v>
      </c>
      <c r="H124" s="6">
        <v>3554.5</v>
      </c>
      <c r="I124" s="6">
        <v>145</v>
      </c>
      <c r="J124" s="6">
        <v>7284801.9000000004</v>
      </c>
    </row>
    <row r="125" spans="1:15" ht="20.25" x14ac:dyDescent="0.3">
      <c r="A125" s="4">
        <v>46</v>
      </c>
      <c r="B125" s="3" t="s">
        <v>949</v>
      </c>
      <c r="C125" s="77">
        <v>2208.39</v>
      </c>
      <c r="D125" s="78">
        <v>74</v>
      </c>
      <c r="E125" s="133">
        <v>1</v>
      </c>
      <c r="F125" s="101">
        <v>4651054.3499999996</v>
      </c>
      <c r="H125" s="6">
        <v>2640.94</v>
      </c>
      <c r="I125" s="6">
        <v>88</v>
      </c>
      <c r="J125" s="6">
        <v>4011881.02</v>
      </c>
    </row>
    <row r="126" spans="1:15" ht="20.25" x14ac:dyDescent="0.3">
      <c r="A126" s="4">
        <v>47</v>
      </c>
      <c r="B126" s="3" t="s">
        <v>974</v>
      </c>
      <c r="C126" s="77">
        <v>1501</v>
      </c>
      <c r="D126" s="78">
        <v>32</v>
      </c>
      <c r="E126" s="133">
        <v>1</v>
      </c>
      <c r="F126" s="101">
        <v>3145116.58</v>
      </c>
      <c r="H126" s="6">
        <v>4173.7</v>
      </c>
      <c r="I126" s="6">
        <v>171</v>
      </c>
      <c r="J126" s="6">
        <v>6026117.5699999994</v>
      </c>
    </row>
    <row r="127" spans="1:15" ht="20.25" x14ac:dyDescent="0.3">
      <c r="A127" s="4">
        <v>48</v>
      </c>
      <c r="B127" s="3" t="s">
        <v>950</v>
      </c>
      <c r="C127" s="77">
        <v>13728.17</v>
      </c>
      <c r="D127" s="78">
        <v>453</v>
      </c>
      <c r="E127" s="133">
        <v>3</v>
      </c>
      <c r="F127" s="101">
        <v>17099543.050000001</v>
      </c>
      <c r="H127" s="6">
        <v>8514.9</v>
      </c>
      <c r="I127" s="6">
        <v>327</v>
      </c>
      <c r="J127" s="6">
        <v>12459674.15</v>
      </c>
    </row>
    <row r="128" spans="1:15" ht="20.25" x14ac:dyDescent="0.3">
      <c r="A128" s="4">
        <v>49</v>
      </c>
      <c r="B128" s="3" t="s">
        <v>951</v>
      </c>
      <c r="C128" s="77">
        <v>4664.58</v>
      </c>
      <c r="D128" s="78">
        <v>158</v>
      </c>
      <c r="E128" s="133">
        <v>3</v>
      </c>
      <c r="F128" s="101">
        <v>11170130.879999999</v>
      </c>
      <c r="H128" s="6">
        <v>14680.3</v>
      </c>
      <c r="I128" s="6">
        <v>685</v>
      </c>
      <c r="J128" s="6">
        <v>13993215.270000001</v>
      </c>
    </row>
    <row r="129" spans="1:10" ht="20.25" x14ac:dyDescent="0.3">
      <c r="A129" s="4">
        <v>50</v>
      </c>
      <c r="B129" s="3" t="s">
        <v>953</v>
      </c>
      <c r="C129" s="77">
        <v>708.1</v>
      </c>
      <c r="D129" s="78">
        <v>43</v>
      </c>
      <c r="E129" s="133">
        <v>1</v>
      </c>
      <c r="F129" s="101">
        <v>3103317.94</v>
      </c>
      <c r="H129" s="6">
        <v>4947</v>
      </c>
      <c r="I129" s="6">
        <v>164</v>
      </c>
      <c r="J129" s="6">
        <v>9221698.8000000007</v>
      </c>
    </row>
    <row r="130" spans="1:10" ht="20.25" x14ac:dyDescent="0.3">
      <c r="A130" s="4">
        <v>51</v>
      </c>
      <c r="B130" s="3" t="s">
        <v>975</v>
      </c>
      <c r="C130" s="77">
        <v>788.3</v>
      </c>
      <c r="D130" s="78">
        <v>20</v>
      </c>
      <c r="E130" s="133">
        <v>1</v>
      </c>
      <c r="F130" s="101">
        <v>3655260</v>
      </c>
      <c r="H130" s="6">
        <v>726</v>
      </c>
      <c r="I130" s="6">
        <v>28</v>
      </c>
      <c r="J130" s="6">
        <v>3623929.1999999997</v>
      </c>
    </row>
    <row r="131" spans="1:10" ht="20.25" x14ac:dyDescent="0.3">
      <c r="A131" s="4">
        <v>52</v>
      </c>
      <c r="B131" s="3" t="s">
        <v>976</v>
      </c>
      <c r="C131" s="77">
        <v>707.1</v>
      </c>
      <c r="D131" s="78">
        <v>32</v>
      </c>
      <c r="E131" s="133">
        <v>1</v>
      </c>
      <c r="F131" s="101">
        <v>3080862</v>
      </c>
      <c r="H131" s="6">
        <v>675.9</v>
      </c>
      <c r="I131" s="6">
        <v>32</v>
      </c>
      <c r="J131" s="6">
        <v>3080862</v>
      </c>
    </row>
    <row r="132" spans="1:10" ht="20.25" x14ac:dyDescent="0.3">
      <c r="A132" s="4">
        <v>53</v>
      </c>
      <c r="B132" s="3" t="s">
        <v>955</v>
      </c>
      <c r="C132" s="77">
        <v>2751.2</v>
      </c>
      <c r="D132" s="78">
        <v>78</v>
      </c>
      <c r="E132" s="133">
        <v>4</v>
      </c>
      <c r="F132" s="101">
        <v>9374338.0300000012</v>
      </c>
      <c r="H132" s="6">
        <v>611.5</v>
      </c>
      <c r="I132" s="6">
        <v>28</v>
      </c>
      <c r="J132" s="6">
        <v>2610892.59</v>
      </c>
    </row>
    <row r="133" spans="1:10" ht="20.25" x14ac:dyDescent="0.3">
      <c r="A133" s="4">
        <v>54</v>
      </c>
      <c r="B133" s="3" t="s">
        <v>977</v>
      </c>
      <c r="C133" s="77">
        <v>834.7</v>
      </c>
      <c r="D133" s="78">
        <v>54</v>
      </c>
      <c r="E133" s="133">
        <v>1</v>
      </c>
      <c r="F133" s="101">
        <v>4275483</v>
      </c>
      <c r="H133" s="6">
        <v>789</v>
      </c>
      <c r="I133" s="6">
        <v>64</v>
      </c>
      <c r="J133" s="6">
        <v>3026194.08</v>
      </c>
    </row>
    <row r="134" spans="1:10" ht="20.25" x14ac:dyDescent="0.3">
      <c r="A134" s="4">
        <v>55</v>
      </c>
      <c r="B134" s="3" t="s">
        <v>957</v>
      </c>
      <c r="C134" s="77">
        <v>350.9</v>
      </c>
      <c r="D134" s="78">
        <v>18</v>
      </c>
      <c r="E134" s="133">
        <v>1</v>
      </c>
      <c r="F134" s="101">
        <v>1403643.06</v>
      </c>
      <c r="H134" s="6">
        <v>351</v>
      </c>
      <c r="I134" s="6">
        <v>18</v>
      </c>
      <c r="J134" s="6">
        <v>3600600</v>
      </c>
    </row>
    <row r="135" spans="1:10" ht="20.25" x14ac:dyDescent="0.3">
      <c r="A135" s="4">
        <v>56</v>
      </c>
      <c r="B135" s="3" t="s">
        <v>959</v>
      </c>
      <c r="C135" s="77">
        <v>5073.4000000000005</v>
      </c>
      <c r="D135" s="78">
        <v>189</v>
      </c>
      <c r="E135" s="133">
        <v>5</v>
      </c>
      <c r="F135" s="101">
        <v>11001949.310000001</v>
      </c>
      <c r="H135" s="6">
        <v>351</v>
      </c>
      <c r="I135" s="6">
        <v>18</v>
      </c>
      <c r="J135" s="6">
        <v>3600600</v>
      </c>
    </row>
    <row r="136" spans="1:10" ht="20.25" x14ac:dyDescent="0.3">
      <c r="A136" s="4">
        <v>57</v>
      </c>
      <c r="B136" s="3" t="s">
        <v>960</v>
      </c>
      <c r="C136" s="77">
        <v>813.6</v>
      </c>
      <c r="D136" s="78">
        <v>16</v>
      </c>
      <c r="E136" s="133">
        <v>1</v>
      </c>
      <c r="F136" s="101">
        <v>3498600</v>
      </c>
      <c r="H136" s="6">
        <v>626</v>
      </c>
      <c r="I136" s="6">
        <v>23</v>
      </c>
      <c r="J136" s="6">
        <v>1917600</v>
      </c>
    </row>
    <row r="137" spans="1:10" ht="20.25" x14ac:dyDescent="0.3">
      <c r="A137" s="4">
        <v>58</v>
      </c>
      <c r="B137" s="3" t="s">
        <v>978</v>
      </c>
      <c r="C137" s="77">
        <v>791.9</v>
      </c>
      <c r="D137" s="78">
        <v>22</v>
      </c>
      <c r="E137" s="155">
        <v>1</v>
      </c>
      <c r="F137" s="101">
        <v>3451696.55</v>
      </c>
      <c r="H137" s="6">
        <v>4977.8</v>
      </c>
      <c r="I137" s="6">
        <v>158</v>
      </c>
      <c r="J137" s="6">
        <v>14392200</v>
      </c>
    </row>
    <row r="138" spans="1:10" ht="20.25" x14ac:dyDescent="0.3">
      <c r="A138" s="3" t="s">
        <v>768</v>
      </c>
      <c r="B138" s="12"/>
      <c r="C138" s="77">
        <f>SUM(C139:C196)</f>
        <v>513214.16000000003</v>
      </c>
      <c r="D138" s="78">
        <f>SUM(D139:D196)</f>
        <v>19547</v>
      </c>
      <c r="E138" s="154">
        <f>SUM(E139:E196)</f>
        <v>214</v>
      </c>
      <c r="F138" s="77">
        <f>SUM(F139:F196)</f>
        <v>794968208.19000018</v>
      </c>
      <c r="H138" s="6">
        <v>715.9</v>
      </c>
      <c r="I138" s="6">
        <v>16</v>
      </c>
      <c r="J138" s="6">
        <v>3396600</v>
      </c>
    </row>
    <row r="139" spans="1:10" ht="20.25" x14ac:dyDescent="0.3">
      <c r="A139" s="4">
        <v>1</v>
      </c>
      <c r="B139" s="3" t="s">
        <v>999</v>
      </c>
      <c r="C139" s="77">
        <v>211302.88999999998</v>
      </c>
      <c r="D139" s="78">
        <v>8426</v>
      </c>
      <c r="E139" s="155">
        <v>61</v>
      </c>
      <c r="F139" s="101">
        <v>231389035.93000004</v>
      </c>
      <c r="H139" s="6">
        <v>209231.22999999995</v>
      </c>
      <c r="I139" s="6">
        <v>8552</v>
      </c>
      <c r="J139" s="6">
        <v>216853215.43000004</v>
      </c>
    </row>
    <row r="140" spans="1:10" ht="20.25" x14ac:dyDescent="0.3">
      <c r="A140" s="4">
        <v>2</v>
      </c>
      <c r="B140" s="3" t="s">
        <v>905</v>
      </c>
      <c r="C140" s="77">
        <v>14993.8</v>
      </c>
      <c r="D140" s="78">
        <v>772</v>
      </c>
      <c r="E140" s="133">
        <v>14</v>
      </c>
      <c r="F140" s="101">
        <v>44764760.649999999</v>
      </c>
      <c r="H140" s="6">
        <v>15519.199999999999</v>
      </c>
      <c r="I140" s="6">
        <v>787</v>
      </c>
      <c r="J140" s="6">
        <v>45048314.759999998</v>
      </c>
    </row>
    <row r="141" spans="1:10" ht="20.25" x14ac:dyDescent="0.3">
      <c r="A141" s="4">
        <v>3</v>
      </c>
      <c r="B141" s="3" t="s">
        <v>906</v>
      </c>
      <c r="C141" s="77">
        <v>50994.9</v>
      </c>
      <c r="D141" s="78">
        <v>2143</v>
      </c>
      <c r="E141" s="133">
        <v>26</v>
      </c>
      <c r="F141" s="101">
        <v>87295266.429999992</v>
      </c>
      <c r="H141" s="6">
        <v>55253.150000000009</v>
      </c>
      <c r="I141" s="6">
        <v>2316</v>
      </c>
      <c r="J141" s="6">
        <v>91626897.959999993</v>
      </c>
    </row>
    <row r="142" spans="1:10" ht="20.25" x14ac:dyDescent="0.3">
      <c r="A142" s="4">
        <v>4</v>
      </c>
      <c r="B142" s="104" t="s">
        <v>907</v>
      </c>
      <c r="C142" s="77">
        <v>28484.610000000004</v>
      </c>
      <c r="D142" s="78">
        <v>850</v>
      </c>
      <c r="E142" s="133">
        <v>11</v>
      </c>
      <c r="F142" s="101">
        <v>45011140.729999997</v>
      </c>
      <c r="H142" s="6">
        <v>26773.05</v>
      </c>
      <c r="I142" s="6">
        <v>869</v>
      </c>
      <c r="J142" s="6">
        <v>44137673.120000005</v>
      </c>
    </row>
    <row r="143" spans="1:10" ht="20.25" x14ac:dyDescent="0.3">
      <c r="A143" s="4">
        <v>5</v>
      </c>
      <c r="B143" s="3" t="s">
        <v>908</v>
      </c>
      <c r="C143" s="77">
        <v>13712.7</v>
      </c>
      <c r="D143" s="78">
        <v>336</v>
      </c>
      <c r="E143" s="133">
        <v>2</v>
      </c>
      <c r="F143" s="101">
        <v>21856214.649999999</v>
      </c>
      <c r="H143" s="6">
        <v>13712.7</v>
      </c>
      <c r="I143" s="6">
        <v>336</v>
      </c>
      <c r="J143" s="6">
        <v>21856214.650000002</v>
      </c>
    </row>
    <row r="144" spans="1:10" ht="20.25" x14ac:dyDescent="0.3">
      <c r="A144" s="4">
        <v>6</v>
      </c>
      <c r="B144" s="3" t="s">
        <v>909</v>
      </c>
      <c r="C144" s="77">
        <v>44345.180000000008</v>
      </c>
      <c r="D144" s="78">
        <v>1912</v>
      </c>
      <c r="E144" s="133">
        <v>8</v>
      </c>
      <c r="F144" s="101">
        <v>51599396.32</v>
      </c>
      <c r="H144" s="6">
        <v>45913.430000000008</v>
      </c>
      <c r="I144" s="6">
        <v>1959</v>
      </c>
      <c r="J144" s="6">
        <v>51679396.32</v>
      </c>
    </row>
    <row r="145" spans="1:10" ht="20.25" x14ac:dyDescent="0.3">
      <c r="A145" s="4">
        <v>7</v>
      </c>
      <c r="B145" s="3" t="s">
        <v>910</v>
      </c>
      <c r="C145" s="77">
        <v>6151.9</v>
      </c>
      <c r="D145" s="78">
        <v>160</v>
      </c>
      <c r="E145" s="133">
        <v>2</v>
      </c>
      <c r="F145" s="101">
        <v>5663822.2999999998</v>
      </c>
      <c r="H145" s="6">
        <v>11170.900000000001</v>
      </c>
      <c r="I145" s="6">
        <v>305</v>
      </c>
      <c r="J145" s="6">
        <v>9890638.1399999987</v>
      </c>
    </row>
    <row r="146" spans="1:10" ht="20.25" x14ac:dyDescent="0.3">
      <c r="A146" s="4">
        <v>8</v>
      </c>
      <c r="B146" s="3" t="s">
        <v>911</v>
      </c>
      <c r="C146" s="77">
        <v>4408.6000000000004</v>
      </c>
      <c r="D146" s="78">
        <v>120</v>
      </c>
      <c r="E146" s="133">
        <v>2</v>
      </c>
      <c r="F146" s="101">
        <v>11422752.699999999</v>
      </c>
      <c r="H146" s="6">
        <v>4408.6000000000004</v>
      </c>
      <c r="I146" s="6">
        <v>120</v>
      </c>
      <c r="J146" s="6">
        <v>11422752.699999999</v>
      </c>
    </row>
    <row r="147" spans="1:10" ht="20.25" x14ac:dyDescent="0.3">
      <c r="A147" s="4">
        <v>9</v>
      </c>
      <c r="B147" s="3" t="s">
        <v>912</v>
      </c>
      <c r="C147" s="77">
        <v>6442.65</v>
      </c>
      <c r="D147" s="78">
        <v>188</v>
      </c>
      <c r="E147" s="133">
        <v>2</v>
      </c>
      <c r="F147" s="101">
        <v>8756823</v>
      </c>
      <c r="H147" s="6">
        <v>8897</v>
      </c>
      <c r="I147" s="6">
        <v>313</v>
      </c>
      <c r="J147" s="6">
        <v>9642280</v>
      </c>
    </row>
    <row r="148" spans="1:10" ht="20.25" x14ac:dyDescent="0.3">
      <c r="A148" s="4">
        <v>10</v>
      </c>
      <c r="B148" s="3" t="s">
        <v>913</v>
      </c>
      <c r="C148" s="77">
        <v>1801.1</v>
      </c>
      <c r="D148" s="78">
        <v>15</v>
      </c>
      <c r="E148" s="133">
        <v>1</v>
      </c>
      <c r="F148" s="101">
        <v>4369866.08</v>
      </c>
      <c r="H148" s="6">
        <v>804.5</v>
      </c>
      <c r="I148" s="6">
        <v>47</v>
      </c>
      <c r="J148" s="6">
        <v>4369866.08</v>
      </c>
    </row>
    <row r="149" spans="1:10" ht="20.25" x14ac:dyDescent="0.3">
      <c r="A149" s="4">
        <v>11</v>
      </c>
      <c r="B149" s="3" t="s">
        <v>914</v>
      </c>
      <c r="C149" s="77">
        <v>1070.8</v>
      </c>
      <c r="D149" s="78">
        <v>42</v>
      </c>
      <c r="E149" s="133">
        <v>1</v>
      </c>
      <c r="F149" s="101">
        <v>2936950.21</v>
      </c>
      <c r="H149" s="6">
        <v>1070.8</v>
      </c>
      <c r="I149" s="6">
        <v>42</v>
      </c>
      <c r="J149" s="6">
        <v>2936950.21</v>
      </c>
    </row>
    <row r="150" spans="1:10" ht="20.25" x14ac:dyDescent="0.3">
      <c r="A150" s="4">
        <v>12</v>
      </c>
      <c r="B150" s="3" t="s">
        <v>915</v>
      </c>
      <c r="C150" s="77">
        <v>1547.1</v>
      </c>
      <c r="D150" s="78">
        <v>72</v>
      </c>
      <c r="E150" s="133">
        <v>2</v>
      </c>
      <c r="F150" s="101">
        <v>2773728.46</v>
      </c>
      <c r="H150" s="6">
        <v>1426.8</v>
      </c>
      <c r="I150" s="6">
        <v>72</v>
      </c>
      <c r="J150" s="6">
        <v>2773728.46</v>
      </c>
    </row>
    <row r="151" spans="1:10" ht="20.25" x14ac:dyDescent="0.3">
      <c r="A151" s="4">
        <v>13</v>
      </c>
      <c r="B151" s="3" t="s">
        <v>916</v>
      </c>
      <c r="C151" s="77">
        <v>455.7</v>
      </c>
      <c r="D151" s="78">
        <v>26</v>
      </c>
      <c r="E151" s="133">
        <v>1</v>
      </c>
      <c r="F151" s="101">
        <v>2158336.3499999996</v>
      </c>
      <c r="H151" s="6">
        <v>456.6</v>
      </c>
      <c r="I151" s="6">
        <v>26</v>
      </c>
      <c r="J151" s="6">
        <v>2158336.3499999996</v>
      </c>
    </row>
    <row r="152" spans="1:10" ht="20.25" x14ac:dyDescent="0.3">
      <c r="A152" s="4">
        <v>14</v>
      </c>
      <c r="B152" s="3" t="s">
        <v>917</v>
      </c>
      <c r="C152" s="77">
        <v>3156.2</v>
      </c>
      <c r="D152" s="78">
        <v>156</v>
      </c>
      <c r="E152" s="133">
        <v>1</v>
      </c>
      <c r="F152" s="101">
        <v>2000000</v>
      </c>
      <c r="H152" s="6">
        <v>3374.6</v>
      </c>
      <c r="I152" s="6">
        <v>144</v>
      </c>
      <c r="J152" s="6">
        <v>2000000</v>
      </c>
    </row>
    <row r="153" spans="1:10" ht="20.25" x14ac:dyDescent="0.3">
      <c r="A153" s="4">
        <v>15</v>
      </c>
      <c r="B153" s="3" t="s">
        <v>918</v>
      </c>
      <c r="C153" s="77">
        <v>11855.599999999999</v>
      </c>
      <c r="D153" s="78">
        <v>299</v>
      </c>
      <c r="E153" s="133">
        <v>7</v>
      </c>
      <c r="F153" s="101">
        <v>23342011.919999998</v>
      </c>
      <c r="H153" s="6">
        <v>13638.6</v>
      </c>
      <c r="I153" s="6">
        <v>299</v>
      </c>
      <c r="J153" s="6">
        <v>23342011.919999998</v>
      </c>
    </row>
    <row r="154" spans="1:10" ht="20.25" x14ac:dyDescent="0.3">
      <c r="A154" s="4">
        <v>16</v>
      </c>
      <c r="B154" s="3" t="s">
        <v>919</v>
      </c>
      <c r="C154" s="77">
        <v>5829.2</v>
      </c>
      <c r="D154" s="78">
        <v>215</v>
      </c>
      <c r="E154" s="133">
        <v>2</v>
      </c>
      <c r="F154" s="101">
        <v>12591900</v>
      </c>
      <c r="H154" s="6">
        <v>5759.0999999999995</v>
      </c>
      <c r="I154" s="6">
        <v>215</v>
      </c>
      <c r="J154" s="6">
        <v>12591900</v>
      </c>
    </row>
    <row r="155" spans="1:10" ht="20.25" x14ac:dyDescent="0.3">
      <c r="A155" s="4">
        <v>17</v>
      </c>
      <c r="B155" s="3" t="s">
        <v>920</v>
      </c>
      <c r="C155" s="77">
        <v>396.2</v>
      </c>
      <c r="D155" s="78">
        <v>21</v>
      </c>
      <c r="E155" s="133">
        <v>1</v>
      </c>
      <c r="F155" s="101">
        <v>1724820</v>
      </c>
      <c r="H155" s="6">
        <v>396.2</v>
      </c>
      <c r="I155" s="6">
        <v>21</v>
      </c>
      <c r="J155" s="6">
        <v>1724820</v>
      </c>
    </row>
    <row r="156" spans="1:10" ht="20.25" x14ac:dyDescent="0.3">
      <c r="A156" s="4">
        <v>18</v>
      </c>
      <c r="B156" s="3" t="s">
        <v>921</v>
      </c>
      <c r="C156" s="77">
        <v>1011.8</v>
      </c>
      <c r="D156" s="78">
        <v>26</v>
      </c>
      <c r="E156" s="133">
        <v>1</v>
      </c>
      <c r="F156" s="101">
        <v>1739107.3499999999</v>
      </c>
      <c r="H156" s="6">
        <v>1011.8</v>
      </c>
      <c r="I156" s="6">
        <v>26</v>
      </c>
      <c r="J156" s="6">
        <v>1739107.3499999999</v>
      </c>
    </row>
    <row r="157" spans="1:10" ht="20.25" x14ac:dyDescent="0.3">
      <c r="A157" s="4">
        <v>19</v>
      </c>
      <c r="B157" s="3" t="s">
        <v>922</v>
      </c>
      <c r="C157" s="77">
        <v>594.20000000000005</v>
      </c>
      <c r="D157" s="78">
        <v>23</v>
      </c>
      <c r="E157" s="133">
        <v>1</v>
      </c>
      <c r="F157" s="101">
        <v>3373804.98</v>
      </c>
      <c r="H157" s="6">
        <v>594.20000000000005</v>
      </c>
      <c r="I157" s="6">
        <v>23</v>
      </c>
      <c r="J157" s="6">
        <v>3373804.98</v>
      </c>
    </row>
    <row r="158" spans="1:10" ht="20.25" x14ac:dyDescent="0.3">
      <c r="A158" s="4">
        <v>20</v>
      </c>
      <c r="B158" s="3" t="s">
        <v>923</v>
      </c>
      <c r="C158" s="77">
        <v>1532.1</v>
      </c>
      <c r="D158" s="78">
        <v>39</v>
      </c>
      <c r="E158" s="133">
        <v>2</v>
      </c>
      <c r="F158" s="101">
        <v>3916350</v>
      </c>
      <c r="H158" s="6">
        <v>906.9</v>
      </c>
      <c r="I158" s="6">
        <v>32</v>
      </c>
      <c r="J158" s="6">
        <v>3916350</v>
      </c>
    </row>
    <row r="159" spans="1:10" ht="20.25" x14ac:dyDescent="0.3">
      <c r="A159" s="4">
        <v>21</v>
      </c>
      <c r="B159" s="3" t="s">
        <v>924</v>
      </c>
      <c r="C159" s="77">
        <v>2184</v>
      </c>
      <c r="D159" s="78">
        <v>57</v>
      </c>
      <c r="E159" s="133">
        <v>2</v>
      </c>
      <c r="F159" s="101">
        <v>3516578.96</v>
      </c>
      <c r="H159" s="6">
        <v>2184</v>
      </c>
      <c r="I159" s="6">
        <v>57</v>
      </c>
      <c r="J159" s="6">
        <v>3516578.96</v>
      </c>
    </row>
    <row r="160" spans="1:10" ht="20.25" x14ac:dyDescent="0.3">
      <c r="A160" s="4">
        <v>22</v>
      </c>
      <c r="B160" s="3" t="s">
        <v>925</v>
      </c>
      <c r="C160" s="77">
        <v>1069.5</v>
      </c>
      <c r="D160" s="78">
        <v>39</v>
      </c>
      <c r="E160" s="133">
        <v>1</v>
      </c>
      <c r="F160" s="101">
        <v>3598749.4899999998</v>
      </c>
      <c r="H160" s="6">
        <v>1069.5</v>
      </c>
      <c r="I160" s="6">
        <v>39</v>
      </c>
      <c r="J160" s="6">
        <v>3598749.4899999998</v>
      </c>
    </row>
    <row r="161" spans="1:10" ht="20.25" x14ac:dyDescent="0.3">
      <c r="A161" s="4">
        <v>23</v>
      </c>
      <c r="B161" s="3" t="s">
        <v>926</v>
      </c>
      <c r="C161" s="77">
        <v>630</v>
      </c>
      <c r="D161" s="78">
        <v>32</v>
      </c>
      <c r="E161" s="133">
        <v>1</v>
      </c>
      <c r="F161" s="101">
        <v>1925593.0499999998</v>
      </c>
      <c r="H161" s="6">
        <v>630</v>
      </c>
      <c r="I161" s="6">
        <v>32</v>
      </c>
      <c r="J161" s="6">
        <v>3488946.79</v>
      </c>
    </row>
    <row r="162" spans="1:10" ht="20.25" x14ac:dyDescent="0.3">
      <c r="A162" s="4">
        <v>24</v>
      </c>
      <c r="B162" s="3" t="s">
        <v>927</v>
      </c>
      <c r="C162" s="77">
        <v>626.5</v>
      </c>
      <c r="D162" s="78">
        <v>23</v>
      </c>
      <c r="E162" s="133">
        <v>1</v>
      </c>
      <c r="F162" s="101">
        <v>1538879.17</v>
      </c>
      <c r="H162" s="6">
        <v>626.5</v>
      </c>
      <c r="I162" s="6">
        <v>23</v>
      </c>
      <c r="J162" s="6">
        <v>1538879.17</v>
      </c>
    </row>
    <row r="163" spans="1:10" ht="20.25" x14ac:dyDescent="0.3">
      <c r="A163" s="4">
        <v>25</v>
      </c>
      <c r="B163" s="3" t="s">
        <v>928</v>
      </c>
      <c r="C163" s="77">
        <v>14681.960000000001</v>
      </c>
      <c r="D163" s="78">
        <v>477</v>
      </c>
      <c r="E163" s="133">
        <v>6</v>
      </c>
      <c r="F163" s="101">
        <v>29368928.999999996</v>
      </c>
      <c r="H163" s="6">
        <v>20161.96</v>
      </c>
      <c r="I163" s="6">
        <v>621</v>
      </c>
      <c r="J163" s="6">
        <v>28415186.600000001</v>
      </c>
    </row>
    <row r="164" spans="1:10" ht="20.25" x14ac:dyDescent="0.3">
      <c r="A164" s="4">
        <v>26</v>
      </c>
      <c r="B164" s="3" t="s">
        <v>929</v>
      </c>
      <c r="C164" s="77">
        <v>1573</v>
      </c>
      <c r="D164" s="78">
        <v>68</v>
      </c>
      <c r="E164" s="133">
        <v>2</v>
      </c>
      <c r="F164" s="101">
        <v>5777967.8699999992</v>
      </c>
      <c r="H164" s="6">
        <v>1573</v>
      </c>
      <c r="I164" s="6">
        <v>68</v>
      </c>
      <c r="J164" s="6">
        <v>5777967.8699999992</v>
      </c>
    </row>
    <row r="165" spans="1:10" ht="20.25" x14ac:dyDescent="0.3">
      <c r="A165" s="4">
        <v>27</v>
      </c>
      <c r="B165" s="3" t="s">
        <v>930</v>
      </c>
      <c r="C165" s="77">
        <v>1266.2</v>
      </c>
      <c r="D165" s="78">
        <v>52</v>
      </c>
      <c r="E165" s="133">
        <v>3</v>
      </c>
      <c r="F165" s="101">
        <v>4715781.71</v>
      </c>
      <c r="H165" s="6">
        <v>1266.2</v>
      </c>
      <c r="I165" s="6">
        <v>52</v>
      </c>
      <c r="J165" s="6">
        <v>4715781.71</v>
      </c>
    </row>
    <row r="166" spans="1:10" ht="20.25" x14ac:dyDescent="0.3">
      <c r="A166" s="4">
        <v>28</v>
      </c>
      <c r="B166" s="3" t="s">
        <v>931</v>
      </c>
      <c r="C166" s="77">
        <v>665.5</v>
      </c>
      <c r="D166" s="78">
        <v>51</v>
      </c>
      <c r="E166" s="133">
        <v>2</v>
      </c>
      <c r="F166" s="101">
        <v>2590114.16</v>
      </c>
      <c r="H166" s="6">
        <v>703.5</v>
      </c>
      <c r="I166" s="6">
        <v>36</v>
      </c>
      <c r="J166" s="6">
        <v>2590114.16</v>
      </c>
    </row>
    <row r="167" spans="1:10" ht="20.25" x14ac:dyDescent="0.3">
      <c r="A167" s="4">
        <v>29</v>
      </c>
      <c r="B167" s="3" t="s">
        <v>932</v>
      </c>
      <c r="C167" s="77">
        <v>1217.2</v>
      </c>
      <c r="D167" s="78">
        <v>47</v>
      </c>
      <c r="E167" s="133">
        <v>1</v>
      </c>
      <c r="F167" s="101">
        <v>1456533.11</v>
      </c>
      <c r="H167" s="6">
        <v>1217.2</v>
      </c>
      <c r="I167" s="6">
        <v>47</v>
      </c>
      <c r="J167" s="6">
        <v>1456533.11</v>
      </c>
    </row>
    <row r="168" spans="1:10" ht="20.25" x14ac:dyDescent="0.3">
      <c r="A168" s="4">
        <v>30</v>
      </c>
      <c r="B168" s="3" t="s">
        <v>933</v>
      </c>
      <c r="C168" s="77">
        <v>1774</v>
      </c>
      <c r="D168" s="78">
        <v>80</v>
      </c>
      <c r="E168" s="133">
        <v>3</v>
      </c>
      <c r="F168" s="101">
        <v>10290828.25</v>
      </c>
      <c r="H168" s="6">
        <v>1774</v>
      </c>
      <c r="I168" s="6">
        <v>80</v>
      </c>
      <c r="J168" s="6">
        <v>10290828.25</v>
      </c>
    </row>
    <row r="169" spans="1:10" ht="20.25" x14ac:dyDescent="0.3">
      <c r="A169" s="4">
        <v>31</v>
      </c>
      <c r="B169" s="3" t="s">
        <v>934</v>
      </c>
      <c r="C169" s="77">
        <v>609</v>
      </c>
      <c r="D169" s="78">
        <v>31</v>
      </c>
      <c r="E169" s="133">
        <v>1</v>
      </c>
      <c r="F169" s="101">
        <v>3013803.8600000003</v>
      </c>
      <c r="H169" s="6">
        <v>609</v>
      </c>
      <c r="I169" s="6">
        <v>31</v>
      </c>
      <c r="J169" s="6">
        <v>3013803.8600000003</v>
      </c>
    </row>
    <row r="170" spans="1:10" ht="20.25" x14ac:dyDescent="0.3">
      <c r="A170" s="4">
        <v>32</v>
      </c>
      <c r="B170" s="3" t="s">
        <v>935</v>
      </c>
      <c r="C170" s="77">
        <v>616.20000000000005</v>
      </c>
      <c r="D170" s="78">
        <v>21</v>
      </c>
      <c r="E170" s="133">
        <v>1</v>
      </c>
      <c r="F170" s="101">
        <v>2036502</v>
      </c>
      <c r="H170" s="6">
        <v>616</v>
      </c>
      <c r="I170" s="6">
        <v>21</v>
      </c>
      <c r="J170" s="6">
        <v>2036502</v>
      </c>
    </row>
    <row r="171" spans="1:10" ht="20.25" x14ac:dyDescent="0.3">
      <c r="A171" s="4">
        <v>33</v>
      </c>
      <c r="B171" s="3" t="s">
        <v>936</v>
      </c>
      <c r="C171" s="77">
        <v>772.9</v>
      </c>
      <c r="D171" s="78">
        <v>32</v>
      </c>
      <c r="E171" s="133">
        <v>1</v>
      </c>
      <c r="F171" s="101">
        <v>3592598.4</v>
      </c>
      <c r="H171" s="6">
        <v>772.9</v>
      </c>
      <c r="I171" s="6">
        <v>32</v>
      </c>
      <c r="J171" s="6">
        <v>3592598.4</v>
      </c>
    </row>
    <row r="172" spans="1:10" ht="20.25" x14ac:dyDescent="0.3">
      <c r="A172" s="4">
        <v>34</v>
      </c>
      <c r="B172" s="3" t="s">
        <v>937</v>
      </c>
      <c r="C172" s="77">
        <v>976.3</v>
      </c>
      <c r="D172" s="78">
        <v>36</v>
      </c>
      <c r="E172" s="133">
        <v>1</v>
      </c>
      <c r="F172" s="101">
        <v>4454195.3999999994</v>
      </c>
      <c r="H172" s="6">
        <v>976.3</v>
      </c>
      <c r="I172" s="6">
        <v>36</v>
      </c>
      <c r="J172" s="6">
        <v>4454195.3999999994</v>
      </c>
    </row>
    <row r="173" spans="1:10" ht="20.25" x14ac:dyDescent="0.3">
      <c r="A173" s="4">
        <v>35</v>
      </c>
      <c r="B173" s="3" t="s">
        <v>938</v>
      </c>
      <c r="C173" s="77">
        <v>781.7</v>
      </c>
      <c r="D173" s="78">
        <v>25</v>
      </c>
      <c r="E173" s="133">
        <v>1</v>
      </c>
      <c r="F173" s="101">
        <v>5304624.57</v>
      </c>
      <c r="H173" s="6">
        <v>781.7</v>
      </c>
      <c r="I173" s="6">
        <v>25</v>
      </c>
      <c r="J173" s="6">
        <v>4839701.7600000007</v>
      </c>
    </row>
    <row r="174" spans="1:10" ht="20.25" x14ac:dyDescent="0.3">
      <c r="A174" s="4">
        <v>36</v>
      </c>
      <c r="B174" s="3" t="s">
        <v>939</v>
      </c>
      <c r="C174" s="77">
        <v>736.7</v>
      </c>
      <c r="D174" s="78">
        <v>42</v>
      </c>
      <c r="E174" s="133">
        <v>1</v>
      </c>
      <c r="F174" s="101">
        <v>3231458.3</v>
      </c>
      <c r="H174" s="6">
        <v>792.9</v>
      </c>
      <c r="I174" s="6">
        <v>42</v>
      </c>
      <c r="J174" s="6">
        <v>3231458.3</v>
      </c>
    </row>
    <row r="175" spans="1:10" ht="20.25" x14ac:dyDescent="0.3">
      <c r="A175" s="4">
        <v>37</v>
      </c>
      <c r="B175" s="3" t="s">
        <v>940</v>
      </c>
      <c r="C175" s="77">
        <v>9352.4</v>
      </c>
      <c r="D175" s="78">
        <v>371</v>
      </c>
      <c r="E175" s="133">
        <v>3</v>
      </c>
      <c r="F175" s="101">
        <v>16849360.93</v>
      </c>
      <c r="H175" s="6">
        <v>9443</v>
      </c>
      <c r="I175" s="6">
        <v>371</v>
      </c>
      <c r="J175" s="6">
        <v>16849360.93</v>
      </c>
    </row>
    <row r="176" spans="1:10" ht="20.25" x14ac:dyDescent="0.3">
      <c r="A176" s="4">
        <v>38</v>
      </c>
      <c r="B176" s="3" t="s">
        <v>941</v>
      </c>
      <c r="C176" s="77">
        <v>2168.41</v>
      </c>
      <c r="D176" s="78">
        <v>62</v>
      </c>
      <c r="E176" s="133">
        <v>1</v>
      </c>
      <c r="F176" s="101">
        <v>2872957.67</v>
      </c>
      <c r="H176" s="6">
        <v>2168.41</v>
      </c>
      <c r="I176" s="6">
        <v>62</v>
      </c>
      <c r="J176" s="6">
        <v>3799734.79</v>
      </c>
    </row>
    <row r="177" spans="1:10" ht="20.25" x14ac:dyDescent="0.3">
      <c r="A177" s="4">
        <v>39</v>
      </c>
      <c r="B177" s="3" t="s">
        <v>942</v>
      </c>
      <c r="C177" s="77">
        <v>780.3</v>
      </c>
      <c r="D177" s="78">
        <v>24</v>
      </c>
      <c r="E177" s="133">
        <v>1</v>
      </c>
      <c r="F177" s="101">
        <v>2311215.4500000002</v>
      </c>
      <c r="H177" s="6">
        <v>780.3</v>
      </c>
      <c r="I177" s="6">
        <v>24</v>
      </c>
      <c r="J177" s="6">
        <v>2311215.4500000002</v>
      </c>
    </row>
    <row r="178" spans="1:10" ht="20.25" x14ac:dyDescent="0.3">
      <c r="A178" s="4">
        <v>40</v>
      </c>
      <c r="B178" s="3" t="s">
        <v>943</v>
      </c>
      <c r="C178" s="77">
        <v>540.79999999999995</v>
      </c>
      <c r="D178" s="78">
        <v>15</v>
      </c>
      <c r="E178" s="133">
        <v>1</v>
      </c>
      <c r="F178" s="101">
        <v>3215375.5700000003</v>
      </c>
      <c r="H178" s="6">
        <v>540.79999999999995</v>
      </c>
      <c r="I178" s="6">
        <v>15</v>
      </c>
      <c r="J178" s="6">
        <v>3215375.5700000003</v>
      </c>
    </row>
    <row r="179" spans="1:10" ht="20.25" x14ac:dyDescent="0.3">
      <c r="A179" s="4">
        <v>41</v>
      </c>
      <c r="B179" s="3" t="s">
        <v>944</v>
      </c>
      <c r="C179" s="77">
        <v>2550.6999999999998</v>
      </c>
      <c r="D179" s="78">
        <v>119</v>
      </c>
      <c r="E179" s="133">
        <v>3</v>
      </c>
      <c r="F179" s="101">
        <v>10672314.84</v>
      </c>
      <c r="H179" s="6">
        <v>2550.6999999999998</v>
      </c>
      <c r="I179" s="6">
        <v>119</v>
      </c>
      <c r="J179" s="6">
        <v>10672314.84</v>
      </c>
    </row>
    <row r="180" spans="1:10" ht="20.25" x14ac:dyDescent="0.3">
      <c r="A180" s="4">
        <v>42</v>
      </c>
      <c r="B180" s="3" t="s">
        <v>945</v>
      </c>
      <c r="C180" s="77">
        <v>5523</v>
      </c>
      <c r="D180" s="78">
        <v>208</v>
      </c>
      <c r="E180" s="133">
        <v>1</v>
      </c>
      <c r="F180" s="101">
        <v>3912770.8299999996</v>
      </c>
      <c r="H180" s="6">
        <v>5727.7</v>
      </c>
      <c r="I180" s="6">
        <v>188</v>
      </c>
      <c r="J180" s="6">
        <v>6053192.4699999997</v>
      </c>
    </row>
    <row r="181" spans="1:10" ht="20.25" x14ac:dyDescent="0.3">
      <c r="A181" s="4">
        <v>43</v>
      </c>
      <c r="B181" s="3" t="s">
        <v>946</v>
      </c>
      <c r="C181" s="77">
        <v>1046.8</v>
      </c>
      <c r="D181" s="78">
        <v>44</v>
      </c>
      <c r="E181" s="133">
        <v>1</v>
      </c>
      <c r="F181" s="101">
        <v>4804056</v>
      </c>
      <c r="H181" s="6">
        <v>1040.7</v>
      </c>
      <c r="I181" s="6">
        <v>44</v>
      </c>
      <c r="J181" s="6">
        <v>4804056</v>
      </c>
    </row>
    <row r="182" spans="1:10" ht="20.25" x14ac:dyDescent="0.3">
      <c r="A182" s="4">
        <v>44</v>
      </c>
      <c r="B182" s="3" t="s">
        <v>947</v>
      </c>
      <c r="C182" s="77">
        <v>3554.5</v>
      </c>
      <c r="D182" s="78">
        <v>145</v>
      </c>
      <c r="E182" s="133">
        <v>1</v>
      </c>
      <c r="F182" s="101">
        <v>7284801.9000000004</v>
      </c>
      <c r="H182" s="6">
        <v>3554.5</v>
      </c>
      <c r="I182" s="6">
        <v>145</v>
      </c>
      <c r="J182" s="6">
        <v>7284801.9000000004</v>
      </c>
    </row>
    <row r="183" spans="1:10" ht="20.25" x14ac:dyDescent="0.3">
      <c r="A183" s="4">
        <v>45</v>
      </c>
      <c r="B183" s="3" t="s">
        <v>948</v>
      </c>
      <c r="C183" s="77">
        <v>2640.94</v>
      </c>
      <c r="D183" s="78">
        <v>88</v>
      </c>
      <c r="E183" s="133">
        <v>2</v>
      </c>
      <c r="F183" s="101">
        <v>4011881.02</v>
      </c>
      <c r="H183" s="6">
        <v>2640.94</v>
      </c>
      <c r="I183" s="6">
        <v>88</v>
      </c>
      <c r="J183" s="6">
        <v>4011881.02</v>
      </c>
    </row>
    <row r="184" spans="1:10" ht="20.25" x14ac:dyDescent="0.3">
      <c r="A184" s="4">
        <v>46</v>
      </c>
      <c r="B184" s="3" t="s">
        <v>949</v>
      </c>
      <c r="C184" s="77">
        <v>4173.3999999999996</v>
      </c>
      <c r="D184" s="78">
        <v>171</v>
      </c>
      <c r="E184" s="133">
        <v>2</v>
      </c>
      <c r="F184" s="101">
        <v>6026117.5699999994</v>
      </c>
      <c r="H184" s="6">
        <v>4173.7</v>
      </c>
      <c r="I184" s="6">
        <v>171</v>
      </c>
      <c r="J184" s="6">
        <v>6026117.5699999994</v>
      </c>
    </row>
    <row r="185" spans="1:10" ht="20.25" x14ac:dyDescent="0.3">
      <c r="A185" s="4">
        <v>47</v>
      </c>
      <c r="B185" s="3" t="s">
        <v>974</v>
      </c>
      <c r="C185" s="77">
        <v>13642.179999999998</v>
      </c>
      <c r="D185" s="78">
        <v>327</v>
      </c>
      <c r="E185" s="133">
        <v>3</v>
      </c>
      <c r="F185" s="101">
        <v>12459674.15</v>
      </c>
      <c r="H185" s="6">
        <v>8514.9</v>
      </c>
      <c r="I185" s="6">
        <v>327</v>
      </c>
      <c r="J185" s="6">
        <v>12459674.15</v>
      </c>
    </row>
    <row r="186" spans="1:10" ht="20.25" x14ac:dyDescent="0.3">
      <c r="A186" s="4">
        <v>48</v>
      </c>
      <c r="B186" s="3" t="s">
        <v>950</v>
      </c>
      <c r="C186" s="77">
        <v>10207.129999999999</v>
      </c>
      <c r="D186" s="78">
        <v>449</v>
      </c>
      <c r="E186" s="133">
        <v>3</v>
      </c>
      <c r="F186" s="101">
        <v>12269019.870000001</v>
      </c>
      <c r="H186" s="6">
        <v>14680.3</v>
      </c>
      <c r="I186" s="6">
        <v>685</v>
      </c>
      <c r="J186" s="6">
        <v>13993215.270000001</v>
      </c>
    </row>
    <row r="187" spans="1:10" ht="20.25" x14ac:dyDescent="0.3">
      <c r="A187" s="4">
        <v>49</v>
      </c>
      <c r="B187" s="3" t="s">
        <v>951</v>
      </c>
      <c r="C187" s="77">
        <v>5101.2</v>
      </c>
      <c r="D187" s="78">
        <v>164</v>
      </c>
      <c r="E187" s="133">
        <v>2</v>
      </c>
      <c r="F187" s="101">
        <v>9221698.8000000007</v>
      </c>
      <c r="H187" s="6">
        <v>4947</v>
      </c>
      <c r="I187" s="6">
        <v>164</v>
      </c>
      <c r="J187" s="6">
        <v>9221698.8000000007</v>
      </c>
    </row>
    <row r="188" spans="1:10" ht="20.25" x14ac:dyDescent="0.3">
      <c r="A188" s="4">
        <v>50</v>
      </c>
      <c r="B188" s="3" t="s">
        <v>952</v>
      </c>
      <c r="C188" s="77">
        <v>783.81</v>
      </c>
      <c r="D188" s="78">
        <v>28</v>
      </c>
      <c r="E188" s="133">
        <v>1</v>
      </c>
      <c r="F188" s="101">
        <v>3623929.1999999997</v>
      </c>
      <c r="H188" s="6">
        <v>726</v>
      </c>
      <c r="I188" s="6">
        <v>28</v>
      </c>
      <c r="J188" s="6">
        <v>3623929.1999999997</v>
      </c>
    </row>
    <row r="189" spans="1:10" ht="20.25" x14ac:dyDescent="0.3">
      <c r="A189" s="4">
        <v>51</v>
      </c>
      <c r="B189" s="3" t="s">
        <v>953</v>
      </c>
      <c r="C189" s="77">
        <v>680.2</v>
      </c>
      <c r="D189" s="78">
        <v>32</v>
      </c>
      <c r="E189" s="133">
        <v>1</v>
      </c>
      <c r="F189" s="101">
        <v>3080862</v>
      </c>
      <c r="H189" s="6">
        <v>675.9</v>
      </c>
      <c r="I189" s="6">
        <v>32</v>
      </c>
      <c r="J189" s="6">
        <v>3080862</v>
      </c>
    </row>
    <row r="190" spans="1:10" ht="20.25" x14ac:dyDescent="0.3">
      <c r="A190" s="4">
        <v>52</v>
      </c>
      <c r="B190" s="3" t="s">
        <v>954</v>
      </c>
      <c r="C190" s="77">
        <v>646.4</v>
      </c>
      <c r="D190" s="78">
        <v>28</v>
      </c>
      <c r="E190" s="133">
        <v>2</v>
      </c>
      <c r="F190" s="101">
        <v>2610892.59</v>
      </c>
      <c r="H190" s="6">
        <v>611.5</v>
      </c>
      <c r="I190" s="6">
        <v>28</v>
      </c>
      <c r="J190" s="6">
        <v>2610892.59</v>
      </c>
    </row>
    <row r="191" spans="1:10" ht="20.25" x14ac:dyDescent="0.3">
      <c r="A191" s="4">
        <v>53</v>
      </c>
      <c r="B191" s="3" t="s">
        <v>955</v>
      </c>
      <c r="C191" s="77">
        <v>2009.6000000000001</v>
      </c>
      <c r="D191" s="78">
        <v>77</v>
      </c>
      <c r="E191" s="133">
        <v>3</v>
      </c>
      <c r="F191" s="101">
        <v>6332416.4000000004</v>
      </c>
      <c r="H191" s="6">
        <v>2373.5</v>
      </c>
      <c r="I191" s="6">
        <v>77</v>
      </c>
      <c r="J191" s="6">
        <v>6332416.4000000004</v>
      </c>
    </row>
    <row r="192" spans="1:10" ht="20.25" x14ac:dyDescent="0.3">
      <c r="A192" s="4">
        <v>54</v>
      </c>
      <c r="B192" s="3" t="s">
        <v>956</v>
      </c>
      <c r="C192" s="77">
        <v>814.6</v>
      </c>
      <c r="D192" s="78">
        <v>26</v>
      </c>
      <c r="E192" s="133">
        <v>1</v>
      </c>
      <c r="F192" s="101">
        <v>4686244.08</v>
      </c>
      <c r="H192" s="6">
        <v>789</v>
      </c>
      <c r="I192" s="6">
        <v>64</v>
      </c>
      <c r="J192" s="6">
        <v>3026194.08</v>
      </c>
    </row>
    <row r="193" spans="1:10" ht="20.25" x14ac:dyDescent="0.3">
      <c r="A193" s="4">
        <v>55</v>
      </c>
      <c r="B193" s="3" t="s">
        <v>957</v>
      </c>
      <c r="C193" s="77">
        <v>350.9</v>
      </c>
      <c r="D193" s="78">
        <v>18</v>
      </c>
      <c r="E193" s="133">
        <v>1</v>
      </c>
      <c r="F193" s="101">
        <v>3600600</v>
      </c>
      <c r="H193" s="6">
        <v>351</v>
      </c>
      <c r="I193" s="6">
        <v>18</v>
      </c>
      <c r="J193" s="6">
        <v>3600600</v>
      </c>
    </row>
    <row r="194" spans="1:10" ht="20.25" x14ac:dyDescent="0.3">
      <c r="A194" s="4">
        <v>56</v>
      </c>
      <c r="B194" s="3" t="s">
        <v>958</v>
      </c>
      <c r="C194" s="77">
        <v>626</v>
      </c>
      <c r="D194" s="78">
        <v>23</v>
      </c>
      <c r="E194" s="133">
        <v>1</v>
      </c>
      <c r="F194" s="101">
        <v>2233993.96</v>
      </c>
      <c r="H194" s="6">
        <v>626</v>
      </c>
      <c r="I194" s="6">
        <v>23</v>
      </c>
      <c r="J194" s="6">
        <v>1917600</v>
      </c>
    </row>
    <row r="195" spans="1:10" ht="20.25" x14ac:dyDescent="0.3">
      <c r="A195" s="4">
        <v>57</v>
      </c>
      <c r="B195" s="3" t="s">
        <v>959</v>
      </c>
      <c r="C195" s="77">
        <v>4977.8</v>
      </c>
      <c r="D195" s="78">
        <v>158</v>
      </c>
      <c r="E195" s="133">
        <v>3</v>
      </c>
      <c r="F195" s="101">
        <v>14392200</v>
      </c>
      <c r="H195" s="6">
        <v>4977.8</v>
      </c>
      <c r="I195" s="6">
        <v>158</v>
      </c>
      <c r="J195" s="6">
        <v>14392200</v>
      </c>
    </row>
    <row r="196" spans="1:10" ht="20.25" x14ac:dyDescent="0.3">
      <c r="A196" s="4">
        <v>58</v>
      </c>
      <c r="B196" s="3" t="s">
        <v>960</v>
      </c>
      <c r="C196" s="77">
        <v>775.2</v>
      </c>
      <c r="D196" s="78">
        <v>16</v>
      </c>
      <c r="E196" s="133">
        <v>1</v>
      </c>
      <c r="F196" s="101">
        <v>3396600</v>
      </c>
      <c r="H196" s="6">
        <v>715.9</v>
      </c>
      <c r="I196" s="6">
        <v>16</v>
      </c>
      <c r="J196" s="6">
        <v>3396600</v>
      </c>
    </row>
    <row r="197" spans="1:10" customFormat="1" ht="71.25" customHeight="1" x14ac:dyDescent="0.25">
      <c r="A197" s="442" t="s">
        <v>1692</v>
      </c>
      <c r="B197" s="442"/>
      <c r="C197" s="442"/>
      <c r="D197" s="442"/>
      <c r="E197" s="442"/>
      <c r="F197" s="442"/>
    </row>
    <row r="198" spans="1:10" customFormat="1" ht="18.75" x14ac:dyDescent="0.3">
      <c r="A198" s="443" t="s">
        <v>1690</v>
      </c>
      <c r="B198" s="444"/>
      <c r="C198" s="129">
        <f>SUM(C199:C201)</f>
        <v>3182.5</v>
      </c>
      <c r="D198" s="130">
        <f>SUM(D199:D201)</f>
        <v>134</v>
      </c>
      <c r="E198" s="130">
        <f>SUM(E199:E201)</f>
        <v>3</v>
      </c>
      <c r="F198" s="129">
        <f>SUM(F199:F201)</f>
        <v>8174681</v>
      </c>
    </row>
    <row r="199" spans="1:10" customFormat="1" ht="20.25" x14ac:dyDescent="0.3">
      <c r="A199" s="131">
        <v>1</v>
      </c>
      <c r="B199" s="150" t="s">
        <v>959</v>
      </c>
      <c r="C199" s="132">
        <v>522.9</v>
      </c>
      <c r="D199" s="133">
        <v>31</v>
      </c>
      <c r="E199" s="133">
        <v>1</v>
      </c>
      <c r="F199" s="132">
        <v>2094823</v>
      </c>
    </row>
    <row r="200" spans="1:10" customFormat="1" ht="20.25" x14ac:dyDescent="0.3">
      <c r="A200" s="131">
        <v>2</v>
      </c>
      <c r="B200" s="150" t="s">
        <v>909</v>
      </c>
      <c r="C200" s="132">
        <v>1826</v>
      </c>
      <c r="D200" s="133">
        <v>73</v>
      </c>
      <c r="E200" s="133">
        <v>1</v>
      </c>
      <c r="F200" s="132">
        <v>2852270</v>
      </c>
    </row>
    <row r="201" spans="1:10" customFormat="1" ht="20.25" x14ac:dyDescent="0.3">
      <c r="A201" s="131">
        <v>3</v>
      </c>
      <c r="B201" s="3" t="s">
        <v>923</v>
      </c>
      <c r="C201" s="132">
        <f>Перечень!I1265</f>
        <v>833.6</v>
      </c>
      <c r="D201" s="133">
        <f>Перечень!L1265</f>
        <v>30</v>
      </c>
      <c r="E201" s="133">
        <v>1</v>
      </c>
      <c r="F201" s="132">
        <v>3227588</v>
      </c>
    </row>
    <row r="202" spans="1:10" ht="72.75" customHeight="1" x14ac:dyDescent="0.25">
      <c r="A202" s="442" t="s">
        <v>1938</v>
      </c>
      <c r="B202" s="442"/>
      <c r="C202" s="442"/>
      <c r="D202" s="442"/>
      <c r="E202" s="442"/>
      <c r="F202" s="442"/>
    </row>
    <row r="203" spans="1:10" ht="18.75" x14ac:dyDescent="0.3">
      <c r="A203" s="443" t="s">
        <v>1939</v>
      </c>
      <c r="B203" s="444"/>
      <c r="C203" s="129">
        <f>SUM(C204:C206)</f>
        <v>8790.5</v>
      </c>
      <c r="D203" s="130">
        <f>SUM(D204:D206)</f>
        <v>403</v>
      </c>
      <c r="E203" s="130">
        <f>SUM(E204:E206)</f>
        <v>4</v>
      </c>
      <c r="F203" s="129">
        <f>SUM(F204:F206)</f>
        <v>15488140.189999998</v>
      </c>
    </row>
    <row r="204" spans="1:10" ht="20.25" x14ac:dyDescent="0.3">
      <c r="A204" s="131">
        <v>1</v>
      </c>
      <c r="B204" s="150" t="s">
        <v>933</v>
      </c>
      <c r="C204" s="132">
        <v>7491.9</v>
      </c>
      <c r="D204" s="133">
        <v>356</v>
      </c>
      <c r="E204" s="133">
        <v>3</v>
      </c>
      <c r="F204" s="132">
        <v>13655036.579999998</v>
      </c>
    </row>
    <row r="205" spans="1:10" ht="20.25" x14ac:dyDescent="0.3">
      <c r="A205" s="131">
        <v>2</v>
      </c>
      <c r="B205" s="150" t="s">
        <v>929</v>
      </c>
      <c r="C205" s="132">
        <v>1298.5999999999999</v>
      </c>
      <c r="D205" s="133">
        <v>47</v>
      </c>
      <c r="E205" s="133">
        <v>1</v>
      </c>
      <c r="F205" s="132">
        <v>1833103.6099999999</v>
      </c>
    </row>
    <row r="206" spans="1:10" x14ac:dyDescent="0.25">
      <c r="F206" s="120"/>
    </row>
    <row r="207" spans="1:10" x14ac:dyDescent="0.25">
      <c r="F207" s="120"/>
    </row>
    <row r="208" spans="1:10" x14ac:dyDescent="0.25">
      <c r="F208" s="120"/>
    </row>
    <row r="209" spans="6:6" x14ac:dyDescent="0.25">
      <c r="F209" s="120"/>
    </row>
    <row r="210" spans="6:6" x14ac:dyDescent="0.25">
      <c r="F210" s="120"/>
    </row>
    <row r="211" spans="6:6" x14ac:dyDescent="0.25">
      <c r="F211" s="120"/>
    </row>
    <row r="212" spans="6:6" x14ac:dyDescent="0.25">
      <c r="F212" s="120"/>
    </row>
    <row r="213" spans="6:6" x14ac:dyDescent="0.25">
      <c r="F213" s="120"/>
    </row>
    <row r="214" spans="6:6" x14ac:dyDescent="0.25">
      <c r="F214" s="203"/>
    </row>
    <row r="215" spans="6:6" x14ac:dyDescent="0.25">
      <c r="F215" s="203">
        <f>SUBTOTAL(9,F210:F214)</f>
        <v>0</v>
      </c>
    </row>
    <row r="216" spans="6:6" x14ac:dyDescent="0.25">
      <c r="F216" s="203"/>
    </row>
    <row r="217" spans="6:6" x14ac:dyDescent="0.25">
      <c r="F217" s="203"/>
    </row>
    <row r="218" spans="6:6" x14ac:dyDescent="0.25">
      <c r="F218" s="203"/>
    </row>
  </sheetData>
  <autoFilter ref="A9:K201"/>
  <mergeCells count="13">
    <mergeCell ref="A202:F202"/>
    <mergeCell ref="A203:B203"/>
    <mergeCell ref="A197:F197"/>
    <mergeCell ref="A198:B198"/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topLeftCell="B1" zoomScale="40" zoomScaleNormal="40" workbookViewId="0">
      <selection activeCell="D7" sqref="D7"/>
    </sheetView>
  </sheetViews>
  <sheetFormatPr defaultRowHeight="15" x14ac:dyDescent="0.25"/>
  <cols>
    <col min="1" max="1" width="9.28515625" style="256" hidden="1" customWidth="1"/>
    <col min="2" max="2" width="12.85546875" style="256" customWidth="1"/>
    <col min="3" max="3" width="167.42578125" style="256" customWidth="1"/>
    <col min="4" max="4" width="27.85546875" style="256" customWidth="1"/>
    <col min="5" max="5" width="26.140625" style="256" customWidth="1"/>
    <col min="6" max="6" width="26.85546875" style="256" customWidth="1"/>
    <col min="7" max="7" width="34.5703125" style="256" customWidth="1"/>
    <col min="8" max="8" width="23.28515625" style="256" customWidth="1"/>
    <col min="9" max="9" width="25.140625" style="256" customWidth="1"/>
    <col min="10" max="10" width="24.85546875" style="256" customWidth="1"/>
    <col min="11" max="11" width="22" style="256" customWidth="1"/>
    <col min="12" max="12" width="25.7109375" style="256" customWidth="1"/>
    <col min="13" max="13" width="26.140625" style="256" customWidth="1"/>
    <col min="14" max="14" width="27.5703125" style="256" customWidth="1"/>
    <col min="15" max="15" width="27.140625" style="256" customWidth="1"/>
    <col min="16" max="16" width="32.85546875" style="256" customWidth="1"/>
    <col min="17" max="17" width="22.42578125" style="256" customWidth="1"/>
    <col min="18" max="18" width="28.140625" style="256" customWidth="1"/>
    <col min="19" max="19" width="52.42578125" style="256" customWidth="1"/>
    <col min="20" max="20" width="32.42578125" style="256" customWidth="1"/>
    <col min="21" max="21" width="24.5703125" style="256" customWidth="1"/>
    <col min="22" max="22" width="35" style="256" customWidth="1"/>
    <col min="23" max="23" width="35.140625" style="256" customWidth="1"/>
    <col min="24" max="24" width="41.140625" style="256" customWidth="1"/>
    <col min="25" max="25" width="16.42578125" style="256" customWidth="1"/>
    <col min="26" max="26" width="21.42578125" style="256" customWidth="1"/>
    <col min="27" max="27" width="31.42578125" style="256" customWidth="1"/>
    <col min="28" max="28" width="18.140625" style="256" customWidth="1"/>
    <col min="29" max="256" width="9.140625" style="256"/>
    <col min="257" max="257" width="9.28515625" style="256" customWidth="1"/>
    <col min="258" max="258" width="12.85546875" style="256" customWidth="1"/>
    <col min="259" max="259" width="167.42578125" style="256" customWidth="1"/>
    <col min="260" max="260" width="27.85546875" style="256" customWidth="1"/>
    <col min="261" max="261" width="26.140625" style="256" customWidth="1"/>
    <col min="262" max="262" width="26.85546875" style="256" customWidth="1"/>
    <col min="263" max="263" width="34.5703125" style="256" customWidth="1"/>
    <col min="264" max="264" width="23.28515625" style="256" customWidth="1"/>
    <col min="265" max="265" width="25.140625" style="256" customWidth="1"/>
    <col min="266" max="266" width="24.85546875" style="256" customWidth="1"/>
    <col min="267" max="267" width="22" style="256" customWidth="1"/>
    <col min="268" max="268" width="25.7109375" style="256" customWidth="1"/>
    <col min="269" max="269" width="26.140625" style="256" customWidth="1"/>
    <col min="270" max="270" width="27.5703125" style="256" customWidth="1"/>
    <col min="271" max="271" width="27.140625" style="256" customWidth="1"/>
    <col min="272" max="272" width="32.85546875" style="256" customWidth="1"/>
    <col min="273" max="273" width="22.42578125" style="256" customWidth="1"/>
    <col min="274" max="274" width="28.140625" style="256" customWidth="1"/>
    <col min="275" max="275" width="52.42578125" style="256" customWidth="1"/>
    <col min="276" max="276" width="32.42578125" style="256" customWidth="1"/>
    <col min="277" max="277" width="24.5703125" style="256" customWidth="1"/>
    <col min="278" max="278" width="35" style="256" customWidth="1"/>
    <col min="279" max="279" width="35.140625" style="256" customWidth="1"/>
    <col min="280" max="280" width="41.140625" style="256" customWidth="1"/>
    <col min="281" max="281" width="16.42578125" style="256" customWidth="1"/>
    <col min="282" max="282" width="21.42578125" style="256" customWidth="1"/>
    <col min="283" max="283" width="31.42578125" style="256" customWidth="1"/>
    <col min="284" max="284" width="18.140625" style="256" customWidth="1"/>
    <col min="285" max="512" width="9.140625" style="256"/>
    <col min="513" max="513" width="9.28515625" style="256" customWidth="1"/>
    <col min="514" max="514" width="12.85546875" style="256" customWidth="1"/>
    <col min="515" max="515" width="167.42578125" style="256" customWidth="1"/>
    <col min="516" max="516" width="27.85546875" style="256" customWidth="1"/>
    <col min="517" max="517" width="26.140625" style="256" customWidth="1"/>
    <col min="518" max="518" width="26.85546875" style="256" customWidth="1"/>
    <col min="519" max="519" width="34.5703125" style="256" customWidth="1"/>
    <col min="520" max="520" width="23.28515625" style="256" customWidth="1"/>
    <col min="521" max="521" width="25.140625" style="256" customWidth="1"/>
    <col min="522" max="522" width="24.85546875" style="256" customWidth="1"/>
    <col min="523" max="523" width="22" style="256" customWidth="1"/>
    <col min="524" max="524" width="25.7109375" style="256" customWidth="1"/>
    <col min="525" max="525" width="26.140625" style="256" customWidth="1"/>
    <col min="526" max="526" width="27.5703125" style="256" customWidth="1"/>
    <col min="527" max="527" width="27.140625" style="256" customWidth="1"/>
    <col min="528" max="528" width="32.85546875" style="256" customWidth="1"/>
    <col min="529" max="529" width="22.42578125" style="256" customWidth="1"/>
    <col min="530" max="530" width="28.140625" style="256" customWidth="1"/>
    <col min="531" max="531" width="52.42578125" style="256" customWidth="1"/>
    <col min="532" max="532" width="32.42578125" style="256" customWidth="1"/>
    <col min="533" max="533" width="24.5703125" style="256" customWidth="1"/>
    <col min="534" max="534" width="35" style="256" customWidth="1"/>
    <col min="535" max="535" width="35.140625" style="256" customWidth="1"/>
    <col min="536" max="536" width="41.140625" style="256" customWidth="1"/>
    <col min="537" max="537" width="16.42578125" style="256" customWidth="1"/>
    <col min="538" max="538" width="21.42578125" style="256" customWidth="1"/>
    <col min="539" max="539" width="31.42578125" style="256" customWidth="1"/>
    <col min="540" max="540" width="18.140625" style="256" customWidth="1"/>
    <col min="541" max="768" width="9.140625" style="256"/>
    <col min="769" max="769" width="9.28515625" style="256" customWidth="1"/>
    <col min="770" max="770" width="12.85546875" style="256" customWidth="1"/>
    <col min="771" max="771" width="167.42578125" style="256" customWidth="1"/>
    <col min="772" max="772" width="27.85546875" style="256" customWidth="1"/>
    <col min="773" max="773" width="26.140625" style="256" customWidth="1"/>
    <col min="774" max="774" width="26.85546875" style="256" customWidth="1"/>
    <col min="775" max="775" width="34.5703125" style="256" customWidth="1"/>
    <col min="776" max="776" width="23.28515625" style="256" customWidth="1"/>
    <col min="777" max="777" width="25.140625" style="256" customWidth="1"/>
    <col min="778" max="778" width="24.85546875" style="256" customWidth="1"/>
    <col min="779" max="779" width="22" style="256" customWidth="1"/>
    <col min="780" max="780" width="25.7109375" style="256" customWidth="1"/>
    <col min="781" max="781" width="26.140625" style="256" customWidth="1"/>
    <col min="782" max="782" width="27.5703125" style="256" customWidth="1"/>
    <col min="783" max="783" width="27.140625" style="256" customWidth="1"/>
    <col min="784" max="784" width="32.85546875" style="256" customWidth="1"/>
    <col min="785" max="785" width="22.42578125" style="256" customWidth="1"/>
    <col min="786" max="786" width="28.140625" style="256" customWidth="1"/>
    <col min="787" max="787" width="52.42578125" style="256" customWidth="1"/>
    <col min="788" max="788" width="32.42578125" style="256" customWidth="1"/>
    <col min="789" max="789" width="24.5703125" style="256" customWidth="1"/>
    <col min="790" max="790" width="35" style="256" customWidth="1"/>
    <col min="791" max="791" width="35.140625" style="256" customWidth="1"/>
    <col min="792" max="792" width="41.140625" style="256" customWidth="1"/>
    <col min="793" max="793" width="16.42578125" style="256" customWidth="1"/>
    <col min="794" max="794" width="21.42578125" style="256" customWidth="1"/>
    <col min="795" max="795" width="31.42578125" style="256" customWidth="1"/>
    <col min="796" max="796" width="18.140625" style="256" customWidth="1"/>
    <col min="797" max="1024" width="9.140625" style="256"/>
    <col min="1025" max="1025" width="9.28515625" style="256" customWidth="1"/>
    <col min="1026" max="1026" width="12.85546875" style="256" customWidth="1"/>
    <col min="1027" max="1027" width="167.42578125" style="256" customWidth="1"/>
    <col min="1028" max="1028" width="27.85546875" style="256" customWidth="1"/>
    <col min="1029" max="1029" width="26.140625" style="256" customWidth="1"/>
    <col min="1030" max="1030" width="26.85546875" style="256" customWidth="1"/>
    <col min="1031" max="1031" width="34.5703125" style="256" customWidth="1"/>
    <col min="1032" max="1032" width="23.28515625" style="256" customWidth="1"/>
    <col min="1033" max="1033" width="25.140625" style="256" customWidth="1"/>
    <col min="1034" max="1034" width="24.85546875" style="256" customWidth="1"/>
    <col min="1035" max="1035" width="22" style="256" customWidth="1"/>
    <col min="1036" max="1036" width="25.7109375" style="256" customWidth="1"/>
    <col min="1037" max="1037" width="26.140625" style="256" customWidth="1"/>
    <col min="1038" max="1038" width="27.5703125" style="256" customWidth="1"/>
    <col min="1039" max="1039" width="27.140625" style="256" customWidth="1"/>
    <col min="1040" max="1040" width="32.85546875" style="256" customWidth="1"/>
    <col min="1041" max="1041" width="22.42578125" style="256" customWidth="1"/>
    <col min="1042" max="1042" width="28.140625" style="256" customWidth="1"/>
    <col min="1043" max="1043" width="52.42578125" style="256" customWidth="1"/>
    <col min="1044" max="1044" width="32.42578125" style="256" customWidth="1"/>
    <col min="1045" max="1045" width="24.5703125" style="256" customWidth="1"/>
    <col min="1046" max="1046" width="35" style="256" customWidth="1"/>
    <col min="1047" max="1047" width="35.140625" style="256" customWidth="1"/>
    <col min="1048" max="1048" width="41.140625" style="256" customWidth="1"/>
    <col min="1049" max="1049" width="16.42578125" style="256" customWidth="1"/>
    <col min="1050" max="1050" width="21.42578125" style="256" customWidth="1"/>
    <col min="1051" max="1051" width="31.42578125" style="256" customWidth="1"/>
    <col min="1052" max="1052" width="18.140625" style="256" customWidth="1"/>
    <col min="1053" max="1280" width="9.140625" style="256"/>
    <col min="1281" max="1281" width="9.28515625" style="256" customWidth="1"/>
    <col min="1282" max="1282" width="12.85546875" style="256" customWidth="1"/>
    <col min="1283" max="1283" width="167.42578125" style="256" customWidth="1"/>
    <col min="1284" max="1284" width="27.85546875" style="256" customWidth="1"/>
    <col min="1285" max="1285" width="26.140625" style="256" customWidth="1"/>
    <col min="1286" max="1286" width="26.85546875" style="256" customWidth="1"/>
    <col min="1287" max="1287" width="34.5703125" style="256" customWidth="1"/>
    <col min="1288" max="1288" width="23.28515625" style="256" customWidth="1"/>
    <col min="1289" max="1289" width="25.140625" style="256" customWidth="1"/>
    <col min="1290" max="1290" width="24.85546875" style="256" customWidth="1"/>
    <col min="1291" max="1291" width="22" style="256" customWidth="1"/>
    <col min="1292" max="1292" width="25.7109375" style="256" customWidth="1"/>
    <col min="1293" max="1293" width="26.140625" style="256" customWidth="1"/>
    <col min="1294" max="1294" width="27.5703125" style="256" customWidth="1"/>
    <col min="1295" max="1295" width="27.140625" style="256" customWidth="1"/>
    <col min="1296" max="1296" width="32.85546875" style="256" customWidth="1"/>
    <col min="1297" max="1297" width="22.42578125" style="256" customWidth="1"/>
    <col min="1298" max="1298" width="28.140625" style="256" customWidth="1"/>
    <col min="1299" max="1299" width="52.42578125" style="256" customWidth="1"/>
    <col min="1300" max="1300" width="32.42578125" style="256" customWidth="1"/>
    <col min="1301" max="1301" width="24.5703125" style="256" customWidth="1"/>
    <col min="1302" max="1302" width="35" style="256" customWidth="1"/>
    <col min="1303" max="1303" width="35.140625" style="256" customWidth="1"/>
    <col min="1304" max="1304" width="41.140625" style="256" customWidth="1"/>
    <col min="1305" max="1305" width="16.42578125" style="256" customWidth="1"/>
    <col min="1306" max="1306" width="21.42578125" style="256" customWidth="1"/>
    <col min="1307" max="1307" width="31.42578125" style="256" customWidth="1"/>
    <col min="1308" max="1308" width="18.140625" style="256" customWidth="1"/>
    <col min="1309" max="1536" width="9.140625" style="256"/>
    <col min="1537" max="1537" width="9.28515625" style="256" customWidth="1"/>
    <col min="1538" max="1538" width="12.85546875" style="256" customWidth="1"/>
    <col min="1539" max="1539" width="167.42578125" style="256" customWidth="1"/>
    <col min="1540" max="1540" width="27.85546875" style="256" customWidth="1"/>
    <col min="1541" max="1541" width="26.140625" style="256" customWidth="1"/>
    <col min="1542" max="1542" width="26.85546875" style="256" customWidth="1"/>
    <col min="1543" max="1543" width="34.5703125" style="256" customWidth="1"/>
    <col min="1544" max="1544" width="23.28515625" style="256" customWidth="1"/>
    <col min="1545" max="1545" width="25.140625" style="256" customWidth="1"/>
    <col min="1546" max="1546" width="24.85546875" style="256" customWidth="1"/>
    <col min="1547" max="1547" width="22" style="256" customWidth="1"/>
    <col min="1548" max="1548" width="25.7109375" style="256" customWidth="1"/>
    <col min="1549" max="1549" width="26.140625" style="256" customWidth="1"/>
    <col min="1550" max="1550" width="27.5703125" style="256" customWidth="1"/>
    <col min="1551" max="1551" width="27.140625" style="256" customWidth="1"/>
    <col min="1552" max="1552" width="32.85546875" style="256" customWidth="1"/>
    <col min="1553" max="1553" width="22.42578125" style="256" customWidth="1"/>
    <col min="1554" max="1554" width="28.140625" style="256" customWidth="1"/>
    <col min="1555" max="1555" width="52.42578125" style="256" customWidth="1"/>
    <col min="1556" max="1556" width="32.42578125" style="256" customWidth="1"/>
    <col min="1557" max="1557" width="24.5703125" style="256" customWidth="1"/>
    <col min="1558" max="1558" width="35" style="256" customWidth="1"/>
    <col min="1559" max="1559" width="35.140625" style="256" customWidth="1"/>
    <col min="1560" max="1560" width="41.140625" style="256" customWidth="1"/>
    <col min="1561" max="1561" width="16.42578125" style="256" customWidth="1"/>
    <col min="1562" max="1562" width="21.42578125" style="256" customWidth="1"/>
    <col min="1563" max="1563" width="31.42578125" style="256" customWidth="1"/>
    <col min="1564" max="1564" width="18.140625" style="256" customWidth="1"/>
    <col min="1565" max="1792" width="9.140625" style="256"/>
    <col min="1793" max="1793" width="9.28515625" style="256" customWidth="1"/>
    <col min="1794" max="1794" width="12.85546875" style="256" customWidth="1"/>
    <col min="1795" max="1795" width="167.42578125" style="256" customWidth="1"/>
    <col min="1796" max="1796" width="27.85546875" style="256" customWidth="1"/>
    <col min="1797" max="1797" width="26.140625" style="256" customWidth="1"/>
    <col min="1798" max="1798" width="26.85546875" style="256" customWidth="1"/>
    <col min="1799" max="1799" width="34.5703125" style="256" customWidth="1"/>
    <col min="1800" max="1800" width="23.28515625" style="256" customWidth="1"/>
    <col min="1801" max="1801" width="25.140625" style="256" customWidth="1"/>
    <col min="1802" max="1802" width="24.85546875" style="256" customWidth="1"/>
    <col min="1803" max="1803" width="22" style="256" customWidth="1"/>
    <col min="1804" max="1804" width="25.7109375" style="256" customWidth="1"/>
    <col min="1805" max="1805" width="26.140625" style="256" customWidth="1"/>
    <col min="1806" max="1806" width="27.5703125" style="256" customWidth="1"/>
    <col min="1807" max="1807" width="27.140625" style="256" customWidth="1"/>
    <col min="1808" max="1808" width="32.85546875" style="256" customWidth="1"/>
    <col min="1809" max="1809" width="22.42578125" style="256" customWidth="1"/>
    <col min="1810" max="1810" width="28.140625" style="256" customWidth="1"/>
    <col min="1811" max="1811" width="52.42578125" style="256" customWidth="1"/>
    <col min="1812" max="1812" width="32.42578125" style="256" customWidth="1"/>
    <col min="1813" max="1813" width="24.5703125" style="256" customWidth="1"/>
    <col min="1814" max="1814" width="35" style="256" customWidth="1"/>
    <col min="1815" max="1815" width="35.140625" style="256" customWidth="1"/>
    <col min="1816" max="1816" width="41.140625" style="256" customWidth="1"/>
    <col min="1817" max="1817" width="16.42578125" style="256" customWidth="1"/>
    <col min="1818" max="1818" width="21.42578125" style="256" customWidth="1"/>
    <col min="1819" max="1819" width="31.42578125" style="256" customWidth="1"/>
    <col min="1820" max="1820" width="18.140625" style="256" customWidth="1"/>
    <col min="1821" max="2048" width="9.140625" style="256"/>
    <col min="2049" max="2049" width="9.28515625" style="256" customWidth="1"/>
    <col min="2050" max="2050" width="12.85546875" style="256" customWidth="1"/>
    <col min="2051" max="2051" width="167.42578125" style="256" customWidth="1"/>
    <col min="2052" max="2052" width="27.85546875" style="256" customWidth="1"/>
    <col min="2053" max="2053" width="26.140625" style="256" customWidth="1"/>
    <col min="2054" max="2054" width="26.85546875" style="256" customWidth="1"/>
    <col min="2055" max="2055" width="34.5703125" style="256" customWidth="1"/>
    <col min="2056" max="2056" width="23.28515625" style="256" customWidth="1"/>
    <col min="2057" max="2057" width="25.140625" style="256" customWidth="1"/>
    <col min="2058" max="2058" width="24.85546875" style="256" customWidth="1"/>
    <col min="2059" max="2059" width="22" style="256" customWidth="1"/>
    <col min="2060" max="2060" width="25.7109375" style="256" customWidth="1"/>
    <col min="2061" max="2061" width="26.140625" style="256" customWidth="1"/>
    <col min="2062" max="2062" width="27.5703125" style="256" customWidth="1"/>
    <col min="2063" max="2063" width="27.140625" style="256" customWidth="1"/>
    <col min="2064" max="2064" width="32.85546875" style="256" customWidth="1"/>
    <col min="2065" max="2065" width="22.42578125" style="256" customWidth="1"/>
    <col min="2066" max="2066" width="28.140625" style="256" customWidth="1"/>
    <col min="2067" max="2067" width="52.42578125" style="256" customWidth="1"/>
    <col min="2068" max="2068" width="32.42578125" style="256" customWidth="1"/>
    <col min="2069" max="2069" width="24.5703125" style="256" customWidth="1"/>
    <col min="2070" max="2070" width="35" style="256" customWidth="1"/>
    <col min="2071" max="2071" width="35.140625" style="256" customWidth="1"/>
    <col min="2072" max="2072" width="41.140625" style="256" customWidth="1"/>
    <col min="2073" max="2073" width="16.42578125" style="256" customWidth="1"/>
    <col min="2074" max="2074" width="21.42578125" style="256" customWidth="1"/>
    <col min="2075" max="2075" width="31.42578125" style="256" customWidth="1"/>
    <col min="2076" max="2076" width="18.140625" style="256" customWidth="1"/>
    <col min="2077" max="2304" width="9.140625" style="256"/>
    <col min="2305" max="2305" width="9.28515625" style="256" customWidth="1"/>
    <col min="2306" max="2306" width="12.85546875" style="256" customWidth="1"/>
    <col min="2307" max="2307" width="167.42578125" style="256" customWidth="1"/>
    <col min="2308" max="2308" width="27.85546875" style="256" customWidth="1"/>
    <col min="2309" max="2309" width="26.140625" style="256" customWidth="1"/>
    <col min="2310" max="2310" width="26.85546875" style="256" customWidth="1"/>
    <col min="2311" max="2311" width="34.5703125" style="256" customWidth="1"/>
    <col min="2312" max="2312" width="23.28515625" style="256" customWidth="1"/>
    <col min="2313" max="2313" width="25.140625" style="256" customWidth="1"/>
    <col min="2314" max="2314" width="24.85546875" style="256" customWidth="1"/>
    <col min="2315" max="2315" width="22" style="256" customWidth="1"/>
    <col min="2316" max="2316" width="25.7109375" style="256" customWidth="1"/>
    <col min="2317" max="2317" width="26.140625" style="256" customWidth="1"/>
    <col min="2318" max="2318" width="27.5703125" style="256" customWidth="1"/>
    <col min="2319" max="2319" width="27.140625" style="256" customWidth="1"/>
    <col min="2320" max="2320" width="32.85546875" style="256" customWidth="1"/>
    <col min="2321" max="2321" width="22.42578125" style="256" customWidth="1"/>
    <col min="2322" max="2322" width="28.140625" style="256" customWidth="1"/>
    <col min="2323" max="2323" width="52.42578125" style="256" customWidth="1"/>
    <col min="2324" max="2324" width="32.42578125" style="256" customWidth="1"/>
    <col min="2325" max="2325" width="24.5703125" style="256" customWidth="1"/>
    <col min="2326" max="2326" width="35" style="256" customWidth="1"/>
    <col min="2327" max="2327" width="35.140625" style="256" customWidth="1"/>
    <col min="2328" max="2328" width="41.140625" style="256" customWidth="1"/>
    <col min="2329" max="2329" width="16.42578125" style="256" customWidth="1"/>
    <col min="2330" max="2330" width="21.42578125" style="256" customWidth="1"/>
    <col min="2331" max="2331" width="31.42578125" style="256" customWidth="1"/>
    <col min="2332" max="2332" width="18.140625" style="256" customWidth="1"/>
    <col min="2333" max="2560" width="9.140625" style="256"/>
    <col min="2561" max="2561" width="9.28515625" style="256" customWidth="1"/>
    <col min="2562" max="2562" width="12.85546875" style="256" customWidth="1"/>
    <col min="2563" max="2563" width="167.42578125" style="256" customWidth="1"/>
    <col min="2564" max="2564" width="27.85546875" style="256" customWidth="1"/>
    <col min="2565" max="2565" width="26.140625" style="256" customWidth="1"/>
    <col min="2566" max="2566" width="26.85546875" style="256" customWidth="1"/>
    <col min="2567" max="2567" width="34.5703125" style="256" customWidth="1"/>
    <col min="2568" max="2568" width="23.28515625" style="256" customWidth="1"/>
    <col min="2569" max="2569" width="25.140625" style="256" customWidth="1"/>
    <col min="2570" max="2570" width="24.85546875" style="256" customWidth="1"/>
    <col min="2571" max="2571" width="22" style="256" customWidth="1"/>
    <col min="2572" max="2572" width="25.7109375" style="256" customWidth="1"/>
    <col min="2573" max="2573" width="26.140625" style="256" customWidth="1"/>
    <col min="2574" max="2574" width="27.5703125" style="256" customWidth="1"/>
    <col min="2575" max="2575" width="27.140625" style="256" customWidth="1"/>
    <col min="2576" max="2576" width="32.85546875" style="256" customWidth="1"/>
    <col min="2577" max="2577" width="22.42578125" style="256" customWidth="1"/>
    <col min="2578" max="2578" width="28.140625" style="256" customWidth="1"/>
    <col min="2579" max="2579" width="52.42578125" style="256" customWidth="1"/>
    <col min="2580" max="2580" width="32.42578125" style="256" customWidth="1"/>
    <col min="2581" max="2581" width="24.5703125" style="256" customWidth="1"/>
    <col min="2582" max="2582" width="35" style="256" customWidth="1"/>
    <col min="2583" max="2583" width="35.140625" style="256" customWidth="1"/>
    <col min="2584" max="2584" width="41.140625" style="256" customWidth="1"/>
    <col min="2585" max="2585" width="16.42578125" style="256" customWidth="1"/>
    <col min="2586" max="2586" width="21.42578125" style="256" customWidth="1"/>
    <col min="2587" max="2587" width="31.42578125" style="256" customWidth="1"/>
    <col min="2588" max="2588" width="18.140625" style="256" customWidth="1"/>
    <col min="2589" max="2816" width="9.140625" style="256"/>
    <col min="2817" max="2817" width="9.28515625" style="256" customWidth="1"/>
    <col min="2818" max="2818" width="12.85546875" style="256" customWidth="1"/>
    <col min="2819" max="2819" width="167.42578125" style="256" customWidth="1"/>
    <col min="2820" max="2820" width="27.85546875" style="256" customWidth="1"/>
    <col min="2821" max="2821" width="26.140625" style="256" customWidth="1"/>
    <col min="2822" max="2822" width="26.85546875" style="256" customWidth="1"/>
    <col min="2823" max="2823" width="34.5703125" style="256" customWidth="1"/>
    <col min="2824" max="2824" width="23.28515625" style="256" customWidth="1"/>
    <col min="2825" max="2825" width="25.140625" style="256" customWidth="1"/>
    <col min="2826" max="2826" width="24.85546875" style="256" customWidth="1"/>
    <col min="2827" max="2827" width="22" style="256" customWidth="1"/>
    <col min="2828" max="2828" width="25.7109375" style="256" customWidth="1"/>
    <col min="2829" max="2829" width="26.140625" style="256" customWidth="1"/>
    <col min="2830" max="2830" width="27.5703125" style="256" customWidth="1"/>
    <col min="2831" max="2831" width="27.140625" style="256" customWidth="1"/>
    <col min="2832" max="2832" width="32.85546875" style="256" customWidth="1"/>
    <col min="2833" max="2833" width="22.42578125" style="256" customWidth="1"/>
    <col min="2834" max="2834" width="28.140625" style="256" customWidth="1"/>
    <col min="2835" max="2835" width="52.42578125" style="256" customWidth="1"/>
    <col min="2836" max="2836" width="32.42578125" style="256" customWidth="1"/>
    <col min="2837" max="2837" width="24.5703125" style="256" customWidth="1"/>
    <col min="2838" max="2838" width="35" style="256" customWidth="1"/>
    <col min="2839" max="2839" width="35.140625" style="256" customWidth="1"/>
    <col min="2840" max="2840" width="41.140625" style="256" customWidth="1"/>
    <col min="2841" max="2841" width="16.42578125" style="256" customWidth="1"/>
    <col min="2842" max="2842" width="21.42578125" style="256" customWidth="1"/>
    <col min="2843" max="2843" width="31.42578125" style="256" customWidth="1"/>
    <col min="2844" max="2844" width="18.140625" style="256" customWidth="1"/>
    <col min="2845" max="3072" width="9.140625" style="256"/>
    <col min="3073" max="3073" width="9.28515625" style="256" customWidth="1"/>
    <col min="3074" max="3074" width="12.85546875" style="256" customWidth="1"/>
    <col min="3075" max="3075" width="167.42578125" style="256" customWidth="1"/>
    <col min="3076" max="3076" width="27.85546875" style="256" customWidth="1"/>
    <col min="3077" max="3077" width="26.140625" style="256" customWidth="1"/>
    <col min="3078" max="3078" width="26.85546875" style="256" customWidth="1"/>
    <col min="3079" max="3079" width="34.5703125" style="256" customWidth="1"/>
    <col min="3080" max="3080" width="23.28515625" style="256" customWidth="1"/>
    <col min="3081" max="3081" width="25.140625" style="256" customWidth="1"/>
    <col min="3082" max="3082" width="24.85546875" style="256" customWidth="1"/>
    <col min="3083" max="3083" width="22" style="256" customWidth="1"/>
    <col min="3084" max="3084" width="25.7109375" style="256" customWidth="1"/>
    <col min="3085" max="3085" width="26.140625" style="256" customWidth="1"/>
    <col min="3086" max="3086" width="27.5703125" style="256" customWidth="1"/>
    <col min="3087" max="3087" width="27.140625" style="256" customWidth="1"/>
    <col min="3088" max="3088" width="32.85546875" style="256" customWidth="1"/>
    <col min="3089" max="3089" width="22.42578125" style="256" customWidth="1"/>
    <col min="3090" max="3090" width="28.140625" style="256" customWidth="1"/>
    <col min="3091" max="3091" width="52.42578125" style="256" customWidth="1"/>
    <col min="3092" max="3092" width="32.42578125" style="256" customWidth="1"/>
    <col min="3093" max="3093" width="24.5703125" style="256" customWidth="1"/>
    <col min="3094" max="3094" width="35" style="256" customWidth="1"/>
    <col min="3095" max="3095" width="35.140625" style="256" customWidth="1"/>
    <col min="3096" max="3096" width="41.140625" style="256" customWidth="1"/>
    <col min="3097" max="3097" width="16.42578125" style="256" customWidth="1"/>
    <col min="3098" max="3098" width="21.42578125" style="256" customWidth="1"/>
    <col min="3099" max="3099" width="31.42578125" style="256" customWidth="1"/>
    <col min="3100" max="3100" width="18.140625" style="256" customWidth="1"/>
    <col min="3101" max="3328" width="9.140625" style="256"/>
    <col min="3329" max="3329" width="9.28515625" style="256" customWidth="1"/>
    <col min="3330" max="3330" width="12.85546875" style="256" customWidth="1"/>
    <col min="3331" max="3331" width="167.42578125" style="256" customWidth="1"/>
    <col min="3332" max="3332" width="27.85546875" style="256" customWidth="1"/>
    <col min="3333" max="3333" width="26.140625" style="256" customWidth="1"/>
    <col min="3334" max="3334" width="26.85546875" style="256" customWidth="1"/>
    <col min="3335" max="3335" width="34.5703125" style="256" customWidth="1"/>
    <col min="3336" max="3336" width="23.28515625" style="256" customWidth="1"/>
    <col min="3337" max="3337" width="25.140625" style="256" customWidth="1"/>
    <col min="3338" max="3338" width="24.85546875" style="256" customWidth="1"/>
    <col min="3339" max="3339" width="22" style="256" customWidth="1"/>
    <col min="3340" max="3340" width="25.7109375" style="256" customWidth="1"/>
    <col min="3341" max="3341" width="26.140625" style="256" customWidth="1"/>
    <col min="3342" max="3342" width="27.5703125" style="256" customWidth="1"/>
    <col min="3343" max="3343" width="27.140625" style="256" customWidth="1"/>
    <col min="3344" max="3344" width="32.85546875" style="256" customWidth="1"/>
    <col min="3345" max="3345" width="22.42578125" style="256" customWidth="1"/>
    <col min="3346" max="3346" width="28.140625" style="256" customWidth="1"/>
    <col min="3347" max="3347" width="52.42578125" style="256" customWidth="1"/>
    <col min="3348" max="3348" width="32.42578125" style="256" customWidth="1"/>
    <col min="3349" max="3349" width="24.5703125" style="256" customWidth="1"/>
    <col min="3350" max="3350" width="35" style="256" customWidth="1"/>
    <col min="3351" max="3351" width="35.140625" style="256" customWidth="1"/>
    <col min="3352" max="3352" width="41.140625" style="256" customWidth="1"/>
    <col min="3353" max="3353" width="16.42578125" style="256" customWidth="1"/>
    <col min="3354" max="3354" width="21.42578125" style="256" customWidth="1"/>
    <col min="3355" max="3355" width="31.42578125" style="256" customWidth="1"/>
    <col min="3356" max="3356" width="18.140625" style="256" customWidth="1"/>
    <col min="3357" max="3584" width="9.140625" style="256"/>
    <col min="3585" max="3585" width="9.28515625" style="256" customWidth="1"/>
    <col min="3586" max="3586" width="12.85546875" style="256" customWidth="1"/>
    <col min="3587" max="3587" width="167.42578125" style="256" customWidth="1"/>
    <col min="3588" max="3588" width="27.85546875" style="256" customWidth="1"/>
    <col min="3589" max="3589" width="26.140625" style="256" customWidth="1"/>
    <col min="3590" max="3590" width="26.85546875" style="256" customWidth="1"/>
    <col min="3591" max="3591" width="34.5703125" style="256" customWidth="1"/>
    <col min="3592" max="3592" width="23.28515625" style="256" customWidth="1"/>
    <col min="3593" max="3593" width="25.140625" style="256" customWidth="1"/>
    <col min="3594" max="3594" width="24.85546875" style="256" customWidth="1"/>
    <col min="3595" max="3595" width="22" style="256" customWidth="1"/>
    <col min="3596" max="3596" width="25.7109375" style="256" customWidth="1"/>
    <col min="3597" max="3597" width="26.140625" style="256" customWidth="1"/>
    <col min="3598" max="3598" width="27.5703125" style="256" customWidth="1"/>
    <col min="3599" max="3599" width="27.140625" style="256" customWidth="1"/>
    <col min="3600" max="3600" width="32.85546875" style="256" customWidth="1"/>
    <col min="3601" max="3601" width="22.42578125" style="256" customWidth="1"/>
    <col min="3602" max="3602" width="28.140625" style="256" customWidth="1"/>
    <col min="3603" max="3603" width="52.42578125" style="256" customWidth="1"/>
    <col min="3604" max="3604" width="32.42578125" style="256" customWidth="1"/>
    <col min="3605" max="3605" width="24.5703125" style="256" customWidth="1"/>
    <col min="3606" max="3606" width="35" style="256" customWidth="1"/>
    <col min="3607" max="3607" width="35.140625" style="256" customWidth="1"/>
    <col min="3608" max="3608" width="41.140625" style="256" customWidth="1"/>
    <col min="3609" max="3609" width="16.42578125" style="256" customWidth="1"/>
    <col min="3610" max="3610" width="21.42578125" style="256" customWidth="1"/>
    <col min="3611" max="3611" width="31.42578125" style="256" customWidth="1"/>
    <col min="3612" max="3612" width="18.140625" style="256" customWidth="1"/>
    <col min="3613" max="3840" width="9.140625" style="256"/>
    <col min="3841" max="3841" width="9.28515625" style="256" customWidth="1"/>
    <col min="3842" max="3842" width="12.85546875" style="256" customWidth="1"/>
    <col min="3843" max="3843" width="167.42578125" style="256" customWidth="1"/>
    <col min="3844" max="3844" width="27.85546875" style="256" customWidth="1"/>
    <col min="3845" max="3845" width="26.140625" style="256" customWidth="1"/>
    <col min="3846" max="3846" width="26.85546875" style="256" customWidth="1"/>
    <col min="3847" max="3847" width="34.5703125" style="256" customWidth="1"/>
    <col min="3848" max="3848" width="23.28515625" style="256" customWidth="1"/>
    <col min="3849" max="3849" width="25.140625" style="256" customWidth="1"/>
    <col min="3850" max="3850" width="24.85546875" style="256" customWidth="1"/>
    <col min="3851" max="3851" width="22" style="256" customWidth="1"/>
    <col min="3852" max="3852" width="25.7109375" style="256" customWidth="1"/>
    <col min="3853" max="3853" width="26.140625" style="256" customWidth="1"/>
    <col min="3854" max="3854" width="27.5703125" style="256" customWidth="1"/>
    <col min="3855" max="3855" width="27.140625" style="256" customWidth="1"/>
    <col min="3856" max="3856" width="32.85546875" style="256" customWidth="1"/>
    <col min="3857" max="3857" width="22.42578125" style="256" customWidth="1"/>
    <col min="3858" max="3858" width="28.140625" style="256" customWidth="1"/>
    <col min="3859" max="3859" width="52.42578125" style="256" customWidth="1"/>
    <col min="3860" max="3860" width="32.42578125" style="256" customWidth="1"/>
    <col min="3861" max="3861" width="24.5703125" style="256" customWidth="1"/>
    <col min="3862" max="3862" width="35" style="256" customWidth="1"/>
    <col min="3863" max="3863" width="35.140625" style="256" customWidth="1"/>
    <col min="3864" max="3864" width="41.140625" style="256" customWidth="1"/>
    <col min="3865" max="3865" width="16.42578125" style="256" customWidth="1"/>
    <col min="3866" max="3866" width="21.42578125" style="256" customWidth="1"/>
    <col min="3867" max="3867" width="31.42578125" style="256" customWidth="1"/>
    <col min="3868" max="3868" width="18.140625" style="256" customWidth="1"/>
    <col min="3869" max="4096" width="9.140625" style="256"/>
    <col min="4097" max="4097" width="9.28515625" style="256" customWidth="1"/>
    <col min="4098" max="4098" width="12.85546875" style="256" customWidth="1"/>
    <col min="4099" max="4099" width="167.42578125" style="256" customWidth="1"/>
    <col min="4100" max="4100" width="27.85546875" style="256" customWidth="1"/>
    <col min="4101" max="4101" width="26.140625" style="256" customWidth="1"/>
    <col min="4102" max="4102" width="26.85546875" style="256" customWidth="1"/>
    <col min="4103" max="4103" width="34.5703125" style="256" customWidth="1"/>
    <col min="4104" max="4104" width="23.28515625" style="256" customWidth="1"/>
    <col min="4105" max="4105" width="25.140625" style="256" customWidth="1"/>
    <col min="4106" max="4106" width="24.85546875" style="256" customWidth="1"/>
    <col min="4107" max="4107" width="22" style="256" customWidth="1"/>
    <col min="4108" max="4108" width="25.7109375" style="256" customWidth="1"/>
    <col min="4109" max="4109" width="26.140625" style="256" customWidth="1"/>
    <col min="4110" max="4110" width="27.5703125" style="256" customWidth="1"/>
    <col min="4111" max="4111" width="27.140625" style="256" customWidth="1"/>
    <col min="4112" max="4112" width="32.85546875" style="256" customWidth="1"/>
    <col min="4113" max="4113" width="22.42578125" style="256" customWidth="1"/>
    <col min="4114" max="4114" width="28.140625" style="256" customWidth="1"/>
    <col min="4115" max="4115" width="52.42578125" style="256" customWidth="1"/>
    <col min="4116" max="4116" width="32.42578125" style="256" customWidth="1"/>
    <col min="4117" max="4117" width="24.5703125" style="256" customWidth="1"/>
    <col min="4118" max="4118" width="35" style="256" customWidth="1"/>
    <col min="4119" max="4119" width="35.140625" style="256" customWidth="1"/>
    <col min="4120" max="4120" width="41.140625" style="256" customWidth="1"/>
    <col min="4121" max="4121" width="16.42578125" style="256" customWidth="1"/>
    <col min="4122" max="4122" width="21.42578125" style="256" customWidth="1"/>
    <col min="4123" max="4123" width="31.42578125" style="256" customWidth="1"/>
    <col min="4124" max="4124" width="18.140625" style="256" customWidth="1"/>
    <col min="4125" max="4352" width="9.140625" style="256"/>
    <col min="4353" max="4353" width="9.28515625" style="256" customWidth="1"/>
    <col min="4354" max="4354" width="12.85546875" style="256" customWidth="1"/>
    <col min="4355" max="4355" width="167.42578125" style="256" customWidth="1"/>
    <col min="4356" max="4356" width="27.85546875" style="256" customWidth="1"/>
    <col min="4357" max="4357" width="26.140625" style="256" customWidth="1"/>
    <col min="4358" max="4358" width="26.85546875" style="256" customWidth="1"/>
    <col min="4359" max="4359" width="34.5703125" style="256" customWidth="1"/>
    <col min="4360" max="4360" width="23.28515625" style="256" customWidth="1"/>
    <col min="4361" max="4361" width="25.140625" style="256" customWidth="1"/>
    <col min="4362" max="4362" width="24.85546875" style="256" customWidth="1"/>
    <col min="4363" max="4363" width="22" style="256" customWidth="1"/>
    <col min="4364" max="4364" width="25.7109375" style="256" customWidth="1"/>
    <col min="4365" max="4365" width="26.140625" style="256" customWidth="1"/>
    <col min="4366" max="4366" width="27.5703125" style="256" customWidth="1"/>
    <col min="4367" max="4367" width="27.140625" style="256" customWidth="1"/>
    <col min="4368" max="4368" width="32.85546875" style="256" customWidth="1"/>
    <col min="4369" max="4369" width="22.42578125" style="256" customWidth="1"/>
    <col min="4370" max="4370" width="28.140625" style="256" customWidth="1"/>
    <col min="4371" max="4371" width="52.42578125" style="256" customWidth="1"/>
    <col min="4372" max="4372" width="32.42578125" style="256" customWidth="1"/>
    <col min="4373" max="4373" width="24.5703125" style="256" customWidth="1"/>
    <col min="4374" max="4374" width="35" style="256" customWidth="1"/>
    <col min="4375" max="4375" width="35.140625" style="256" customWidth="1"/>
    <col min="4376" max="4376" width="41.140625" style="256" customWidth="1"/>
    <col min="4377" max="4377" width="16.42578125" style="256" customWidth="1"/>
    <col min="4378" max="4378" width="21.42578125" style="256" customWidth="1"/>
    <col min="4379" max="4379" width="31.42578125" style="256" customWidth="1"/>
    <col min="4380" max="4380" width="18.140625" style="256" customWidth="1"/>
    <col min="4381" max="4608" width="9.140625" style="256"/>
    <col min="4609" max="4609" width="9.28515625" style="256" customWidth="1"/>
    <col min="4610" max="4610" width="12.85546875" style="256" customWidth="1"/>
    <col min="4611" max="4611" width="167.42578125" style="256" customWidth="1"/>
    <col min="4612" max="4612" width="27.85546875" style="256" customWidth="1"/>
    <col min="4613" max="4613" width="26.140625" style="256" customWidth="1"/>
    <col min="4614" max="4614" width="26.85546875" style="256" customWidth="1"/>
    <col min="4615" max="4615" width="34.5703125" style="256" customWidth="1"/>
    <col min="4616" max="4616" width="23.28515625" style="256" customWidth="1"/>
    <col min="4617" max="4617" width="25.140625" style="256" customWidth="1"/>
    <col min="4618" max="4618" width="24.85546875" style="256" customWidth="1"/>
    <col min="4619" max="4619" width="22" style="256" customWidth="1"/>
    <col min="4620" max="4620" width="25.7109375" style="256" customWidth="1"/>
    <col min="4621" max="4621" width="26.140625" style="256" customWidth="1"/>
    <col min="4622" max="4622" width="27.5703125" style="256" customWidth="1"/>
    <col min="4623" max="4623" width="27.140625" style="256" customWidth="1"/>
    <col min="4624" max="4624" width="32.85546875" style="256" customWidth="1"/>
    <col min="4625" max="4625" width="22.42578125" style="256" customWidth="1"/>
    <col min="4626" max="4626" width="28.140625" style="256" customWidth="1"/>
    <col min="4627" max="4627" width="52.42578125" style="256" customWidth="1"/>
    <col min="4628" max="4628" width="32.42578125" style="256" customWidth="1"/>
    <col min="4629" max="4629" width="24.5703125" style="256" customWidth="1"/>
    <col min="4630" max="4630" width="35" style="256" customWidth="1"/>
    <col min="4631" max="4631" width="35.140625" style="256" customWidth="1"/>
    <col min="4632" max="4632" width="41.140625" style="256" customWidth="1"/>
    <col min="4633" max="4633" width="16.42578125" style="256" customWidth="1"/>
    <col min="4634" max="4634" width="21.42578125" style="256" customWidth="1"/>
    <col min="4635" max="4635" width="31.42578125" style="256" customWidth="1"/>
    <col min="4636" max="4636" width="18.140625" style="256" customWidth="1"/>
    <col min="4637" max="4864" width="9.140625" style="256"/>
    <col min="4865" max="4865" width="9.28515625" style="256" customWidth="1"/>
    <col min="4866" max="4866" width="12.85546875" style="256" customWidth="1"/>
    <col min="4867" max="4867" width="167.42578125" style="256" customWidth="1"/>
    <col min="4868" max="4868" width="27.85546875" style="256" customWidth="1"/>
    <col min="4869" max="4869" width="26.140625" style="256" customWidth="1"/>
    <col min="4870" max="4870" width="26.85546875" style="256" customWidth="1"/>
    <col min="4871" max="4871" width="34.5703125" style="256" customWidth="1"/>
    <col min="4872" max="4872" width="23.28515625" style="256" customWidth="1"/>
    <col min="4873" max="4873" width="25.140625" style="256" customWidth="1"/>
    <col min="4874" max="4874" width="24.85546875" style="256" customWidth="1"/>
    <col min="4875" max="4875" width="22" style="256" customWidth="1"/>
    <col min="4876" max="4876" width="25.7109375" style="256" customWidth="1"/>
    <col min="4877" max="4877" width="26.140625" style="256" customWidth="1"/>
    <col min="4878" max="4878" width="27.5703125" style="256" customWidth="1"/>
    <col min="4879" max="4879" width="27.140625" style="256" customWidth="1"/>
    <col min="4880" max="4880" width="32.85546875" style="256" customWidth="1"/>
    <col min="4881" max="4881" width="22.42578125" style="256" customWidth="1"/>
    <col min="4882" max="4882" width="28.140625" style="256" customWidth="1"/>
    <col min="4883" max="4883" width="52.42578125" style="256" customWidth="1"/>
    <col min="4884" max="4884" width="32.42578125" style="256" customWidth="1"/>
    <col min="4885" max="4885" width="24.5703125" style="256" customWidth="1"/>
    <col min="4886" max="4886" width="35" style="256" customWidth="1"/>
    <col min="4887" max="4887" width="35.140625" style="256" customWidth="1"/>
    <col min="4888" max="4888" width="41.140625" style="256" customWidth="1"/>
    <col min="4889" max="4889" width="16.42578125" style="256" customWidth="1"/>
    <col min="4890" max="4890" width="21.42578125" style="256" customWidth="1"/>
    <col min="4891" max="4891" width="31.42578125" style="256" customWidth="1"/>
    <col min="4892" max="4892" width="18.140625" style="256" customWidth="1"/>
    <col min="4893" max="5120" width="9.140625" style="256"/>
    <col min="5121" max="5121" width="9.28515625" style="256" customWidth="1"/>
    <col min="5122" max="5122" width="12.85546875" style="256" customWidth="1"/>
    <col min="5123" max="5123" width="167.42578125" style="256" customWidth="1"/>
    <col min="5124" max="5124" width="27.85546875" style="256" customWidth="1"/>
    <col min="5125" max="5125" width="26.140625" style="256" customWidth="1"/>
    <col min="5126" max="5126" width="26.85546875" style="256" customWidth="1"/>
    <col min="5127" max="5127" width="34.5703125" style="256" customWidth="1"/>
    <col min="5128" max="5128" width="23.28515625" style="256" customWidth="1"/>
    <col min="5129" max="5129" width="25.140625" style="256" customWidth="1"/>
    <col min="5130" max="5130" width="24.85546875" style="256" customWidth="1"/>
    <col min="5131" max="5131" width="22" style="256" customWidth="1"/>
    <col min="5132" max="5132" width="25.7109375" style="256" customWidth="1"/>
    <col min="5133" max="5133" width="26.140625" style="256" customWidth="1"/>
    <col min="5134" max="5134" width="27.5703125" style="256" customWidth="1"/>
    <col min="5135" max="5135" width="27.140625" style="256" customWidth="1"/>
    <col min="5136" max="5136" width="32.85546875" style="256" customWidth="1"/>
    <col min="5137" max="5137" width="22.42578125" style="256" customWidth="1"/>
    <col min="5138" max="5138" width="28.140625" style="256" customWidth="1"/>
    <col min="5139" max="5139" width="52.42578125" style="256" customWidth="1"/>
    <col min="5140" max="5140" width="32.42578125" style="256" customWidth="1"/>
    <col min="5141" max="5141" width="24.5703125" style="256" customWidth="1"/>
    <col min="5142" max="5142" width="35" style="256" customWidth="1"/>
    <col min="5143" max="5143" width="35.140625" style="256" customWidth="1"/>
    <col min="5144" max="5144" width="41.140625" style="256" customWidth="1"/>
    <col min="5145" max="5145" width="16.42578125" style="256" customWidth="1"/>
    <col min="5146" max="5146" width="21.42578125" style="256" customWidth="1"/>
    <col min="5147" max="5147" width="31.42578125" style="256" customWidth="1"/>
    <col min="5148" max="5148" width="18.140625" style="256" customWidth="1"/>
    <col min="5149" max="5376" width="9.140625" style="256"/>
    <col min="5377" max="5377" width="9.28515625" style="256" customWidth="1"/>
    <col min="5378" max="5378" width="12.85546875" style="256" customWidth="1"/>
    <col min="5379" max="5379" width="167.42578125" style="256" customWidth="1"/>
    <col min="5380" max="5380" width="27.85546875" style="256" customWidth="1"/>
    <col min="5381" max="5381" width="26.140625" style="256" customWidth="1"/>
    <col min="5382" max="5382" width="26.85546875" style="256" customWidth="1"/>
    <col min="5383" max="5383" width="34.5703125" style="256" customWidth="1"/>
    <col min="5384" max="5384" width="23.28515625" style="256" customWidth="1"/>
    <col min="5385" max="5385" width="25.140625" style="256" customWidth="1"/>
    <col min="5386" max="5386" width="24.85546875" style="256" customWidth="1"/>
    <col min="5387" max="5387" width="22" style="256" customWidth="1"/>
    <col min="5388" max="5388" width="25.7109375" style="256" customWidth="1"/>
    <col min="5389" max="5389" width="26.140625" style="256" customWidth="1"/>
    <col min="5390" max="5390" width="27.5703125" style="256" customWidth="1"/>
    <col min="5391" max="5391" width="27.140625" style="256" customWidth="1"/>
    <col min="5392" max="5392" width="32.85546875" style="256" customWidth="1"/>
    <col min="5393" max="5393" width="22.42578125" style="256" customWidth="1"/>
    <col min="5394" max="5394" width="28.140625" style="256" customWidth="1"/>
    <col min="5395" max="5395" width="52.42578125" style="256" customWidth="1"/>
    <col min="5396" max="5396" width="32.42578125" style="256" customWidth="1"/>
    <col min="5397" max="5397" width="24.5703125" style="256" customWidth="1"/>
    <col min="5398" max="5398" width="35" style="256" customWidth="1"/>
    <col min="5399" max="5399" width="35.140625" style="256" customWidth="1"/>
    <col min="5400" max="5400" width="41.140625" style="256" customWidth="1"/>
    <col min="5401" max="5401" width="16.42578125" style="256" customWidth="1"/>
    <col min="5402" max="5402" width="21.42578125" style="256" customWidth="1"/>
    <col min="5403" max="5403" width="31.42578125" style="256" customWidth="1"/>
    <col min="5404" max="5404" width="18.140625" style="256" customWidth="1"/>
    <col min="5405" max="5632" width="9.140625" style="256"/>
    <col min="5633" max="5633" width="9.28515625" style="256" customWidth="1"/>
    <col min="5634" max="5634" width="12.85546875" style="256" customWidth="1"/>
    <col min="5635" max="5635" width="167.42578125" style="256" customWidth="1"/>
    <col min="5636" max="5636" width="27.85546875" style="256" customWidth="1"/>
    <col min="5637" max="5637" width="26.140625" style="256" customWidth="1"/>
    <col min="5638" max="5638" width="26.85546875" style="256" customWidth="1"/>
    <col min="5639" max="5639" width="34.5703125" style="256" customWidth="1"/>
    <col min="5640" max="5640" width="23.28515625" style="256" customWidth="1"/>
    <col min="5641" max="5641" width="25.140625" style="256" customWidth="1"/>
    <col min="5642" max="5642" width="24.85546875" style="256" customWidth="1"/>
    <col min="5643" max="5643" width="22" style="256" customWidth="1"/>
    <col min="5644" max="5644" width="25.7109375" style="256" customWidth="1"/>
    <col min="5645" max="5645" width="26.140625" style="256" customWidth="1"/>
    <col min="5646" max="5646" width="27.5703125" style="256" customWidth="1"/>
    <col min="5647" max="5647" width="27.140625" style="256" customWidth="1"/>
    <col min="5648" max="5648" width="32.85546875" style="256" customWidth="1"/>
    <col min="5649" max="5649" width="22.42578125" style="256" customWidth="1"/>
    <col min="5650" max="5650" width="28.140625" style="256" customWidth="1"/>
    <col min="5651" max="5651" width="52.42578125" style="256" customWidth="1"/>
    <col min="5652" max="5652" width="32.42578125" style="256" customWidth="1"/>
    <col min="5653" max="5653" width="24.5703125" style="256" customWidth="1"/>
    <col min="5654" max="5654" width="35" style="256" customWidth="1"/>
    <col min="5655" max="5655" width="35.140625" style="256" customWidth="1"/>
    <col min="5656" max="5656" width="41.140625" style="256" customWidth="1"/>
    <col min="5657" max="5657" width="16.42578125" style="256" customWidth="1"/>
    <col min="5658" max="5658" width="21.42578125" style="256" customWidth="1"/>
    <col min="5659" max="5659" width="31.42578125" style="256" customWidth="1"/>
    <col min="5660" max="5660" width="18.140625" style="256" customWidth="1"/>
    <col min="5661" max="5888" width="9.140625" style="256"/>
    <col min="5889" max="5889" width="9.28515625" style="256" customWidth="1"/>
    <col min="5890" max="5890" width="12.85546875" style="256" customWidth="1"/>
    <col min="5891" max="5891" width="167.42578125" style="256" customWidth="1"/>
    <col min="5892" max="5892" width="27.85546875" style="256" customWidth="1"/>
    <col min="5893" max="5893" width="26.140625" style="256" customWidth="1"/>
    <col min="5894" max="5894" width="26.85546875" style="256" customWidth="1"/>
    <col min="5895" max="5895" width="34.5703125" style="256" customWidth="1"/>
    <col min="5896" max="5896" width="23.28515625" style="256" customWidth="1"/>
    <col min="5897" max="5897" width="25.140625" style="256" customWidth="1"/>
    <col min="5898" max="5898" width="24.85546875" style="256" customWidth="1"/>
    <col min="5899" max="5899" width="22" style="256" customWidth="1"/>
    <col min="5900" max="5900" width="25.7109375" style="256" customWidth="1"/>
    <col min="5901" max="5901" width="26.140625" style="256" customWidth="1"/>
    <col min="5902" max="5902" width="27.5703125" style="256" customWidth="1"/>
    <col min="5903" max="5903" width="27.140625" style="256" customWidth="1"/>
    <col min="5904" max="5904" width="32.85546875" style="256" customWidth="1"/>
    <col min="5905" max="5905" width="22.42578125" style="256" customWidth="1"/>
    <col min="5906" max="5906" width="28.140625" style="256" customWidth="1"/>
    <col min="5907" max="5907" width="52.42578125" style="256" customWidth="1"/>
    <col min="5908" max="5908" width="32.42578125" style="256" customWidth="1"/>
    <col min="5909" max="5909" width="24.5703125" style="256" customWidth="1"/>
    <col min="5910" max="5910" width="35" style="256" customWidth="1"/>
    <col min="5911" max="5911" width="35.140625" style="256" customWidth="1"/>
    <col min="5912" max="5912" width="41.140625" style="256" customWidth="1"/>
    <col min="5913" max="5913" width="16.42578125" style="256" customWidth="1"/>
    <col min="5914" max="5914" width="21.42578125" style="256" customWidth="1"/>
    <col min="5915" max="5915" width="31.42578125" style="256" customWidth="1"/>
    <col min="5916" max="5916" width="18.140625" style="256" customWidth="1"/>
    <col min="5917" max="6144" width="9.140625" style="256"/>
    <col min="6145" max="6145" width="9.28515625" style="256" customWidth="1"/>
    <col min="6146" max="6146" width="12.85546875" style="256" customWidth="1"/>
    <col min="6147" max="6147" width="167.42578125" style="256" customWidth="1"/>
    <col min="6148" max="6148" width="27.85546875" style="256" customWidth="1"/>
    <col min="6149" max="6149" width="26.140625" style="256" customWidth="1"/>
    <col min="6150" max="6150" width="26.85546875" style="256" customWidth="1"/>
    <col min="6151" max="6151" width="34.5703125" style="256" customWidth="1"/>
    <col min="6152" max="6152" width="23.28515625" style="256" customWidth="1"/>
    <col min="6153" max="6153" width="25.140625" style="256" customWidth="1"/>
    <col min="6154" max="6154" width="24.85546875" style="256" customWidth="1"/>
    <col min="6155" max="6155" width="22" style="256" customWidth="1"/>
    <col min="6156" max="6156" width="25.7109375" style="256" customWidth="1"/>
    <col min="6157" max="6157" width="26.140625" style="256" customWidth="1"/>
    <col min="6158" max="6158" width="27.5703125" style="256" customWidth="1"/>
    <col min="6159" max="6159" width="27.140625" style="256" customWidth="1"/>
    <col min="6160" max="6160" width="32.85546875" style="256" customWidth="1"/>
    <col min="6161" max="6161" width="22.42578125" style="256" customWidth="1"/>
    <col min="6162" max="6162" width="28.140625" style="256" customWidth="1"/>
    <col min="6163" max="6163" width="52.42578125" style="256" customWidth="1"/>
    <col min="6164" max="6164" width="32.42578125" style="256" customWidth="1"/>
    <col min="6165" max="6165" width="24.5703125" style="256" customWidth="1"/>
    <col min="6166" max="6166" width="35" style="256" customWidth="1"/>
    <col min="6167" max="6167" width="35.140625" style="256" customWidth="1"/>
    <col min="6168" max="6168" width="41.140625" style="256" customWidth="1"/>
    <col min="6169" max="6169" width="16.42578125" style="256" customWidth="1"/>
    <col min="6170" max="6170" width="21.42578125" style="256" customWidth="1"/>
    <col min="6171" max="6171" width="31.42578125" style="256" customWidth="1"/>
    <col min="6172" max="6172" width="18.140625" style="256" customWidth="1"/>
    <col min="6173" max="6400" width="9.140625" style="256"/>
    <col min="6401" max="6401" width="9.28515625" style="256" customWidth="1"/>
    <col min="6402" max="6402" width="12.85546875" style="256" customWidth="1"/>
    <col min="6403" max="6403" width="167.42578125" style="256" customWidth="1"/>
    <col min="6404" max="6404" width="27.85546875" style="256" customWidth="1"/>
    <col min="6405" max="6405" width="26.140625" style="256" customWidth="1"/>
    <col min="6406" max="6406" width="26.85546875" style="256" customWidth="1"/>
    <col min="6407" max="6407" width="34.5703125" style="256" customWidth="1"/>
    <col min="6408" max="6408" width="23.28515625" style="256" customWidth="1"/>
    <col min="6409" max="6409" width="25.140625" style="256" customWidth="1"/>
    <col min="6410" max="6410" width="24.85546875" style="256" customWidth="1"/>
    <col min="6411" max="6411" width="22" style="256" customWidth="1"/>
    <col min="6412" max="6412" width="25.7109375" style="256" customWidth="1"/>
    <col min="6413" max="6413" width="26.140625" style="256" customWidth="1"/>
    <col min="6414" max="6414" width="27.5703125" style="256" customWidth="1"/>
    <col min="6415" max="6415" width="27.140625" style="256" customWidth="1"/>
    <col min="6416" max="6416" width="32.85546875" style="256" customWidth="1"/>
    <col min="6417" max="6417" width="22.42578125" style="256" customWidth="1"/>
    <col min="6418" max="6418" width="28.140625" style="256" customWidth="1"/>
    <col min="6419" max="6419" width="52.42578125" style="256" customWidth="1"/>
    <col min="6420" max="6420" width="32.42578125" style="256" customWidth="1"/>
    <col min="6421" max="6421" width="24.5703125" style="256" customWidth="1"/>
    <col min="6422" max="6422" width="35" style="256" customWidth="1"/>
    <col min="6423" max="6423" width="35.140625" style="256" customWidth="1"/>
    <col min="6424" max="6424" width="41.140625" style="256" customWidth="1"/>
    <col min="6425" max="6425" width="16.42578125" style="256" customWidth="1"/>
    <col min="6426" max="6426" width="21.42578125" style="256" customWidth="1"/>
    <col min="6427" max="6427" width="31.42578125" style="256" customWidth="1"/>
    <col min="6428" max="6428" width="18.140625" style="256" customWidth="1"/>
    <col min="6429" max="6656" width="9.140625" style="256"/>
    <col min="6657" max="6657" width="9.28515625" style="256" customWidth="1"/>
    <col min="6658" max="6658" width="12.85546875" style="256" customWidth="1"/>
    <col min="6659" max="6659" width="167.42578125" style="256" customWidth="1"/>
    <col min="6660" max="6660" width="27.85546875" style="256" customWidth="1"/>
    <col min="6661" max="6661" width="26.140625" style="256" customWidth="1"/>
    <col min="6662" max="6662" width="26.85546875" style="256" customWidth="1"/>
    <col min="6663" max="6663" width="34.5703125" style="256" customWidth="1"/>
    <col min="6664" max="6664" width="23.28515625" style="256" customWidth="1"/>
    <col min="6665" max="6665" width="25.140625" style="256" customWidth="1"/>
    <col min="6666" max="6666" width="24.85546875" style="256" customWidth="1"/>
    <col min="6667" max="6667" width="22" style="256" customWidth="1"/>
    <col min="6668" max="6668" width="25.7109375" style="256" customWidth="1"/>
    <col min="6669" max="6669" width="26.140625" style="256" customWidth="1"/>
    <col min="6670" max="6670" width="27.5703125" style="256" customWidth="1"/>
    <col min="6671" max="6671" width="27.140625" style="256" customWidth="1"/>
    <col min="6672" max="6672" width="32.85546875" style="256" customWidth="1"/>
    <col min="6673" max="6673" width="22.42578125" style="256" customWidth="1"/>
    <col min="6674" max="6674" width="28.140625" style="256" customWidth="1"/>
    <col min="6675" max="6675" width="52.42578125" style="256" customWidth="1"/>
    <col min="6676" max="6676" width="32.42578125" style="256" customWidth="1"/>
    <col min="6677" max="6677" width="24.5703125" style="256" customWidth="1"/>
    <col min="6678" max="6678" width="35" style="256" customWidth="1"/>
    <col min="6679" max="6679" width="35.140625" style="256" customWidth="1"/>
    <col min="6680" max="6680" width="41.140625" style="256" customWidth="1"/>
    <col min="6681" max="6681" width="16.42578125" style="256" customWidth="1"/>
    <col min="6682" max="6682" width="21.42578125" style="256" customWidth="1"/>
    <col min="6683" max="6683" width="31.42578125" style="256" customWidth="1"/>
    <col min="6684" max="6684" width="18.140625" style="256" customWidth="1"/>
    <col min="6685" max="6912" width="9.140625" style="256"/>
    <col min="6913" max="6913" width="9.28515625" style="256" customWidth="1"/>
    <col min="6914" max="6914" width="12.85546875" style="256" customWidth="1"/>
    <col min="6915" max="6915" width="167.42578125" style="256" customWidth="1"/>
    <col min="6916" max="6916" width="27.85546875" style="256" customWidth="1"/>
    <col min="6917" max="6917" width="26.140625" style="256" customWidth="1"/>
    <col min="6918" max="6918" width="26.85546875" style="256" customWidth="1"/>
    <col min="6919" max="6919" width="34.5703125" style="256" customWidth="1"/>
    <col min="6920" max="6920" width="23.28515625" style="256" customWidth="1"/>
    <col min="6921" max="6921" width="25.140625" style="256" customWidth="1"/>
    <col min="6922" max="6922" width="24.85546875" style="256" customWidth="1"/>
    <col min="6923" max="6923" width="22" style="256" customWidth="1"/>
    <col min="6924" max="6924" width="25.7109375" style="256" customWidth="1"/>
    <col min="6925" max="6925" width="26.140625" style="256" customWidth="1"/>
    <col min="6926" max="6926" width="27.5703125" style="256" customWidth="1"/>
    <col min="6927" max="6927" width="27.140625" style="256" customWidth="1"/>
    <col min="6928" max="6928" width="32.85546875" style="256" customWidth="1"/>
    <col min="6929" max="6929" width="22.42578125" style="256" customWidth="1"/>
    <col min="6930" max="6930" width="28.140625" style="256" customWidth="1"/>
    <col min="6931" max="6931" width="52.42578125" style="256" customWidth="1"/>
    <col min="6932" max="6932" width="32.42578125" style="256" customWidth="1"/>
    <col min="6933" max="6933" width="24.5703125" style="256" customWidth="1"/>
    <col min="6934" max="6934" width="35" style="256" customWidth="1"/>
    <col min="6935" max="6935" width="35.140625" style="256" customWidth="1"/>
    <col min="6936" max="6936" width="41.140625" style="256" customWidth="1"/>
    <col min="6937" max="6937" width="16.42578125" style="256" customWidth="1"/>
    <col min="6938" max="6938" width="21.42578125" style="256" customWidth="1"/>
    <col min="6939" max="6939" width="31.42578125" style="256" customWidth="1"/>
    <col min="6940" max="6940" width="18.140625" style="256" customWidth="1"/>
    <col min="6941" max="7168" width="9.140625" style="256"/>
    <col min="7169" max="7169" width="9.28515625" style="256" customWidth="1"/>
    <col min="7170" max="7170" width="12.85546875" style="256" customWidth="1"/>
    <col min="7171" max="7171" width="167.42578125" style="256" customWidth="1"/>
    <col min="7172" max="7172" width="27.85546875" style="256" customWidth="1"/>
    <col min="7173" max="7173" width="26.140625" style="256" customWidth="1"/>
    <col min="7174" max="7174" width="26.85546875" style="256" customWidth="1"/>
    <col min="7175" max="7175" width="34.5703125" style="256" customWidth="1"/>
    <col min="7176" max="7176" width="23.28515625" style="256" customWidth="1"/>
    <col min="7177" max="7177" width="25.140625" style="256" customWidth="1"/>
    <col min="7178" max="7178" width="24.85546875" style="256" customWidth="1"/>
    <col min="7179" max="7179" width="22" style="256" customWidth="1"/>
    <col min="7180" max="7180" width="25.7109375" style="256" customWidth="1"/>
    <col min="7181" max="7181" width="26.140625" style="256" customWidth="1"/>
    <col min="7182" max="7182" width="27.5703125" style="256" customWidth="1"/>
    <col min="7183" max="7183" width="27.140625" style="256" customWidth="1"/>
    <col min="7184" max="7184" width="32.85546875" style="256" customWidth="1"/>
    <col min="7185" max="7185" width="22.42578125" style="256" customWidth="1"/>
    <col min="7186" max="7186" width="28.140625" style="256" customWidth="1"/>
    <col min="7187" max="7187" width="52.42578125" style="256" customWidth="1"/>
    <col min="7188" max="7188" width="32.42578125" style="256" customWidth="1"/>
    <col min="7189" max="7189" width="24.5703125" style="256" customWidth="1"/>
    <col min="7190" max="7190" width="35" style="256" customWidth="1"/>
    <col min="7191" max="7191" width="35.140625" style="256" customWidth="1"/>
    <col min="7192" max="7192" width="41.140625" style="256" customWidth="1"/>
    <col min="7193" max="7193" width="16.42578125" style="256" customWidth="1"/>
    <col min="7194" max="7194" width="21.42578125" style="256" customWidth="1"/>
    <col min="7195" max="7195" width="31.42578125" style="256" customWidth="1"/>
    <col min="7196" max="7196" width="18.140625" style="256" customWidth="1"/>
    <col min="7197" max="7424" width="9.140625" style="256"/>
    <col min="7425" max="7425" width="9.28515625" style="256" customWidth="1"/>
    <col min="7426" max="7426" width="12.85546875" style="256" customWidth="1"/>
    <col min="7427" max="7427" width="167.42578125" style="256" customWidth="1"/>
    <col min="7428" max="7428" width="27.85546875" style="256" customWidth="1"/>
    <col min="7429" max="7429" width="26.140625" style="256" customWidth="1"/>
    <col min="7430" max="7430" width="26.85546875" style="256" customWidth="1"/>
    <col min="7431" max="7431" width="34.5703125" style="256" customWidth="1"/>
    <col min="7432" max="7432" width="23.28515625" style="256" customWidth="1"/>
    <col min="7433" max="7433" width="25.140625" style="256" customWidth="1"/>
    <col min="7434" max="7434" width="24.85546875" style="256" customWidth="1"/>
    <col min="7435" max="7435" width="22" style="256" customWidth="1"/>
    <col min="7436" max="7436" width="25.7109375" style="256" customWidth="1"/>
    <col min="7437" max="7437" width="26.140625" style="256" customWidth="1"/>
    <col min="7438" max="7438" width="27.5703125" style="256" customWidth="1"/>
    <col min="7439" max="7439" width="27.140625" style="256" customWidth="1"/>
    <col min="7440" max="7440" width="32.85546875" style="256" customWidth="1"/>
    <col min="7441" max="7441" width="22.42578125" style="256" customWidth="1"/>
    <col min="7442" max="7442" width="28.140625" style="256" customWidth="1"/>
    <col min="7443" max="7443" width="52.42578125" style="256" customWidth="1"/>
    <col min="7444" max="7444" width="32.42578125" style="256" customWidth="1"/>
    <col min="7445" max="7445" width="24.5703125" style="256" customWidth="1"/>
    <col min="7446" max="7446" width="35" style="256" customWidth="1"/>
    <col min="7447" max="7447" width="35.140625" style="256" customWidth="1"/>
    <col min="7448" max="7448" width="41.140625" style="256" customWidth="1"/>
    <col min="7449" max="7449" width="16.42578125" style="256" customWidth="1"/>
    <col min="7450" max="7450" width="21.42578125" style="256" customWidth="1"/>
    <col min="7451" max="7451" width="31.42578125" style="256" customWidth="1"/>
    <col min="7452" max="7452" width="18.140625" style="256" customWidth="1"/>
    <col min="7453" max="7680" width="9.140625" style="256"/>
    <col min="7681" max="7681" width="9.28515625" style="256" customWidth="1"/>
    <col min="7682" max="7682" width="12.85546875" style="256" customWidth="1"/>
    <col min="7683" max="7683" width="167.42578125" style="256" customWidth="1"/>
    <col min="7684" max="7684" width="27.85546875" style="256" customWidth="1"/>
    <col min="7685" max="7685" width="26.140625" style="256" customWidth="1"/>
    <col min="7686" max="7686" width="26.85546875" style="256" customWidth="1"/>
    <col min="7687" max="7687" width="34.5703125" style="256" customWidth="1"/>
    <col min="7688" max="7688" width="23.28515625" style="256" customWidth="1"/>
    <col min="7689" max="7689" width="25.140625" style="256" customWidth="1"/>
    <col min="7690" max="7690" width="24.85546875" style="256" customWidth="1"/>
    <col min="7691" max="7691" width="22" style="256" customWidth="1"/>
    <col min="7692" max="7692" width="25.7109375" style="256" customWidth="1"/>
    <col min="7693" max="7693" width="26.140625" style="256" customWidth="1"/>
    <col min="7694" max="7694" width="27.5703125" style="256" customWidth="1"/>
    <col min="7695" max="7695" width="27.140625" style="256" customWidth="1"/>
    <col min="7696" max="7696" width="32.85546875" style="256" customWidth="1"/>
    <col min="7697" max="7697" width="22.42578125" style="256" customWidth="1"/>
    <col min="7698" max="7698" width="28.140625" style="256" customWidth="1"/>
    <col min="7699" max="7699" width="52.42578125" style="256" customWidth="1"/>
    <col min="7700" max="7700" width="32.42578125" style="256" customWidth="1"/>
    <col min="7701" max="7701" width="24.5703125" style="256" customWidth="1"/>
    <col min="7702" max="7702" width="35" style="256" customWidth="1"/>
    <col min="7703" max="7703" width="35.140625" style="256" customWidth="1"/>
    <col min="7704" max="7704" width="41.140625" style="256" customWidth="1"/>
    <col min="7705" max="7705" width="16.42578125" style="256" customWidth="1"/>
    <col min="7706" max="7706" width="21.42578125" style="256" customWidth="1"/>
    <col min="7707" max="7707" width="31.42578125" style="256" customWidth="1"/>
    <col min="7708" max="7708" width="18.140625" style="256" customWidth="1"/>
    <col min="7709" max="7936" width="9.140625" style="256"/>
    <col min="7937" max="7937" width="9.28515625" style="256" customWidth="1"/>
    <col min="7938" max="7938" width="12.85546875" style="256" customWidth="1"/>
    <col min="7939" max="7939" width="167.42578125" style="256" customWidth="1"/>
    <col min="7940" max="7940" width="27.85546875" style="256" customWidth="1"/>
    <col min="7941" max="7941" width="26.140625" style="256" customWidth="1"/>
    <col min="7942" max="7942" width="26.85546875" style="256" customWidth="1"/>
    <col min="7943" max="7943" width="34.5703125" style="256" customWidth="1"/>
    <col min="7944" max="7944" width="23.28515625" style="256" customWidth="1"/>
    <col min="7945" max="7945" width="25.140625" style="256" customWidth="1"/>
    <col min="7946" max="7946" width="24.85546875" style="256" customWidth="1"/>
    <col min="7947" max="7947" width="22" style="256" customWidth="1"/>
    <col min="7948" max="7948" width="25.7109375" style="256" customWidth="1"/>
    <col min="7949" max="7949" width="26.140625" style="256" customWidth="1"/>
    <col min="7950" max="7950" width="27.5703125" style="256" customWidth="1"/>
    <col min="7951" max="7951" width="27.140625" style="256" customWidth="1"/>
    <col min="7952" max="7952" width="32.85546875" style="256" customWidth="1"/>
    <col min="7953" max="7953" width="22.42578125" style="256" customWidth="1"/>
    <col min="7954" max="7954" width="28.140625" style="256" customWidth="1"/>
    <col min="7955" max="7955" width="52.42578125" style="256" customWidth="1"/>
    <col min="7956" max="7956" width="32.42578125" style="256" customWidth="1"/>
    <col min="7957" max="7957" width="24.5703125" style="256" customWidth="1"/>
    <col min="7958" max="7958" width="35" style="256" customWidth="1"/>
    <col min="7959" max="7959" width="35.140625" style="256" customWidth="1"/>
    <col min="7960" max="7960" width="41.140625" style="256" customWidth="1"/>
    <col min="7961" max="7961" width="16.42578125" style="256" customWidth="1"/>
    <col min="7962" max="7962" width="21.42578125" style="256" customWidth="1"/>
    <col min="7963" max="7963" width="31.42578125" style="256" customWidth="1"/>
    <col min="7964" max="7964" width="18.140625" style="256" customWidth="1"/>
    <col min="7965" max="8192" width="9.140625" style="256"/>
    <col min="8193" max="8193" width="9.28515625" style="256" customWidth="1"/>
    <col min="8194" max="8194" width="12.85546875" style="256" customWidth="1"/>
    <col min="8195" max="8195" width="167.42578125" style="256" customWidth="1"/>
    <col min="8196" max="8196" width="27.85546875" style="256" customWidth="1"/>
    <col min="8197" max="8197" width="26.140625" style="256" customWidth="1"/>
    <col min="8198" max="8198" width="26.85546875" style="256" customWidth="1"/>
    <col min="8199" max="8199" width="34.5703125" style="256" customWidth="1"/>
    <col min="8200" max="8200" width="23.28515625" style="256" customWidth="1"/>
    <col min="8201" max="8201" width="25.140625" style="256" customWidth="1"/>
    <col min="8202" max="8202" width="24.85546875" style="256" customWidth="1"/>
    <col min="8203" max="8203" width="22" style="256" customWidth="1"/>
    <col min="8204" max="8204" width="25.7109375" style="256" customWidth="1"/>
    <col min="8205" max="8205" width="26.140625" style="256" customWidth="1"/>
    <col min="8206" max="8206" width="27.5703125" style="256" customWidth="1"/>
    <col min="8207" max="8207" width="27.140625" style="256" customWidth="1"/>
    <col min="8208" max="8208" width="32.85546875" style="256" customWidth="1"/>
    <col min="8209" max="8209" width="22.42578125" style="256" customWidth="1"/>
    <col min="8210" max="8210" width="28.140625" style="256" customWidth="1"/>
    <col min="8211" max="8211" width="52.42578125" style="256" customWidth="1"/>
    <col min="8212" max="8212" width="32.42578125" style="256" customWidth="1"/>
    <col min="8213" max="8213" width="24.5703125" style="256" customWidth="1"/>
    <col min="8214" max="8214" width="35" style="256" customWidth="1"/>
    <col min="8215" max="8215" width="35.140625" style="256" customWidth="1"/>
    <col min="8216" max="8216" width="41.140625" style="256" customWidth="1"/>
    <col min="8217" max="8217" width="16.42578125" style="256" customWidth="1"/>
    <col min="8218" max="8218" width="21.42578125" style="256" customWidth="1"/>
    <col min="8219" max="8219" width="31.42578125" style="256" customWidth="1"/>
    <col min="8220" max="8220" width="18.140625" style="256" customWidth="1"/>
    <col min="8221" max="8448" width="9.140625" style="256"/>
    <col min="8449" max="8449" width="9.28515625" style="256" customWidth="1"/>
    <col min="8450" max="8450" width="12.85546875" style="256" customWidth="1"/>
    <col min="8451" max="8451" width="167.42578125" style="256" customWidth="1"/>
    <col min="8452" max="8452" width="27.85546875" style="256" customWidth="1"/>
    <col min="8453" max="8453" width="26.140625" style="256" customWidth="1"/>
    <col min="8454" max="8454" width="26.85546875" style="256" customWidth="1"/>
    <col min="8455" max="8455" width="34.5703125" style="256" customWidth="1"/>
    <col min="8456" max="8456" width="23.28515625" style="256" customWidth="1"/>
    <col min="8457" max="8457" width="25.140625" style="256" customWidth="1"/>
    <col min="8458" max="8458" width="24.85546875" style="256" customWidth="1"/>
    <col min="8459" max="8459" width="22" style="256" customWidth="1"/>
    <col min="8460" max="8460" width="25.7109375" style="256" customWidth="1"/>
    <col min="8461" max="8461" width="26.140625" style="256" customWidth="1"/>
    <col min="8462" max="8462" width="27.5703125" style="256" customWidth="1"/>
    <col min="8463" max="8463" width="27.140625" style="256" customWidth="1"/>
    <col min="8464" max="8464" width="32.85546875" style="256" customWidth="1"/>
    <col min="8465" max="8465" width="22.42578125" style="256" customWidth="1"/>
    <col min="8466" max="8466" width="28.140625" style="256" customWidth="1"/>
    <col min="8467" max="8467" width="52.42578125" style="256" customWidth="1"/>
    <col min="8468" max="8468" width="32.42578125" style="256" customWidth="1"/>
    <col min="8469" max="8469" width="24.5703125" style="256" customWidth="1"/>
    <col min="8470" max="8470" width="35" style="256" customWidth="1"/>
    <col min="8471" max="8471" width="35.140625" style="256" customWidth="1"/>
    <col min="8472" max="8472" width="41.140625" style="256" customWidth="1"/>
    <col min="8473" max="8473" width="16.42578125" style="256" customWidth="1"/>
    <col min="8474" max="8474" width="21.42578125" style="256" customWidth="1"/>
    <col min="8475" max="8475" width="31.42578125" style="256" customWidth="1"/>
    <col min="8476" max="8476" width="18.140625" style="256" customWidth="1"/>
    <col min="8477" max="8704" width="9.140625" style="256"/>
    <col min="8705" max="8705" width="9.28515625" style="256" customWidth="1"/>
    <col min="8706" max="8706" width="12.85546875" style="256" customWidth="1"/>
    <col min="8707" max="8707" width="167.42578125" style="256" customWidth="1"/>
    <col min="8708" max="8708" width="27.85546875" style="256" customWidth="1"/>
    <col min="8709" max="8709" width="26.140625" style="256" customWidth="1"/>
    <col min="8710" max="8710" width="26.85546875" style="256" customWidth="1"/>
    <col min="8711" max="8711" width="34.5703125" style="256" customWidth="1"/>
    <col min="8712" max="8712" width="23.28515625" style="256" customWidth="1"/>
    <col min="8713" max="8713" width="25.140625" style="256" customWidth="1"/>
    <col min="8714" max="8714" width="24.85546875" style="256" customWidth="1"/>
    <col min="8715" max="8715" width="22" style="256" customWidth="1"/>
    <col min="8716" max="8716" width="25.7109375" style="256" customWidth="1"/>
    <col min="8717" max="8717" width="26.140625" style="256" customWidth="1"/>
    <col min="8718" max="8718" width="27.5703125" style="256" customWidth="1"/>
    <col min="8719" max="8719" width="27.140625" style="256" customWidth="1"/>
    <col min="8720" max="8720" width="32.85546875" style="256" customWidth="1"/>
    <col min="8721" max="8721" width="22.42578125" style="256" customWidth="1"/>
    <col min="8722" max="8722" width="28.140625" style="256" customWidth="1"/>
    <col min="8723" max="8723" width="52.42578125" style="256" customWidth="1"/>
    <col min="8724" max="8724" width="32.42578125" style="256" customWidth="1"/>
    <col min="8725" max="8725" width="24.5703125" style="256" customWidth="1"/>
    <col min="8726" max="8726" width="35" style="256" customWidth="1"/>
    <col min="8727" max="8727" width="35.140625" style="256" customWidth="1"/>
    <col min="8728" max="8728" width="41.140625" style="256" customWidth="1"/>
    <col min="8729" max="8729" width="16.42578125" style="256" customWidth="1"/>
    <col min="8730" max="8730" width="21.42578125" style="256" customWidth="1"/>
    <col min="8731" max="8731" width="31.42578125" style="256" customWidth="1"/>
    <col min="8732" max="8732" width="18.140625" style="256" customWidth="1"/>
    <col min="8733" max="8960" width="9.140625" style="256"/>
    <col min="8961" max="8961" width="9.28515625" style="256" customWidth="1"/>
    <col min="8962" max="8962" width="12.85546875" style="256" customWidth="1"/>
    <col min="8963" max="8963" width="167.42578125" style="256" customWidth="1"/>
    <col min="8964" max="8964" width="27.85546875" style="256" customWidth="1"/>
    <col min="8965" max="8965" width="26.140625" style="256" customWidth="1"/>
    <col min="8966" max="8966" width="26.85546875" style="256" customWidth="1"/>
    <col min="8967" max="8967" width="34.5703125" style="256" customWidth="1"/>
    <col min="8968" max="8968" width="23.28515625" style="256" customWidth="1"/>
    <col min="8969" max="8969" width="25.140625" style="256" customWidth="1"/>
    <col min="8970" max="8970" width="24.85546875" style="256" customWidth="1"/>
    <col min="8971" max="8971" width="22" style="256" customWidth="1"/>
    <col min="8972" max="8972" width="25.7109375" style="256" customWidth="1"/>
    <col min="8973" max="8973" width="26.140625" style="256" customWidth="1"/>
    <col min="8974" max="8974" width="27.5703125" style="256" customWidth="1"/>
    <col min="8975" max="8975" width="27.140625" style="256" customWidth="1"/>
    <col min="8976" max="8976" width="32.85546875" style="256" customWidth="1"/>
    <col min="8977" max="8977" width="22.42578125" style="256" customWidth="1"/>
    <col min="8978" max="8978" width="28.140625" style="256" customWidth="1"/>
    <col min="8979" max="8979" width="52.42578125" style="256" customWidth="1"/>
    <col min="8980" max="8980" width="32.42578125" style="256" customWidth="1"/>
    <col min="8981" max="8981" width="24.5703125" style="256" customWidth="1"/>
    <col min="8982" max="8982" width="35" style="256" customWidth="1"/>
    <col min="8983" max="8983" width="35.140625" style="256" customWidth="1"/>
    <col min="8984" max="8984" width="41.140625" style="256" customWidth="1"/>
    <col min="8985" max="8985" width="16.42578125" style="256" customWidth="1"/>
    <col min="8986" max="8986" width="21.42578125" style="256" customWidth="1"/>
    <col min="8987" max="8987" width="31.42578125" style="256" customWidth="1"/>
    <col min="8988" max="8988" width="18.140625" style="256" customWidth="1"/>
    <col min="8989" max="9216" width="9.140625" style="256"/>
    <col min="9217" max="9217" width="9.28515625" style="256" customWidth="1"/>
    <col min="9218" max="9218" width="12.85546875" style="256" customWidth="1"/>
    <col min="9219" max="9219" width="167.42578125" style="256" customWidth="1"/>
    <col min="9220" max="9220" width="27.85546875" style="256" customWidth="1"/>
    <col min="9221" max="9221" width="26.140625" style="256" customWidth="1"/>
    <col min="9222" max="9222" width="26.85546875" style="256" customWidth="1"/>
    <col min="9223" max="9223" width="34.5703125" style="256" customWidth="1"/>
    <col min="9224" max="9224" width="23.28515625" style="256" customWidth="1"/>
    <col min="9225" max="9225" width="25.140625" style="256" customWidth="1"/>
    <col min="9226" max="9226" width="24.85546875" style="256" customWidth="1"/>
    <col min="9227" max="9227" width="22" style="256" customWidth="1"/>
    <col min="9228" max="9228" width="25.7109375" style="256" customWidth="1"/>
    <col min="9229" max="9229" width="26.140625" style="256" customWidth="1"/>
    <col min="9230" max="9230" width="27.5703125" style="256" customWidth="1"/>
    <col min="9231" max="9231" width="27.140625" style="256" customWidth="1"/>
    <col min="9232" max="9232" width="32.85546875" style="256" customWidth="1"/>
    <col min="9233" max="9233" width="22.42578125" style="256" customWidth="1"/>
    <col min="9234" max="9234" width="28.140625" style="256" customWidth="1"/>
    <col min="9235" max="9235" width="52.42578125" style="256" customWidth="1"/>
    <col min="9236" max="9236" width="32.42578125" style="256" customWidth="1"/>
    <col min="9237" max="9237" width="24.5703125" style="256" customWidth="1"/>
    <col min="9238" max="9238" width="35" style="256" customWidth="1"/>
    <col min="9239" max="9239" width="35.140625" style="256" customWidth="1"/>
    <col min="9240" max="9240" width="41.140625" style="256" customWidth="1"/>
    <col min="9241" max="9241" width="16.42578125" style="256" customWidth="1"/>
    <col min="9242" max="9242" width="21.42578125" style="256" customWidth="1"/>
    <col min="9243" max="9243" width="31.42578125" style="256" customWidth="1"/>
    <col min="9244" max="9244" width="18.140625" style="256" customWidth="1"/>
    <col min="9245" max="9472" width="9.140625" style="256"/>
    <col min="9473" max="9473" width="9.28515625" style="256" customWidth="1"/>
    <col min="9474" max="9474" width="12.85546875" style="256" customWidth="1"/>
    <col min="9475" max="9475" width="167.42578125" style="256" customWidth="1"/>
    <col min="9476" max="9476" width="27.85546875" style="256" customWidth="1"/>
    <col min="9477" max="9477" width="26.140625" style="256" customWidth="1"/>
    <col min="9478" max="9478" width="26.85546875" style="256" customWidth="1"/>
    <col min="9479" max="9479" width="34.5703125" style="256" customWidth="1"/>
    <col min="9480" max="9480" width="23.28515625" style="256" customWidth="1"/>
    <col min="9481" max="9481" width="25.140625" style="256" customWidth="1"/>
    <col min="9482" max="9482" width="24.85546875" style="256" customWidth="1"/>
    <col min="9483" max="9483" width="22" style="256" customWidth="1"/>
    <col min="9484" max="9484" width="25.7109375" style="256" customWidth="1"/>
    <col min="9485" max="9485" width="26.140625" style="256" customWidth="1"/>
    <col min="9486" max="9486" width="27.5703125" style="256" customWidth="1"/>
    <col min="9487" max="9487" width="27.140625" style="256" customWidth="1"/>
    <col min="9488" max="9488" width="32.85546875" style="256" customWidth="1"/>
    <col min="9489" max="9489" width="22.42578125" style="256" customWidth="1"/>
    <col min="9490" max="9490" width="28.140625" style="256" customWidth="1"/>
    <col min="9491" max="9491" width="52.42578125" style="256" customWidth="1"/>
    <col min="9492" max="9492" width="32.42578125" style="256" customWidth="1"/>
    <col min="9493" max="9493" width="24.5703125" style="256" customWidth="1"/>
    <col min="9494" max="9494" width="35" style="256" customWidth="1"/>
    <col min="9495" max="9495" width="35.140625" style="256" customWidth="1"/>
    <col min="9496" max="9496" width="41.140625" style="256" customWidth="1"/>
    <col min="9497" max="9497" width="16.42578125" style="256" customWidth="1"/>
    <col min="9498" max="9498" width="21.42578125" style="256" customWidth="1"/>
    <col min="9499" max="9499" width="31.42578125" style="256" customWidth="1"/>
    <col min="9500" max="9500" width="18.140625" style="256" customWidth="1"/>
    <col min="9501" max="9728" width="9.140625" style="256"/>
    <col min="9729" max="9729" width="9.28515625" style="256" customWidth="1"/>
    <col min="9730" max="9730" width="12.85546875" style="256" customWidth="1"/>
    <col min="9731" max="9731" width="167.42578125" style="256" customWidth="1"/>
    <col min="9732" max="9732" width="27.85546875" style="256" customWidth="1"/>
    <col min="9733" max="9733" width="26.140625" style="256" customWidth="1"/>
    <col min="9734" max="9734" width="26.85546875" style="256" customWidth="1"/>
    <col min="9735" max="9735" width="34.5703125" style="256" customWidth="1"/>
    <col min="9736" max="9736" width="23.28515625" style="256" customWidth="1"/>
    <col min="9737" max="9737" width="25.140625" style="256" customWidth="1"/>
    <col min="9738" max="9738" width="24.85546875" style="256" customWidth="1"/>
    <col min="9739" max="9739" width="22" style="256" customWidth="1"/>
    <col min="9740" max="9740" width="25.7109375" style="256" customWidth="1"/>
    <col min="9741" max="9741" width="26.140625" style="256" customWidth="1"/>
    <col min="9742" max="9742" width="27.5703125" style="256" customWidth="1"/>
    <col min="9743" max="9743" width="27.140625" style="256" customWidth="1"/>
    <col min="9744" max="9744" width="32.85546875" style="256" customWidth="1"/>
    <col min="9745" max="9745" width="22.42578125" style="256" customWidth="1"/>
    <col min="9746" max="9746" width="28.140625" style="256" customWidth="1"/>
    <col min="9747" max="9747" width="52.42578125" style="256" customWidth="1"/>
    <col min="9748" max="9748" width="32.42578125" style="256" customWidth="1"/>
    <col min="9749" max="9749" width="24.5703125" style="256" customWidth="1"/>
    <col min="9750" max="9750" width="35" style="256" customWidth="1"/>
    <col min="9751" max="9751" width="35.140625" style="256" customWidth="1"/>
    <col min="9752" max="9752" width="41.140625" style="256" customWidth="1"/>
    <col min="9753" max="9753" width="16.42578125" style="256" customWidth="1"/>
    <col min="9754" max="9754" width="21.42578125" style="256" customWidth="1"/>
    <col min="9755" max="9755" width="31.42578125" style="256" customWidth="1"/>
    <col min="9756" max="9756" width="18.140625" style="256" customWidth="1"/>
    <col min="9757" max="9984" width="9.140625" style="256"/>
    <col min="9985" max="9985" width="9.28515625" style="256" customWidth="1"/>
    <col min="9986" max="9986" width="12.85546875" style="256" customWidth="1"/>
    <col min="9987" max="9987" width="167.42578125" style="256" customWidth="1"/>
    <col min="9988" max="9988" width="27.85546875" style="256" customWidth="1"/>
    <col min="9989" max="9989" width="26.140625" style="256" customWidth="1"/>
    <col min="9990" max="9990" width="26.85546875" style="256" customWidth="1"/>
    <col min="9991" max="9991" width="34.5703125" style="256" customWidth="1"/>
    <col min="9992" max="9992" width="23.28515625" style="256" customWidth="1"/>
    <col min="9993" max="9993" width="25.140625" style="256" customWidth="1"/>
    <col min="9994" max="9994" width="24.85546875" style="256" customWidth="1"/>
    <col min="9995" max="9995" width="22" style="256" customWidth="1"/>
    <col min="9996" max="9996" width="25.7109375" style="256" customWidth="1"/>
    <col min="9997" max="9997" width="26.140625" style="256" customWidth="1"/>
    <col min="9998" max="9998" width="27.5703125" style="256" customWidth="1"/>
    <col min="9999" max="9999" width="27.140625" style="256" customWidth="1"/>
    <col min="10000" max="10000" width="32.85546875" style="256" customWidth="1"/>
    <col min="10001" max="10001" width="22.42578125" style="256" customWidth="1"/>
    <col min="10002" max="10002" width="28.140625" style="256" customWidth="1"/>
    <col min="10003" max="10003" width="52.42578125" style="256" customWidth="1"/>
    <col min="10004" max="10004" width="32.42578125" style="256" customWidth="1"/>
    <col min="10005" max="10005" width="24.5703125" style="256" customWidth="1"/>
    <col min="10006" max="10006" width="35" style="256" customWidth="1"/>
    <col min="10007" max="10007" width="35.140625" style="256" customWidth="1"/>
    <col min="10008" max="10008" width="41.140625" style="256" customWidth="1"/>
    <col min="10009" max="10009" width="16.42578125" style="256" customWidth="1"/>
    <col min="10010" max="10010" width="21.42578125" style="256" customWidth="1"/>
    <col min="10011" max="10011" width="31.42578125" style="256" customWidth="1"/>
    <col min="10012" max="10012" width="18.140625" style="256" customWidth="1"/>
    <col min="10013" max="10240" width="9.140625" style="256"/>
    <col min="10241" max="10241" width="9.28515625" style="256" customWidth="1"/>
    <col min="10242" max="10242" width="12.85546875" style="256" customWidth="1"/>
    <col min="10243" max="10243" width="167.42578125" style="256" customWidth="1"/>
    <col min="10244" max="10244" width="27.85546875" style="256" customWidth="1"/>
    <col min="10245" max="10245" width="26.140625" style="256" customWidth="1"/>
    <col min="10246" max="10246" width="26.85546875" style="256" customWidth="1"/>
    <col min="10247" max="10247" width="34.5703125" style="256" customWidth="1"/>
    <col min="10248" max="10248" width="23.28515625" style="256" customWidth="1"/>
    <col min="10249" max="10249" width="25.140625" style="256" customWidth="1"/>
    <col min="10250" max="10250" width="24.85546875" style="256" customWidth="1"/>
    <col min="10251" max="10251" width="22" style="256" customWidth="1"/>
    <col min="10252" max="10252" width="25.7109375" style="256" customWidth="1"/>
    <col min="10253" max="10253" width="26.140625" style="256" customWidth="1"/>
    <col min="10254" max="10254" width="27.5703125" style="256" customWidth="1"/>
    <col min="10255" max="10255" width="27.140625" style="256" customWidth="1"/>
    <col min="10256" max="10256" width="32.85546875" style="256" customWidth="1"/>
    <col min="10257" max="10257" width="22.42578125" style="256" customWidth="1"/>
    <col min="10258" max="10258" width="28.140625" style="256" customWidth="1"/>
    <col min="10259" max="10259" width="52.42578125" style="256" customWidth="1"/>
    <col min="10260" max="10260" width="32.42578125" style="256" customWidth="1"/>
    <col min="10261" max="10261" width="24.5703125" style="256" customWidth="1"/>
    <col min="10262" max="10262" width="35" style="256" customWidth="1"/>
    <col min="10263" max="10263" width="35.140625" style="256" customWidth="1"/>
    <col min="10264" max="10264" width="41.140625" style="256" customWidth="1"/>
    <col min="10265" max="10265" width="16.42578125" style="256" customWidth="1"/>
    <col min="10266" max="10266" width="21.42578125" style="256" customWidth="1"/>
    <col min="10267" max="10267" width="31.42578125" style="256" customWidth="1"/>
    <col min="10268" max="10268" width="18.140625" style="256" customWidth="1"/>
    <col min="10269" max="10496" width="9.140625" style="256"/>
    <col min="10497" max="10497" width="9.28515625" style="256" customWidth="1"/>
    <col min="10498" max="10498" width="12.85546875" style="256" customWidth="1"/>
    <col min="10499" max="10499" width="167.42578125" style="256" customWidth="1"/>
    <col min="10500" max="10500" width="27.85546875" style="256" customWidth="1"/>
    <col min="10501" max="10501" width="26.140625" style="256" customWidth="1"/>
    <col min="10502" max="10502" width="26.85546875" style="256" customWidth="1"/>
    <col min="10503" max="10503" width="34.5703125" style="256" customWidth="1"/>
    <col min="10504" max="10504" width="23.28515625" style="256" customWidth="1"/>
    <col min="10505" max="10505" width="25.140625" style="256" customWidth="1"/>
    <col min="10506" max="10506" width="24.85546875" style="256" customWidth="1"/>
    <col min="10507" max="10507" width="22" style="256" customWidth="1"/>
    <col min="10508" max="10508" width="25.7109375" style="256" customWidth="1"/>
    <col min="10509" max="10509" width="26.140625" style="256" customWidth="1"/>
    <col min="10510" max="10510" width="27.5703125" style="256" customWidth="1"/>
    <col min="10511" max="10511" width="27.140625" style="256" customWidth="1"/>
    <col min="10512" max="10512" width="32.85546875" style="256" customWidth="1"/>
    <col min="10513" max="10513" width="22.42578125" style="256" customWidth="1"/>
    <col min="10514" max="10514" width="28.140625" style="256" customWidth="1"/>
    <col min="10515" max="10515" width="52.42578125" style="256" customWidth="1"/>
    <col min="10516" max="10516" width="32.42578125" style="256" customWidth="1"/>
    <col min="10517" max="10517" width="24.5703125" style="256" customWidth="1"/>
    <col min="10518" max="10518" width="35" style="256" customWidth="1"/>
    <col min="10519" max="10519" width="35.140625" style="256" customWidth="1"/>
    <col min="10520" max="10520" width="41.140625" style="256" customWidth="1"/>
    <col min="10521" max="10521" width="16.42578125" style="256" customWidth="1"/>
    <col min="10522" max="10522" width="21.42578125" style="256" customWidth="1"/>
    <col min="10523" max="10523" width="31.42578125" style="256" customWidth="1"/>
    <col min="10524" max="10524" width="18.140625" style="256" customWidth="1"/>
    <col min="10525" max="10752" width="9.140625" style="256"/>
    <col min="10753" max="10753" width="9.28515625" style="256" customWidth="1"/>
    <col min="10754" max="10754" width="12.85546875" style="256" customWidth="1"/>
    <col min="10755" max="10755" width="167.42578125" style="256" customWidth="1"/>
    <col min="10756" max="10756" width="27.85546875" style="256" customWidth="1"/>
    <col min="10757" max="10757" width="26.140625" style="256" customWidth="1"/>
    <col min="10758" max="10758" width="26.85546875" style="256" customWidth="1"/>
    <col min="10759" max="10759" width="34.5703125" style="256" customWidth="1"/>
    <col min="10760" max="10760" width="23.28515625" style="256" customWidth="1"/>
    <col min="10761" max="10761" width="25.140625" style="256" customWidth="1"/>
    <col min="10762" max="10762" width="24.85546875" style="256" customWidth="1"/>
    <col min="10763" max="10763" width="22" style="256" customWidth="1"/>
    <col min="10764" max="10764" width="25.7109375" style="256" customWidth="1"/>
    <col min="10765" max="10765" width="26.140625" style="256" customWidth="1"/>
    <col min="10766" max="10766" width="27.5703125" style="256" customWidth="1"/>
    <col min="10767" max="10767" width="27.140625" style="256" customWidth="1"/>
    <col min="10768" max="10768" width="32.85546875" style="256" customWidth="1"/>
    <col min="10769" max="10769" width="22.42578125" style="256" customWidth="1"/>
    <col min="10770" max="10770" width="28.140625" style="256" customWidth="1"/>
    <col min="10771" max="10771" width="52.42578125" style="256" customWidth="1"/>
    <col min="10772" max="10772" width="32.42578125" style="256" customWidth="1"/>
    <col min="10773" max="10773" width="24.5703125" style="256" customWidth="1"/>
    <col min="10774" max="10774" width="35" style="256" customWidth="1"/>
    <col min="10775" max="10775" width="35.140625" style="256" customWidth="1"/>
    <col min="10776" max="10776" width="41.140625" style="256" customWidth="1"/>
    <col min="10777" max="10777" width="16.42578125" style="256" customWidth="1"/>
    <col min="10778" max="10778" width="21.42578125" style="256" customWidth="1"/>
    <col min="10779" max="10779" width="31.42578125" style="256" customWidth="1"/>
    <col min="10780" max="10780" width="18.140625" style="256" customWidth="1"/>
    <col min="10781" max="11008" width="9.140625" style="256"/>
    <col min="11009" max="11009" width="9.28515625" style="256" customWidth="1"/>
    <col min="11010" max="11010" width="12.85546875" style="256" customWidth="1"/>
    <col min="11011" max="11011" width="167.42578125" style="256" customWidth="1"/>
    <col min="11012" max="11012" width="27.85546875" style="256" customWidth="1"/>
    <col min="11013" max="11013" width="26.140625" style="256" customWidth="1"/>
    <col min="11014" max="11014" width="26.85546875" style="256" customWidth="1"/>
    <col min="11015" max="11015" width="34.5703125" style="256" customWidth="1"/>
    <col min="11016" max="11016" width="23.28515625" style="256" customWidth="1"/>
    <col min="11017" max="11017" width="25.140625" style="256" customWidth="1"/>
    <col min="11018" max="11018" width="24.85546875" style="256" customWidth="1"/>
    <col min="11019" max="11019" width="22" style="256" customWidth="1"/>
    <col min="11020" max="11020" width="25.7109375" style="256" customWidth="1"/>
    <col min="11021" max="11021" width="26.140625" style="256" customWidth="1"/>
    <col min="11022" max="11022" width="27.5703125" style="256" customWidth="1"/>
    <col min="11023" max="11023" width="27.140625" style="256" customWidth="1"/>
    <col min="11024" max="11024" width="32.85546875" style="256" customWidth="1"/>
    <col min="11025" max="11025" width="22.42578125" style="256" customWidth="1"/>
    <col min="11026" max="11026" width="28.140625" style="256" customWidth="1"/>
    <col min="11027" max="11027" width="52.42578125" style="256" customWidth="1"/>
    <col min="11028" max="11028" width="32.42578125" style="256" customWidth="1"/>
    <col min="11029" max="11029" width="24.5703125" style="256" customWidth="1"/>
    <col min="11030" max="11030" width="35" style="256" customWidth="1"/>
    <col min="11031" max="11031" width="35.140625" style="256" customWidth="1"/>
    <col min="11032" max="11032" width="41.140625" style="256" customWidth="1"/>
    <col min="11033" max="11033" width="16.42578125" style="256" customWidth="1"/>
    <col min="11034" max="11034" width="21.42578125" style="256" customWidth="1"/>
    <col min="11035" max="11035" width="31.42578125" style="256" customWidth="1"/>
    <col min="11036" max="11036" width="18.140625" style="256" customWidth="1"/>
    <col min="11037" max="11264" width="9.140625" style="256"/>
    <col min="11265" max="11265" width="9.28515625" style="256" customWidth="1"/>
    <col min="11266" max="11266" width="12.85546875" style="256" customWidth="1"/>
    <col min="11267" max="11267" width="167.42578125" style="256" customWidth="1"/>
    <col min="11268" max="11268" width="27.85546875" style="256" customWidth="1"/>
    <col min="11269" max="11269" width="26.140625" style="256" customWidth="1"/>
    <col min="11270" max="11270" width="26.85546875" style="256" customWidth="1"/>
    <col min="11271" max="11271" width="34.5703125" style="256" customWidth="1"/>
    <col min="11272" max="11272" width="23.28515625" style="256" customWidth="1"/>
    <col min="11273" max="11273" width="25.140625" style="256" customWidth="1"/>
    <col min="11274" max="11274" width="24.85546875" style="256" customWidth="1"/>
    <col min="11275" max="11275" width="22" style="256" customWidth="1"/>
    <col min="11276" max="11276" width="25.7109375" style="256" customWidth="1"/>
    <col min="11277" max="11277" width="26.140625" style="256" customWidth="1"/>
    <col min="11278" max="11278" width="27.5703125" style="256" customWidth="1"/>
    <col min="11279" max="11279" width="27.140625" style="256" customWidth="1"/>
    <col min="11280" max="11280" width="32.85546875" style="256" customWidth="1"/>
    <col min="11281" max="11281" width="22.42578125" style="256" customWidth="1"/>
    <col min="11282" max="11282" width="28.140625" style="256" customWidth="1"/>
    <col min="11283" max="11283" width="52.42578125" style="256" customWidth="1"/>
    <col min="11284" max="11284" width="32.42578125" style="256" customWidth="1"/>
    <col min="11285" max="11285" width="24.5703125" style="256" customWidth="1"/>
    <col min="11286" max="11286" width="35" style="256" customWidth="1"/>
    <col min="11287" max="11287" width="35.140625" style="256" customWidth="1"/>
    <col min="11288" max="11288" width="41.140625" style="256" customWidth="1"/>
    <col min="11289" max="11289" width="16.42578125" style="256" customWidth="1"/>
    <col min="11290" max="11290" width="21.42578125" style="256" customWidth="1"/>
    <col min="11291" max="11291" width="31.42578125" style="256" customWidth="1"/>
    <col min="11292" max="11292" width="18.140625" style="256" customWidth="1"/>
    <col min="11293" max="11520" width="9.140625" style="256"/>
    <col min="11521" max="11521" width="9.28515625" style="256" customWidth="1"/>
    <col min="11522" max="11522" width="12.85546875" style="256" customWidth="1"/>
    <col min="11523" max="11523" width="167.42578125" style="256" customWidth="1"/>
    <col min="11524" max="11524" width="27.85546875" style="256" customWidth="1"/>
    <col min="11525" max="11525" width="26.140625" style="256" customWidth="1"/>
    <col min="11526" max="11526" width="26.85546875" style="256" customWidth="1"/>
    <col min="11527" max="11527" width="34.5703125" style="256" customWidth="1"/>
    <col min="11528" max="11528" width="23.28515625" style="256" customWidth="1"/>
    <col min="11529" max="11529" width="25.140625" style="256" customWidth="1"/>
    <col min="11530" max="11530" width="24.85546875" style="256" customWidth="1"/>
    <col min="11531" max="11531" width="22" style="256" customWidth="1"/>
    <col min="11532" max="11532" width="25.7109375" style="256" customWidth="1"/>
    <col min="11533" max="11533" width="26.140625" style="256" customWidth="1"/>
    <col min="11534" max="11534" width="27.5703125" style="256" customWidth="1"/>
    <col min="11535" max="11535" width="27.140625" style="256" customWidth="1"/>
    <col min="11536" max="11536" width="32.85546875" style="256" customWidth="1"/>
    <col min="11537" max="11537" width="22.42578125" style="256" customWidth="1"/>
    <col min="11538" max="11538" width="28.140625" style="256" customWidth="1"/>
    <col min="11539" max="11539" width="52.42578125" style="256" customWidth="1"/>
    <col min="11540" max="11540" width="32.42578125" style="256" customWidth="1"/>
    <col min="11541" max="11541" width="24.5703125" style="256" customWidth="1"/>
    <col min="11542" max="11542" width="35" style="256" customWidth="1"/>
    <col min="11543" max="11543" width="35.140625" style="256" customWidth="1"/>
    <col min="11544" max="11544" width="41.140625" style="256" customWidth="1"/>
    <col min="11545" max="11545" width="16.42578125" style="256" customWidth="1"/>
    <col min="11546" max="11546" width="21.42578125" style="256" customWidth="1"/>
    <col min="11547" max="11547" width="31.42578125" style="256" customWidth="1"/>
    <col min="11548" max="11548" width="18.140625" style="256" customWidth="1"/>
    <col min="11549" max="11776" width="9.140625" style="256"/>
    <col min="11777" max="11777" width="9.28515625" style="256" customWidth="1"/>
    <col min="11778" max="11778" width="12.85546875" style="256" customWidth="1"/>
    <col min="11779" max="11779" width="167.42578125" style="256" customWidth="1"/>
    <col min="11780" max="11780" width="27.85546875" style="256" customWidth="1"/>
    <col min="11781" max="11781" width="26.140625" style="256" customWidth="1"/>
    <col min="11782" max="11782" width="26.85546875" style="256" customWidth="1"/>
    <col min="11783" max="11783" width="34.5703125" style="256" customWidth="1"/>
    <col min="11784" max="11784" width="23.28515625" style="256" customWidth="1"/>
    <col min="11785" max="11785" width="25.140625" style="256" customWidth="1"/>
    <col min="11786" max="11786" width="24.85546875" style="256" customWidth="1"/>
    <col min="11787" max="11787" width="22" style="256" customWidth="1"/>
    <col min="11788" max="11788" width="25.7109375" style="256" customWidth="1"/>
    <col min="11789" max="11789" width="26.140625" style="256" customWidth="1"/>
    <col min="11790" max="11790" width="27.5703125" style="256" customWidth="1"/>
    <col min="11791" max="11791" width="27.140625" style="256" customWidth="1"/>
    <col min="11792" max="11792" width="32.85546875" style="256" customWidth="1"/>
    <col min="11793" max="11793" width="22.42578125" style="256" customWidth="1"/>
    <col min="11794" max="11794" width="28.140625" style="256" customWidth="1"/>
    <col min="11795" max="11795" width="52.42578125" style="256" customWidth="1"/>
    <col min="11796" max="11796" width="32.42578125" style="256" customWidth="1"/>
    <col min="11797" max="11797" width="24.5703125" style="256" customWidth="1"/>
    <col min="11798" max="11798" width="35" style="256" customWidth="1"/>
    <col min="11799" max="11799" width="35.140625" style="256" customWidth="1"/>
    <col min="11800" max="11800" width="41.140625" style="256" customWidth="1"/>
    <col min="11801" max="11801" width="16.42578125" style="256" customWidth="1"/>
    <col min="11802" max="11802" width="21.42578125" style="256" customWidth="1"/>
    <col min="11803" max="11803" width="31.42578125" style="256" customWidth="1"/>
    <col min="11804" max="11804" width="18.140625" style="256" customWidth="1"/>
    <col min="11805" max="12032" width="9.140625" style="256"/>
    <col min="12033" max="12033" width="9.28515625" style="256" customWidth="1"/>
    <col min="12034" max="12034" width="12.85546875" style="256" customWidth="1"/>
    <col min="12035" max="12035" width="167.42578125" style="256" customWidth="1"/>
    <col min="12036" max="12036" width="27.85546875" style="256" customWidth="1"/>
    <col min="12037" max="12037" width="26.140625" style="256" customWidth="1"/>
    <col min="12038" max="12038" width="26.85546875" style="256" customWidth="1"/>
    <col min="12039" max="12039" width="34.5703125" style="256" customWidth="1"/>
    <col min="12040" max="12040" width="23.28515625" style="256" customWidth="1"/>
    <col min="12041" max="12041" width="25.140625" style="256" customWidth="1"/>
    <col min="12042" max="12042" width="24.85546875" style="256" customWidth="1"/>
    <col min="12043" max="12043" width="22" style="256" customWidth="1"/>
    <col min="12044" max="12044" width="25.7109375" style="256" customWidth="1"/>
    <col min="12045" max="12045" width="26.140625" style="256" customWidth="1"/>
    <col min="12046" max="12046" width="27.5703125" style="256" customWidth="1"/>
    <col min="12047" max="12047" width="27.140625" style="256" customWidth="1"/>
    <col min="12048" max="12048" width="32.85546875" style="256" customWidth="1"/>
    <col min="12049" max="12049" width="22.42578125" style="256" customWidth="1"/>
    <col min="12050" max="12050" width="28.140625" style="256" customWidth="1"/>
    <col min="12051" max="12051" width="52.42578125" style="256" customWidth="1"/>
    <col min="12052" max="12052" width="32.42578125" style="256" customWidth="1"/>
    <col min="12053" max="12053" width="24.5703125" style="256" customWidth="1"/>
    <col min="12054" max="12054" width="35" style="256" customWidth="1"/>
    <col min="12055" max="12055" width="35.140625" style="256" customWidth="1"/>
    <col min="12056" max="12056" width="41.140625" style="256" customWidth="1"/>
    <col min="12057" max="12057" width="16.42578125" style="256" customWidth="1"/>
    <col min="12058" max="12058" width="21.42578125" style="256" customWidth="1"/>
    <col min="12059" max="12059" width="31.42578125" style="256" customWidth="1"/>
    <col min="12060" max="12060" width="18.140625" style="256" customWidth="1"/>
    <col min="12061" max="12288" width="9.140625" style="256"/>
    <col min="12289" max="12289" width="9.28515625" style="256" customWidth="1"/>
    <col min="12290" max="12290" width="12.85546875" style="256" customWidth="1"/>
    <col min="12291" max="12291" width="167.42578125" style="256" customWidth="1"/>
    <col min="12292" max="12292" width="27.85546875" style="256" customWidth="1"/>
    <col min="12293" max="12293" width="26.140625" style="256" customWidth="1"/>
    <col min="12294" max="12294" width="26.85546875" style="256" customWidth="1"/>
    <col min="12295" max="12295" width="34.5703125" style="256" customWidth="1"/>
    <col min="12296" max="12296" width="23.28515625" style="256" customWidth="1"/>
    <col min="12297" max="12297" width="25.140625" style="256" customWidth="1"/>
    <col min="12298" max="12298" width="24.85546875" style="256" customWidth="1"/>
    <col min="12299" max="12299" width="22" style="256" customWidth="1"/>
    <col min="12300" max="12300" width="25.7109375" style="256" customWidth="1"/>
    <col min="12301" max="12301" width="26.140625" style="256" customWidth="1"/>
    <col min="12302" max="12302" width="27.5703125" style="256" customWidth="1"/>
    <col min="12303" max="12303" width="27.140625" style="256" customWidth="1"/>
    <col min="12304" max="12304" width="32.85546875" style="256" customWidth="1"/>
    <col min="12305" max="12305" width="22.42578125" style="256" customWidth="1"/>
    <col min="12306" max="12306" width="28.140625" style="256" customWidth="1"/>
    <col min="12307" max="12307" width="52.42578125" style="256" customWidth="1"/>
    <col min="12308" max="12308" width="32.42578125" style="256" customWidth="1"/>
    <col min="12309" max="12309" width="24.5703125" style="256" customWidth="1"/>
    <col min="12310" max="12310" width="35" style="256" customWidth="1"/>
    <col min="12311" max="12311" width="35.140625" style="256" customWidth="1"/>
    <col min="12312" max="12312" width="41.140625" style="256" customWidth="1"/>
    <col min="12313" max="12313" width="16.42578125" style="256" customWidth="1"/>
    <col min="12314" max="12314" width="21.42578125" style="256" customWidth="1"/>
    <col min="12315" max="12315" width="31.42578125" style="256" customWidth="1"/>
    <col min="12316" max="12316" width="18.140625" style="256" customWidth="1"/>
    <col min="12317" max="12544" width="9.140625" style="256"/>
    <col min="12545" max="12545" width="9.28515625" style="256" customWidth="1"/>
    <col min="12546" max="12546" width="12.85546875" style="256" customWidth="1"/>
    <col min="12547" max="12547" width="167.42578125" style="256" customWidth="1"/>
    <col min="12548" max="12548" width="27.85546875" style="256" customWidth="1"/>
    <col min="12549" max="12549" width="26.140625" style="256" customWidth="1"/>
    <col min="12550" max="12550" width="26.85546875" style="256" customWidth="1"/>
    <col min="12551" max="12551" width="34.5703125" style="256" customWidth="1"/>
    <col min="12552" max="12552" width="23.28515625" style="256" customWidth="1"/>
    <col min="12553" max="12553" width="25.140625" style="256" customWidth="1"/>
    <col min="12554" max="12554" width="24.85546875" style="256" customWidth="1"/>
    <col min="12555" max="12555" width="22" style="256" customWidth="1"/>
    <col min="12556" max="12556" width="25.7109375" style="256" customWidth="1"/>
    <col min="12557" max="12557" width="26.140625" style="256" customWidth="1"/>
    <col min="12558" max="12558" width="27.5703125" style="256" customWidth="1"/>
    <col min="12559" max="12559" width="27.140625" style="256" customWidth="1"/>
    <col min="12560" max="12560" width="32.85546875" style="256" customWidth="1"/>
    <col min="12561" max="12561" width="22.42578125" style="256" customWidth="1"/>
    <col min="12562" max="12562" width="28.140625" style="256" customWidth="1"/>
    <col min="12563" max="12563" width="52.42578125" style="256" customWidth="1"/>
    <col min="12564" max="12564" width="32.42578125" style="256" customWidth="1"/>
    <col min="12565" max="12565" width="24.5703125" style="256" customWidth="1"/>
    <col min="12566" max="12566" width="35" style="256" customWidth="1"/>
    <col min="12567" max="12567" width="35.140625" style="256" customWidth="1"/>
    <col min="12568" max="12568" width="41.140625" style="256" customWidth="1"/>
    <col min="12569" max="12569" width="16.42578125" style="256" customWidth="1"/>
    <col min="12570" max="12570" width="21.42578125" style="256" customWidth="1"/>
    <col min="12571" max="12571" width="31.42578125" style="256" customWidth="1"/>
    <col min="12572" max="12572" width="18.140625" style="256" customWidth="1"/>
    <col min="12573" max="12800" width="9.140625" style="256"/>
    <col min="12801" max="12801" width="9.28515625" style="256" customWidth="1"/>
    <col min="12802" max="12802" width="12.85546875" style="256" customWidth="1"/>
    <col min="12803" max="12803" width="167.42578125" style="256" customWidth="1"/>
    <col min="12804" max="12804" width="27.85546875" style="256" customWidth="1"/>
    <col min="12805" max="12805" width="26.140625" style="256" customWidth="1"/>
    <col min="12806" max="12806" width="26.85546875" style="256" customWidth="1"/>
    <col min="12807" max="12807" width="34.5703125" style="256" customWidth="1"/>
    <col min="12808" max="12808" width="23.28515625" style="256" customWidth="1"/>
    <col min="12809" max="12809" width="25.140625" style="256" customWidth="1"/>
    <col min="12810" max="12810" width="24.85546875" style="256" customWidth="1"/>
    <col min="12811" max="12811" width="22" style="256" customWidth="1"/>
    <col min="12812" max="12812" width="25.7109375" style="256" customWidth="1"/>
    <col min="12813" max="12813" width="26.140625" style="256" customWidth="1"/>
    <col min="12814" max="12814" width="27.5703125" style="256" customWidth="1"/>
    <col min="12815" max="12815" width="27.140625" style="256" customWidth="1"/>
    <col min="12816" max="12816" width="32.85546875" style="256" customWidth="1"/>
    <col min="12817" max="12817" width="22.42578125" style="256" customWidth="1"/>
    <col min="12818" max="12818" width="28.140625" style="256" customWidth="1"/>
    <col min="12819" max="12819" width="52.42578125" style="256" customWidth="1"/>
    <col min="12820" max="12820" width="32.42578125" style="256" customWidth="1"/>
    <col min="12821" max="12821" width="24.5703125" style="256" customWidth="1"/>
    <col min="12822" max="12822" width="35" style="256" customWidth="1"/>
    <col min="12823" max="12823" width="35.140625" style="256" customWidth="1"/>
    <col min="12824" max="12824" width="41.140625" style="256" customWidth="1"/>
    <col min="12825" max="12825" width="16.42578125" style="256" customWidth="1"/>
    <col min="12826" max="12826" width="21.42578125" style="256" customWidth="1"/>
    <col min="12827" max="12827" width="31.42578125" style="256" customWidth="1"/>
    <col min="12828" max="12828" width="18.140625" style="256" customWidth="1"/>
    <col min="12829" max="13056" width="9.140625" style="256"/>
    <col min="13057" max="13057" width="9.28515625" style="256" customWidth="1"/>
    <col min="13058" max="13058" width="12.85546875" style="256" customWidth="1"/>
    <col min="13059" max="13059" width="167.42578125" style="256" customWidth="1"/>
    <col min="13060" max="13060" width="27.85546875" style="256" customWidth="1"/>
    <col min="13061" max="13061" width="26.140625" style="256" customWidth="1"/>
    <col min="13062" max="13062" width="26.85546875" style="256" customWidth="1"/>
    <col min="13063" max="13063" width="34.5703125" style="256" customWidth="1"/>
    <col min="13064" max="13064" width="23.28515625" style="256" customWidth="1"/>
    <col min="13065" max="13065" width="25.140625" style="256" customWidth="1"/>
    <col min="13066" max="13066" width="24.85546875" style="256" customWidth="1"/>
    <col min="13067" max="13067" width="22" style="256" customWidth="1"/>
    <col min="13068" max="13068" width="25.7109375" style="256" customWidth="1"/>
    <col min="13069" max="13069" width="26.140625" style="256" customWidth="1"/>
    <col min="13070" max="13070" width="27.5703125" style="256" customWidth="1"/>
    <col min="13071" max="13071" width="27.140625" style="256" customWidth="1"/>
    <col min="13072" max="13072" width="32.85546875" style="256" customWidth="1"/>
    <col min="13073" max="13073" width="22.42578125" style="256" customWidth="1"/>
    <col min="13074" max="13074" width="28.140625" style="256" customWidth="1"/>
    <col min="13075" max="13075" width="52.42578125" style="256" customWidth="1"/>
    <col min="13076" max="13076" width="32.42578125" style="256" customWidth="1"/>
    <col min="13077" max="13077" width="24.5703125" style="256" customWidth="1"/>
    <col min="13078" max="13078" width="35" style="256" customWidth="1"/>
    <col min="13079" max="13079" width="35.140625" style="256" customWidth="1"/>
    <col min="13080" max="13080" width="41.140625" style="256" customWidth="1"/>
    <col min="13081" max="13081" width="16.42578125" style="256" customWidth="1"/>
    <col min="13082" max="13082" width="21.42578125" style="256" customWidth="1"/>
    <col min="13083" max="13083" width="31.42578125" style="256" customWidth="1"/>
    <col min="13084" max="13084" width="18.140625" style="256" customWidth="1"/>
    <col min="13085" max="13312" width="9.140625" style="256"/>
    <col min="13313" max="13313" width="9.28515625" style="256" customWidth="1"/>
    <col min="13314" max="13314" width="12.85546875" style="256" customWidth="1"/>
    <col min="13315" max="13315" width="167.42578125" style="256" customWidth="1"/>
    <col min="13316" max="13316" width="27.85546875" style="256" customWidth="1"/>
    <col min="13317" max="13317" width="26.140625" style="256" customWidth="1"/>
    <col min="13318" max="13318" width="26.85546875" style="256" customWidth="1"/>
    <col min="13319" max="13319" width="34.5703125" style="256" customWidth="1"/>
    <col min="13320" max="13320" width="23.28515625" style="256" customWidth="1"/>
    <col min="13321" max="13321" width="25.140625" style="256" customWidth="1"/>
    <col min="13322" max="13322" width="24.85546875" style="256" customWidth="1"/>
    <col min="13323" max="13323" width="22" style="256" customWidth="1"/>
    <col min="13324" max="13324" width="25.7109375" style="256" customWidth="1"/>
    <col min="13325" max="13325" width="26.140625" style="256" customWidth="1"/>
    <col min="13326" max="13326" width="27.5703125" style="256" customWidth="1"/>
    <col min="13327" max="13327" width="27.140625" style="256" customWidth="1"/>
    <col min="13328" max="13328" width="32.85546875" style="256" customWidth="1"/>
    <col min="13329" max="13329" width="22.42578125" style="256" customWidth="1"/>
    <col min="13330" max="13330" width="28.140625" style="256" customWidth="1"/>
    <col min="13331" max="13331" width="52.42578125" style="256" customWidth="1"/>
    <col min="13332" max="13332" width="32.42578125" style="256" customWidth="1"/>
    <col min="13333" max="13333" width="24.5703125" style="256" customWidth="1"/>
    <col min="13334" max="13334" width="35" style="256" customWidth="1"/>
    <col min="13335" max="13335" width="35.140625" style="256" customWidth="1"/>
    <col min="13336" max="13336" width="41.140625" style="256" customWidth="1"/>
    <col min="13337" max="13337" width="16.42578125" style="256" customWidth="1"/>
    <col min="13338" max="13338" width="21.42578125" style="256" customWidth="1"/>
    <col min="13339" max="13339" width="31.42578125" style="256" customWidth="1"/>
    <col min="13340" max="13340" width="18.140625" style="256" customWidth="1"/>
    <col min="13341" max="13568" width="9.140625" style="256"/>
    <col min="13569" max="13569" width="9.28515625" style="256" customWidth="1"/>
    <col min="13570" max="13570" width="12.85546875" style="256" customWidth="1"/>
    <col min="13571" max="13571" width="167.42578125" style="256" customWidth="1"/>
    <col min="13572" max="13572" width="27.85546875" style="256" customWidth="1"/>
    <col min="13573" max="13573" width="26.140625" style="256" customWidth="1"/>
    <col min="13574" max="13574" width="26.85546875" style="256" customWidth="1"/>
    <col min="13575" max="13575" width="34.5703125" style="256" customWidth="1"/>
    <col min="13576" max="13576" width="23.28515625" style="256" customWidth="1"/>
    <col min="13577" max="13577" width="25.140625" style="256" customWidth="1"/>
    <col min="13578" max="13578" width="24.85546875" style="256" customWidth="1"/>
    <col min="13579" max="13579" width="22" style="256" customWidth="1"/>
    <col min="13580" max="13580" width="25.7109375" style="256" customWidth="1"/>
    <col min="13581" max="13581" width="26.140625" style="256" customWidth="1"/>
    <col min="13582" max="13582" width="27.5703125" style="256" customWidth="1"/>
    <col min="13583" max="13583" width="27.140625" style="256" customWidth="1"/>
    <col min="13584" max="13584" width="32.85546875" style="256" customWidth="1"/>
    <col min="13585" max="13585" width="22.42578125" style="256" customWidth="1"/>
    <col min="13586" max="13586" width="28.140625" style="256" customWidth="1"/>
    <col min="13587" max="13587" width="52.42578125" style="256" customWidth="1"/>
    <col min="13588" max="13588" width="32.42578125" style="256" customWidth="1"/>
    <col min="13589" max="13589" width="24.5703125" style="256" customWidth="1"/>
    <col min="13590" max="13590" width="35" style="256" customWidth="1"/>
    <col min="13591" max="13591" width="35.140625" style="256" customWidth="1"/>
    <col min="13592" max="13592" width="41.140625" style="256" customWidth="1"/>
    <col min="13593" max="13593" width="16.42578125" style="256" customWidth="1"/>
    <col min="13594" max="13594" width="21.42578125" style="256" customWidth="1"/>
    <col min="13595" max="13595" width="31.42578125" style="256" customWidth="1"/>
    <col min="13596" max="13596" width="18.140625" style="256" customWidth="1"/>
    <col min="13597" max="13824" width="9.140625" style="256"/>
    <col min="13825" max="13825" width="9.28515625" style="256" customWidth="1"/>
    <col min="13826" max="13826" width="12.85546875" style="256" customWidth="1"/>
    <col min="13827" max="13827" width="167.42578125" style="256" customWidth="1"/>
    <col min="13828" max="13828" width="27.85546875" style="256" customWidth="1"/>
    <col min="13829" max="13829" width="26.140625" style="256" customWidth="1"/>
    <col min="13830" max="13830" width="26.85546875" style="256" customWidth="1"/>
    <col min="13831" max="13831" width="34.5703125" style="256" customWidth="1"/>
    <col min="13832" max="13832" width="23.28515625" style="256" customWidth="1"/>
    <col min="13833" max="13833" width="25.140625" style="256" customWidth="1"/>
    <col min="13834" max="13834" width="24.85546875" style="256" customWidth="1"/>
    <col min="13835" max="13835" width="22" style="256" customWidth="1"/>
    <col min="13836" max="13836" width="25.7109375" style="256" customWidth="1"/>
    <col min="13837" max="13837" width="26.140625" style="256" customWidth="1"/>
    <col min="13838" max="13838" width="27.5703125" style="256" customWidth="1"/>
    <col min="13839" max="13839" width="27.140625" style="256" customWidth="1"/>
    <col min="13840" max="13840" width="32.85546875" style="256" customWidth="1"/>
    <col min="13841" max="13841" width="22.42578125" style="256" customWidth="1"/>
    <col min="13842" max="13842" width="28.140625" style="256" customWidth="1"/>
    <col min="13843" max="13843" width="52.42578125" style="256" customWidth="1"/>
    <col min="13844" max="13844" width="32.42578125" style="256" customWidth="1"/>
    <col min="13845" max="13845" width="24.5703125" style="256" customWidth="1"/>
    <col min="13846" max="13846" width="35" style="256" customWidth="1"/>
    <col min="13847" max="13847" width="35.140625" style="256" customWidth="1"/>
    <col min="13848" max="13848" width="41.140625" style="256" customWidth="1"/>
    <col min="13849" max="13849" width="16.42578125" style="256" customWidth="1"/>
    <col min="13850" max="13850" width="21.42578125" style="256" customWidth="1"/>
    <col min="13851" max="13851" width="31.42578125" style="256" customWidth="1"/>
    <col min="13852" max="13852" width="18.140625" style="256" customWidth="1"/>
    <col min="13853" max="14080" width="9.140625" style="256"/>
    <col min="14081" max="14081" width="9.28515625" style="256" customWidth="1"/>
    <col min="14082" max="14082" width="12.85546875" style="256" customWidth="1"/>
    <col min="14083" max="14083" width="167.42578125" style="256" customWidth="1"/>
    <col min="14084" max="14084" width="27.85546875" style="256" customWidth="1"/>
    <col min="14085" max="14085" width="26.140625" style="256" customWidth="1"/>
    <col min="14086" max="14086" width="26.85546875" style="256" customWidth="1"/>
    <col min="14087" max="14087" width="34.5703125" style="256" customWidth="1"/>
    <col min="14088" max="14088" width="23.28515625" style="256" customWidth="1"/>
    <col min="14089" max="14089" width="25.140625" style="256" customWidth="1"/>
    <col min="14090" max="14090" width="24.85546875" style="256" customWidth="1"/>
    <col min="14091" max="14091" width="22" style="256" customWidth="1"/>
    <col min="14092" max="14092" width="25.7109375" style="256" customWidth="1"/>
    <col min="14093" max="14093" width="26.140625" style="256" customWidth="1"/>
    <col min="14094" max="14094" width="27.5703125" style="256" customWidth="1"/>
    <col min="14095" max="14095" width="27.140625" style="256" customWidth="1"/>
    <col min="14096" max="14096" width="32.85546875" style="256" customWidth="1"/>
    <col min="14097" max="14097" width="22.42578125" style="256" customWidth="1"/>
    <col min="14098" max="14098" width="28.140625" style="256" customWidth="1"/>
    <col min="14099" max="14099" width="52.42578125" style="256" customWidth="1"/>
    <col min="14100" max="14100" width="32.42578125" style="256" customWidth="1"/>
    <col min="14101" max="14101" width="24.5703125" style="256" customWidth="1"/>
    <col min="14102" max="14102" width="35" style="256" customWidth="1"/>
    <col min="14103" max="14103" width="35.140625" style="256" customWidth="1"/>
    <col min="14104" max="14104" width="41.140625" style="256" customWidth="1"/>
    <col min="14105" max="14105" width="16.42578125" style="256" customWidth="1"/>
    <col min="14106" max="14106" width="21.42578125" style="256" customWidth="1"/>
    <col min="14107" max="14107" width="31.42578125" style="256" customWidth="1"/>
    <col min="14108" max="14108" width="18.140625" style="256" customWidth="1"/>
    <col min="14109" max="14336" width="9.140625" style="256"/>
    <col min="14337" max="14337" width="9.28515625" style="256" customWidth="1"/>
    <col min="14338" max="14338" width="12.85546875" style="256" customWidth="1"/>
    <col min="14339" max="14339" width="167.42578125" style="256" customWidth="1"/>
    <col min="14340" max="14340" width="27.85546875" style="256" customWidth="1"/>
    <col min="14341" max="14341" width="26.140625" style="256" customWidth="1"/>
    <col min="14342" max="14342" width="26.85546875" style="256" customWidth="1"/>
    <col min="14343" max="14343" width="34.5703125" style="256" customWidth="1"/>
    <col min="14344" max="14344" width="23.28515625" style="256" customWidth="1"/>
    <col min="14345" max="14345" width="25.140625" style="256" customWidth="1"/>
    <col min="14346" max="14346" width="24.85546875" style="256" customWidth="1"/>
    <col min="14347" max="14347" width="22" style="256" customWidth="1"/>
    <col min="14348" max="14348" width="25.7109375" style="256" customWidth="1"/>
    <col min="14349" max="14349" width="26.140625" style="256" customWidth="1"/>
    <col min="14350" max="14350" width="27.5703125" style="256" customWidth="1"/>
    <col min="14351" max="14351" width="27.140625" style="256" customWidth="1"/>
    <col min="14352" max="14352" width="32.85546875" style="256" customWidth="1"/>
    <col min="14353" max="14353" width="22.42578125" style="256" customWidth="1"/>
    <col min="14354" max="14354" width="28.140625" style="256" customWidth="1"/>
    <col min="14355" max="14355" width="52.42578125" style="256" customWidth="1"/>
    <col min="14356" max="14356" width="32.42578125" style="256" customWidth="1"/>
    <col min="14357" max="14357" width="24.5703125" style="256" customWidth="1"/>
    <col min="14358" max="14358" width="35" style="256" customWidth="1"/>
    <col min="14359" max="14359" width="35.140625" style="256" customWidth="1"/>
    <col min="14360" max="14360" width="41.140625" style="256" customWidth="1"/>
    <col min="14361" max="14361" width="16.42578125" style="256" customWidth="1"/>
    <col min="14362" max="14362" width="21.42578125" style="256" customWidth="1"/>
    <col min="14363" max="14363" width="31.42578125" style="256" customWidth="1"/>
    <col min="14364" max="14364" width="18.140625" style="256" customWidth="1"/>
    <col min="14365" max="14592" width="9.140625" style="256"/>
    <col min="14593" max="14593" width="9.28515625" style="256" customWidth="1"/>
    <col min="14594" max="14594" width="12.85546875" style="256" customWidth="1"/>
    <col min="14595" max="14595" width="167.42578125" style="256" customWidth="1"/>
    <col min="14596" max="14596" width="27.85546875" style="256" customWidth="1"/>
    <col min="14597" max="14597" width="26.140625" style="256" customWidth="1"/>
    <col min="14598" max="14598" width="26.85546875" style="256" customWidth="1"/>
    <col min="14599" max="14599" width="34.5703125" style="256" customWidth="1"/>
    <col min="14600" max="14600" width="23.28515625" style="256" customWidth="1"/>
    <col min="14601" max="14601" width="25.140625" style="256" customWidth="1"/>
    <col min="14602" max="14602" width="24.85546875" style="256" customWidth="1"/>
    <col min="14603" max="14603" width="22" style="256" customWidth="1"/>
    <col min="14604" max="14604" width="25.7109375" style="256" customWidth="1"/>
    <col min="14605" max="14605" width="26.140625" style="256" customWidth="1"/>
    <col min="14606" max="14606" width="27.5703125" style="256" customWidth="1"/>
    <col min="14607" max="14607" width="27.140625" style="256" customWidth="1"/>
    <col min="14608" max="14608" width="32.85546875" style="256" customWidth="1"/>
    <col min="14609" max="14609" width="22.42578125" style="256" customWidth="1"/>
    <col min="14610" max="14610" width="28.140625" style="256" customWidth="1"/>
    <col min="14611" max="14611" width="52.42578125" style="256" customWidth="1"/>
    <col min="14612" max="14612" width="32.42578125" style="256" customWidth="1"/>
    <col min="14613" max="14613" width="24.5703125" style="256" customWidth="1"/>
    <col min="14614" max="14614" width="35" style="256" customWidth="1"/>
    <col min="14615" max="14615" width="35.140625" style="256" customWidth="1"/>
    <col min="14616" max="14616" width="41.140625" style="256" customWidth="1"/>
    <col min="14617" max="14617" width="16.42578125" style="256" customWidth="1"/>
    <col min="14618" max="14618" width="21.42578125" style="256" customWidth="1"/>
    <col min="14619" max="14619" width="31.42578125" style="256" customWidth="1"/>
    <col min="14620" max="14620" width="18.140625" style="256" customWidth="1"/>
    <col min="14621" max="14848" width="9.140625" style="256"/>
    <col min="14849" max="14849" width="9.28515625" style="256" customWidth="1"/>
    <col min="14850" max="14850" width="12.85546875" style="256" customWidth="1"/>
    <col min="14851" max="14851" width="167.42578125" style="256" customWidth="1"/>
    <col min="14852" max="14852" width="27.85546875" style="256" customWidth="1"/>
    <col min="14853" max="14853" width="26.140625" style="256" customWidth="1"/>
    <col min="14854" max="14854" width="26.85546875" style="256" customWidth="1"/>
    <col min="14855" max="14855" width="34.5703125" style="256" customWidth="1"/>
    <col min="14856" max="14856" width="23.28515625" style="256" customWidth="1"/>
    <col min="14857" max="14857" width="25.140625" style="256" customWidth="1"/>
    <col min="14858" max="14858" width="24.85546875" style="256" customWidth="1"/>
    <col min="14859" max="14859" width="22" style="256" customWidth="1"/>
    <col min="14860" max="14860" width="25.7109375" style="256" customWidth="1"/>
    <col min="14861" max="14861" width="26.140625" style="256" customWidth="1"/>
    <col min="14862" max="14862" width="27.5703125" style="256" customWidth="1"/>
    <col min="14863" max="14863" width="27.140625" style="256" customWidth="1"/>
    <col min="14864" max="14864" width="32.85546875" style="256" customWidth="1"/>
    <col min="14865" max="14865" width="22.42578125" style="256" customWidth="1"/>
    <col min="14866" max="14866" width="28.140625" style="256" customWidth="1"/>
    <col min="14867" max="14867" width="52.42578125" style="256" customWidth="1"/>
    <col min="14868" max="14868" width="32.42578125" style="256" customWidth="1"/>
    <col min="14869" max="14869" width="24.5703125" style="256" customWidth="1"/>
    <col min="14870" max="14870" width="35" style="256" customWidth="1"/>
    <col min="14871" max="14871" width="35.140625" style="256" customWidth="1"/>
    <col min="14872" max="14872" width="41.140625" style="256" customWidth="1"/>
    <col min="14873" max="14873" width="16.42578125" style="256" customWidth="1"/>
    <col min="14874" max="14874" width="21.42578125" style="256" customWidth="1"/>
    <col min="14875" max="14875" width="31.42578125" style="256" customWidth="1"/>
    <col min="14876" max="14876" width="18.140625" style="256" customWidth="1"/>
    <col min="14877" max="15104" width="9.140625" style="256"/>
    <col min="15105" max="15105" width="9.28515625" style="256" customWidth="1"/>
    <col min="15106" max="15106" width="12.85546875" style="256" customWidth="1"/>
    <col min="15107" max="15107" width="167.42578125" style="256" customWidth="1"/>
    <col min="15108" max="15108" width="27.85546875" style="256" customWidth="1"/>
    <col min="15109" max="15109" width="26.140625" style="256" customWidth="1"/>
    <col min="15110" max="15110" width="26.85546875" style="256" customWidth="1"/>
    <col min="15111" max="15111" width="34.5703125" style="256" customWidth="1"/>
    <col min="15112" max="15112" width="23.28515625" style="256" customWidth="1"/>
    <col min="15113" max="15113" width="25.140625" style="256" customWidth="1"/>
    <col min="15114" max="15114" width="24.85546875" style="256" customWidth="1"/>
    <col min="15115" max="15115" width="22" style="256" customWidth="1"/>
    <col min="15116" max="15116" width="25.7109375" style="256" customWidth="1"/>
    <col min="15117" max="15117" width="26.140625" style="256" customWidth="1"/>
    <col min="15118" max="15118" width="27.5703125" style="256" customWidth="1"/>
    <col min="15119" max="15119" width="27.140625" style="256" customWidth="1"/>
    <col min="15120" max="15120" width="32.85546875" style="256" customWidth="1"/>
    <col min="15121" max="15121" width="22.42578125" style="256" customWidth="1"/>
    <col min="15122" max="15122" width="28.140625" style="256" customWidth="1"/>
    <col min="15123" max="15123" width="52.42578125" style="256" customWidth="1"/>
    <col min="15124" max="15124" width="32.42578125" style="256" customWidth="1"/>
    <col min="15125" max="15125" width="24.5703125" style="256" customWidth="1"/>
    <col min="15126" max="15126" width="35" style="256" customWidth="1"/>
    <col min="15127" max="15127" width="35.140625" style="256" customWidth="1"/>
    <col min="15128" max="15128" width="41.140625" style="256" customWidth="1"/>
    <col min="15129" max="15129" width="16.42578125" style="256" customWidth="1"/>
    <col min="15130" max="15130" width="21.42578125" style="256" customWidth="1"/>
    <col min="15131" max="15131" width="31.42578125" style="256" customWidth="1"/>
    <col min="15132" max="15132" width="18.140625" style="256" customWidth="1"/>
    <col min="15133" max="15360" width="9.140625" style="256"/>
    <col min="15361" max="15361" width="9.28515625" style="256" customWidth="1"/>
    <col min="15362" max="15362" width="12.85546875" style="256" customWidth="1"/>
    <col min="15363" max="15363" width="167.42578125" style="256" customWidth="1"/>
    <col min="15364" max="15364" width="27.85546875" style="256" customWidth="1"/>
    <col min="15365" max="15365" width="26.140625" style="256" customWidth="1"/>
    <col min="15366" max="15366" width="26.85546875" style="256" customWidth="1"/>
    <col min="15367" max="15367" width="34.5703125" style="256" customWidth="1"/>
    <col min="15368" max="15368" width="23.28515625" style="256" customWidth="1"/>
    <col min="15369" max="15369" width="25.140625" style="256" customWidth="1"/>
    <col min="15370" max="15370" width="24.85546875" style="256" customWidth="1"/>
    <col min="15371" max="15371" width="22" style="256" customWidth="1"/>
    <col min="15372" max="15372" width="25.7109375" style="256" customWidth="1"/>
    <col min="15373" max="15373" width="26.140625" style="256" customWidth="1"/>
    <col min="15374" max="15374" width="27.5703125" style="256" customWidth="1"/>
    <col min="15375" max="15375" width="27.140625" style="256" customWidth="1"/>
    <col min="15376" max="15376" width="32.85546875" style="256" customWidth="1"/>
    <col min="15377" max="15377" width="22.42578125" style="256" customWidth="1"/>
    <col min="15378" max="15378" width="28.140625" style="256" customWidth="1"/>
    <col min="15379" max="15379" width="52.42578125" style="256" customWidth="1"/>
    <col min="15380" max="15380" width="32.42578125" style="256" customWidth="1"/>
    <col min="15381" max="15381" width="24.5703125" style="256" customWidth="1"/>
    <col min="15382" max="15382" width="35" style="256" customWidth="1"/>
    <col min="15383" max="15383" width="35.140625" style="256" customWidth="1"/>
    <col min="15384" max="15384" width="41.140625" style="256" customWidth="1"/>
    <col min="15385" max="15385" width="16.42578125" style="256" customWidth="1"/>
    <col min="15386" max="15386" width="21.42578125" style="256" customWidth="1"/>
    <col min="15387" max="15387" width="31.42578125" style="256" customWidth="1"/>
    <col min="15388" max="15388" width="18.140625" style="256" customWidth="1"/>
    <col min="15389" max="15616" width="9.140625" style="256"/>
    <col min="15617" max="15617" width="9.28515625" style="256" customWidth="1"/>
    <col min="15618" max="15618" width="12.85546875" style="256" customWidth="1"/>
    <col min="15619" max="15619" width="167.42578125" style="256" customWidth="1"/>
    <col min="15620" max="15620" width="27.85546875" style="256" customWidth="1"/>
    <col min="15621" max="15621" width="26.140625" style="256" customWidth="1"/>
    <col min="15622" max="15622" width="26.85546875" style="256" customWidth="1"/>
    <col min="15623" max="15623" width="34.5703125" style="256" customWidth="1"/>
    <col min="15624" max="15624" width="23.28515625" style="256" customWidth="1"/>
    <col min="15625" max="15625" width="25.140625" style="256" customWidth="1"/>
    <col min="15626" max="15626" width="24.85546875" style="256" customWidth="1"/>
    <col min="15627" max="15627" width="22" style="256" customWidth="1"/>
    <col min="15628" max="15628" width="25.7109375" style="256" customWidth="1"/>
    <col min="15629" max="15629" width="26.140625" style="256" customWidth="1"/>
    <col min="15630" max="15630" width="27.5703125" style="256" customWidth="1"/>
    <col min="15631" max="15631" width="27.140625" style="256" customWidth="1"/>
    <col min="15632" max="15632" width="32.85546875" style="256" customWidth="1"/>
    <col min="15633" max="15633" width="22.42578125" style="256" customWidth="1"/>
    <col min="15634" max="15634" width="28.140625" style="256" customWidth="1"/>
    <col min="15635" max="15635" width="52.42578125" style="256" customWidth="1"/>
    <col min="15636" max="15636" width="32.42578125" style="256" customWidth="1"/>
    <col min="15637" max="15637" width="24.5703125" style="256" customWidth="1"/>
    <col min="15638" max="15638" width="35" style="256" customWidth="1"/>
    <col min="15639" max="15639" width="35.140625" style="256" customWidth="1"/>
    <col min="15640" max="15640" width="41.140625" style="256" customWidth="1"/>
    <col min="15641" max="15641" width="16.42578125" style="256" customWidth="1"/>
    <col min="15642" max="15642" width="21.42578125" style="256" customWidth="1"/>
    <col min="15643" max="15643" width="31.42578125" style="256" customWidth="1"/>
    <col min="15644" max="15644" width="18.140625" style="256" customWidth="1"/>
    <col min="15645" max="15872" width="9.140625" style="256"/>
    <col min="15873" max="15873" width="9.28515625" style="256" customWidth="1"/>
    <col min="15874" max="15874" width="12.85546875" style="256" customWidth="1"/>
    <col min="15875" max="15875" width="167.42578125" style="256" customWidth="1"/>
    <col min="15876" max="15876" width="27.85546875" style="256" customWidth="1"/>
    <col min="15877" max="15877" width="26.140625" style="256" customWidth="1"/>
    <col min="15878" max="15878" width="26.85546875" style="256" customWidth="1"/>
    <col min="15879" max="15879" width="34.5703125" style="256" customWidth="1"/>
    <col min="15880" max="15880" width="23.28515625" style="256" customWidth="1"/>
    <col min="15881" max="15881" width="25.140625" style="256" customWidth="1"/>
    <col min="15882" max="15882" width="24.85546875" style="256" customWidth="1"/>
    <col min="15883" max="15883" width="22" style="256" customWidth="1"/>
    <col min="15884" max="15884" width="25.7109375" style="256" customWidth="1"/>
    <col min="15885" max="15885" width="26.140625" style="256" customWidth="1"/>
    <col min="15886" max="15886" width="27.5703125" style="256" customWidth="1"/>
    <col min="15887" max="15887" width="27.140625" style="256" customWidth="1"/>
    <col min="15888" max="15888" width="32.85546875" style="256" customWidth="1"/>
    <col min="15889" max="15889" width="22.42578125" style="256" customWidth="1"/>
    <col min="15890" max="15890" width="28.140625" style="256" customWidth="1"/>
    <col min="15891" max="15891" width="52.42578125" style="256" customWidth="1"/>
    <col min="15892" max="15892" width="32.42578125" style="256" customWidth="1"/>
    <col min="15893" max="15893" width="24.5703125" style="256" customWidth="1"/>
    <col min="15894" max="15894" width="35" style="256" customWidth="1"/>
    <col min="15895" max="15895" width="35.140625" style="256" customWidth="1"/>
    <col min="15896" max="15896" width="41.140625" style="256" customWidth="1"/>
    <col min="15897" max="15897" width="16.42578125" style="256" customWidth="1"/>
    <col min="15898" max="15898" width="21.42578125" style="256" customWidth="1"/>
    <col min="15899" max="15899" width="31.42578125" style="256" customWidth="1"/>
    <col min="15900" max="15900" width="18.140625" style="256" customWidth="1"/>
    <col min="15901" max="16128" width="9.140625" style="256"/>
    <col min="16129" max="16129" width="9.28515625" style="256" customWidth="1"/>
    <col min="16130" max="16130" width="12.85546875" style="256" customWidth="1"/>
    <col min="16131" max="16131" width="167.42578125" style="256" customWidth="1"/>
    <col min="16132" max="16132" width="27.85546875" style="256" customWidth="1"/>
    <col min="16133" max="16133" width="26.140625" style="256" customWidth="1"/>
    <col min="16134" max="16134" width="26.85546875" style="256" customWidth="1"/>
    <col min="16135" max="16135" width="34.5703125" style="256" customWidth="1"/>
    <col min="16136" max="16136" width="23.28515625" style="256" customWidth="1"/>
    <col min="16137" max="16137" width="25.140625" style="256" customWidth="1"/>
    <col min="16138" max="16138" width="24.85546875" style="256" customWidth="1"/>
    <col min="16139" max="16139" width="22" style="256" customWidth="1"/>
    <col min="16140" max="16140" width="25.7109375" style="256" customWidth="1"/>
    <col min="16141" max="16141" width="26.140625" style="256" customWidth="1"/>
    <col min="16142" max="16142" width="27.5703125" style="256" customWidth="1"/>
    <col min="16143" max="16143" width="27.140625" style="256" customWidth="1"/>
    <col min="16144" max="16144" width="32.85546875" style="256" customWidth="1"/>
    <col min="16145" max="16145" width="22.42578125" style="256" customWidth="1"/>
    <col min="16146" max="16146" width="28.140625" style="256" customWidth="1"/>
    <col min="16147" max="16147" width="52.42578125" style="256" customWidth="1"/>
    <col min="16148" max="16148" width="32.42578125" style="256" customWidth="1"/>
    <col min="16149" max="16149" width="24.5703125" style="256" customWidth="1"/>
    <col min="16150" max="16150" width="35" style="256" customWidth="1"/>
    <col min="16151" max="16151" width="35.140625" style="256" customWidth="1"/>
    <col min="16152" max="16152" width="41.140625" style="256" customWidth="1"/>
    <col min="16153" max="16153" width="16.42578125" style="256" customWidth="1"/>
    <col min="16154" max="16154" width="21.42578125" style="256" customWidth="1"/>
    <col min="16155" max="16155" width="31.42578125" style="256" customWidth="1"/>
    <col min="16156" max="16156" width="18.140625" style="256" customWidth="1"/>
    <col min="16157" max="16384" width="9.140625" style="256"/>
  </cols>
  <sheetData>
    <row r="1" spans="1:28" s="248" customFormat="1" ht="186.75" customHeight="1" x14ac:dyDescent="0.25">
      <c r="A1" s="457" t="s">
        <v>1900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</row>
    <row r="2" spans="1:28" s="249" customFormat="1" ht="63.75" customHeight="1" x14ac:dyDescent="0.4">
      <c r="B2" s="458" t="s">
        <v>6</v>
      </c>
      <c r="C2" s="458" t="s">
        <v>7</v>
      </c>
      <c r="D2" s="459" t="s">
        <v>8</v>
      </c>
      <c r="E2" s="458" t="s">
        <v>998</v>
      </c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62" t="s">
        <v>9</v>
      </c>
      <c r="R2" s="463"/>
      <c r="S2" s="463"/>
      <c r="T2" s="463"/>
      <c r="U2" s="463"/>
      <c r="V2" s="463"/>
      <c r="W2" s="463"/>
      <c r="X2" s="463"/>
      <c r="Y2" s="463"/>
      <c r="Z2" s="463"/>
      <c r="AA2" s="464"/>
      <c r="AB2" s="465" t="s">
        <v>1747</v>
      </c>
    </row>
    <row r="3" spans="1:28" s="249" customFormat="1" ht="40.5" customHeight="1" x14ac:dyDescent="0.4">
      <c r="B3" s="458"/>
      <c r="C3" s="458"/>
      <c r="D3" s="460"/>
      <c r="E3" s="458" t="s">
        <v>13</v>
      </c>
      <c r="F3" s="458"/>
      <c r="G3" s="458"/>
      <c r="H3" s="458"/>
      <c r="I3" s="458"/>
      <c r="J3" s="458"/>
      <c r="K3" s="466" t="s">
        <v>14</v>
      </c>
      <c r="L3" s="466"/>
      <c r="M3" s="466" t="s">
        <v>15</v>
      </c>
      <c r="N3" s="466" t="s">
        <v>16</v>
      </c>
      <c r="O3" s="466" t="s">
        <v>17</v>
      </c>
      <c r="P3" s="466" t="s">
        <v>18</v>
      </c>
      <c r="Q3" s="456" t="s">
        <v>1748</v>
      </c>
      <c r="R3" s="456" t="s">
        <v>20</v>
      </c>
      <c r="S3" s="456" t="s">
        <v>1749</v>
      </c>
      <c r="T3" s="456" t="s">
        <v>22</v>
      </c>
      <c r="U3" s="456" t="s">
        <v>23</v>
      </c>
      <c r="V3" s="456" t="s">
        <v>24</v>
      </c>
      <c r="W3" s="456" t="s">
        <v>1750</v>
      </c>
      <c r="X3" s="456" t="s">
        <v>1751</v>
      </c>
      <c r="Y3" s="456" t="s">
        <v>27</v>
      </c>
      <c r="Z3" s="456" t="s">
        <v>28</v>
      </c>
      <c r="AA3" s="456" t="s">
        <v>1752</v>
      </c>
      <c r="AB3" s="465"/>
    </row>
    <row r="4" spans="1:28" s="249" customFormat="1" ht="409.6" customHeight="1" x14ac:dyDescent="0.4">
      <c r="B4" s="458"/>
      <c r="C4" s="458"/>
      <c r="D4" s="461"/>
      <c r="E4" s="250" t="s">
        <v>30</v>
      </c>
      <c r="F4" s="250" t="s">
        <v>31</v>
      </c>
      <c r="G4" s="250" t="s">
        <v>32</v>
      </c>
      <c r="H4" s="250" t="s">
        <v>33</v>
      </c>
      <c r="I4" s="250" t="s">
        <v>34</v>
      </c>
      <c r="J4" s="250" t="s">
        <v>35</v>
      </c>
      <c r="K4" s="466"/>
      <c r="L4" s="466"/>
      <c r="M4" s="466"/>
      <c r="N4" s="466"/>
      <c r="O4" s="466"/>
      <c r="P4" s="46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65"/>
    </row>
    <row r="5" spans="1:28" s="251" customFormat="1" ht="39.75" customHeight="1" x14ac:dyDescent="0.25">
      <c r="B5" s="458"/>
      <c r="C5" s="458"/>
      <c r="D5" s="252" t="s">
        <v>36</v>
      </c>
      <c r="E5" s="253" t="s">
        <v>36</v>
      </c>
      <c r="F5" s="253" t="s">
        <v>36</v>
      </c>
      <c r="G5" s="253" t="s">
        <v>36</v>
      </c>
      <c r="H5" s="253" t="s">
        <v>36</v>
      </c>
      <c r="I5" s="253" t="s">
        <v>36</v>
      </c>
      <c r="J5" s="253" t="s">
        <v>36</v>
      </c>
      <c r="K5" s="253" t="s">
        <v>37</v>
      </c>
      <c r="L5" s="253" t="s">
        <v>36</v>
      </c>
      <c r="M5" s="253" t="s">
        <v>36</v>
      </c>
      <c r="N5" s="253" t="s">
        <v>36</v>
      </c>
      <c r="O5" s="253" t="s">
        <v>36</v>
      </c>
      <c r="P5" s="253" t="s">
        <v>36</v>
      </c>
      <c r="Q5" s="253" t="s">
        <v>36</v>
      </c>
      <c r="R5" s="253" t="s">
        <v>36</v>
      </c>
      <c r="S5" s="253" t="s">
        <v>36</v>
      </c>
      <c r="T5" s="253" t="s">
        <v>36</v>
      </c>
      <c r="U5" s="253" t="s">
        <v>36</v>
      </c>
      <c r="V5" s="253" t="s">
        <v>36</v>
      </c>
      <c r="W5" s="253" t="s">
        <v>36</v>
      </c>
      <c r="X5" s="253" t="s">
        <v>36</v>
      </c>
      <c r="Y5" s="253" t="s">
        <v>36</v>
      </c>
      <c r="Z5" s="253" t="s">
        <v>36</v>
      </c>
      <c r="AA5" s="253" t="s">
        <v>36</v>
      </c>
      <c r="AB5" s="465"/>
    </row>
    <row r="6" spans="1:28" s="249" customFormat="1" ht="26.25" x14ac:dyDescent="0.4">
      <c r="B6" s="254">
        <v>1</v>
      </c>
      <c r="C6" s="254">
        <v>2</v>
      </c>
      <c r="D6" s="254">
        <f>C6+1</f>
        <v>3</v>
      </c>
      <c r="E6" s="254">
        <f>D6+1</f>
        <v>4</v>
      </c>
      <c r="F6" s="254">
        <v>5</v>
      </c>
      <c r="G6" s="254">
        <v>6</v>
      </c>
      <c r="H6" s="254">
        <v>7</v>
      </c>
      <c r="I6" s="254">
        <v>8</v>
      </c>
      <c r="J6" s="254">
        <v>9</v>
      </c>
      <c r="K6" s="254">
        <v>10</v>
      </c>
      <c r="L6" s="254">
        <v>11</v>
      </c>
      <c r="M6" s="254">
        <v>12</v>
      </c>
      <c r="N6" s="254">
        <v>13</v>
      </c>
      <c r="O6" s="254">
        <v>14</v>
      </c>
      <c r="P6" s="254">
        <v>15</v>
      </c>
      <c r="Q6" s="254">
        <v>16</v>
      </c>
      <c r="R6" s="254">
        <v>17</v>
      </c>
      <c r="S6" s="254">
        <v>18</v>
      </c>
      <c r="T6" s="254">
        <v>19</v>
      </c>
      <c r="U6" s="254">
        <v>20</v>
      </c>
      <c r="V6" s="254">
        <v>21</v>
      </c>
      <c r="W6" s="254">
        <v>22</v>
      </c>
      <c r="X6" s="254">
        <v>23</v>
      </c>
      <c r="Y6" s="254">
        <v>24</v>
      </c>
      <c r="Z6" s="254">
        <v>25</v>
      </c>
      <c r="AA6" s="254">
        <v>26</v>
      </c>
      <c r="AB6" s="255">
        <v>27</v>
      </c>
    </row>
    <row r="7" spans="1:28" ht="35.25" x14ac:dyDescent="0.5">
      <c r="B7" s="257" t="s">
        <v>1742</v>
      </c>
      <c r="C7" s="258"/>
      <c r="D7" s="259">
        <f>D8+D10+D84+D87+D92+D116+D121+D123+D138+D157+D161+D163</f>
        <v>116348378.12999998</v>
      </c>
      <c r="E7" s="259">
        <f t="shared" ref="E7:AA7" si="0">E8+E10+E84+E87+E92+E116+E121+E123+E138+E157+E161+E163</f>
        <v>2537510.14</v>
      </c>
      <c r="F7" s="259">
        <f t="shared" si="0"/>
        <v>6230529.9300000006</v>
      </c>
      <c r="G7" s="259">
        <f t="shared" si="0"/>
        <v>3859302.86</v>
      </c>
      <c r="H7" s="259">
        <f t="shared" si="0"/>
        <v>677808.46</v>
      </c>
      <c r="I7" s="259">
        <f t="shared" si="0"/>
        <v>3993637.9000000004</v>
      </c>
      <c r="J7" s="259">
        <f t="shared" si="0"/>
        <v>0</v>
      </c>
      <c r="K7" s="259">
        <f t="shared" si="0"/>
        <v>59</v>
      </c>
      <c r="L7" s="259">
        <f t="shared" si="0"/>
        <v>64584744.859999999</v>
      </c>
      <c r="M7" s="259">
        <f t="shared" si="0"/>
        <v>23782557.789999999</v>
      </c>
      <c r="N7" s="259">
        <f t="shared" si="0"/>
        <v>1505241.4100000001</v>
      </c>
      <c r="O7" s="259">
        <f t="shared" si="0"/>
        <v>9127044.7800000012</v>
      </c>
      <c r="P7" s="259">
        <f t="shared" si="0"/>
        <v>0</v>
      </c>
      <c r="Q7" s="259">
        <f t="shared" si="0"/>
        <v>0</v>
      </c>
      <c r="R7" s="259">
        <f t="shared" si="0"/>
        <v>0</v>
      </c>
      <c r="S7" s="259">
        <f t="shared" si="0"/>
        <v>0</v>
      </c>
      <c r="T7" s="259">
        <f t="shared" si="0"/>
        <v>0</v>
      </c>
      <c r="U7" s="259">
        <f t="shared" si="0"/>
        <v>0</v>
      </c>
      <c r="V7" s="259">
        <f t="shared" si="0"/>
        <v>0</v>
      </c>
      <c r="W7" s="259">
        <f t="shared" si="0"/>
        <v>0</v>
      </c>
      <c r="X7" s="259">
        <f t="shared" si="0"/>
        <v>0</v>
      </c>
      <c r="Y7" s="259">
        <f t="shared" si="0"/>
        <v>0</v>
      </c>
      <c r="Z7" s="259">
        <f t="shared" si="0"/>
        <v>50000</v>
      </c>
      <c r="AA7" s="259">
        <f t="shared" si="0"/>
        <v>0</v>
      </c>
      <c r="AB7" s="260" t="s">
        <v>903</v>
      </c>
    </row>
    <row r="8" spans="1:28" ht="35.25" x14ac:dyDescent="0.5">
      <c r="B8" s="257" t="s">
        <v>851</v>
      </c>
      <c r="C8" s="258"/>
      <c r="D8" s="259">
        <f>D9</f>
        <v>173538</v>
      </c>
      <c r="E8" s="259">
        <f t="shared" ref="E8:AA8" si="1">E9</f>
        <v>0</v>
      </c>
      <c r="F8" s="259">
        <f t="shared" si="1"/>
        <v>0</v>
      </c>
      <c r="G8" s="259">
        <f t="shared" si="1"/>
        <v>173538</v>
      </c>
      <c r="H8" s="259">
        <f t="shared" si="1"/>
        <v>0</v>
      </c>
      <c r="I8" s="259">
        <f t="shared" si="1"/>
        <v>0</v>
      </c>
      <c r="J8" s="259">
        <f t="shared" si="1"/>
        <v>0</v>
      </c>
      <c r="K8" s="259">
        <f t="shared" si="1"/>
        <v>0</v>
      </c>
      <c r="L8" s="259">
        <f t="shared" si="1"/>
        <v>0</v>
      </c>
      <c r="M8" s="259">
        <f t="shared" si="1"/>
        <v>0</v>
      </c>
      <c r="N8" s="259">
        <f t="shared" si="1"/>
        <v>0</v>
      </c>
      <c r="O8" s="259">
        <f t="shared" si="1"/>
        <v>0</v>
      </c>
      <c r="P8" s="259">
        <f t="shared" si="1"/>
        <v>0</v>
      </c>
      <c r="Q8" s="259">
        <f t="shared" si="1"/>
        <v>0</v>
      </c>
      <c r="R8" s="259">
        <f t="shared" si="1"/>
        <v>0</v>
      </c>
      <c r="S8" s="259">
        <f t="shared" si="1"/>
        <v>0</v>
      </c>
      <c r="T8" s="259">
        <f t="shared" si="1"/>
        <v>0</v>
      </c>
      <c r="U8" s="259">
        <f t="shared" si="1"/>
        <v>0</v>
      </c>
      <c r="V8" s="259">
        <f t="shared" si="1"/>
        <v>0</v>
      </c>
      <c r="W8" s="259">
        <f t="shared" si="1"/>
        <v>0</v>
      </c>
      <c r="X8" s="259">
        <f t="shared" si="1"/>
        <v>0</v>
      </c>
      <c r="Y8" s="259">
        <f t="shared" si="1"/>
        <v>0</v>
      </c>
      <c r="Z8" s="259">
        <f t="shared" si="1"/>
        <v>0</v>
      </c>
      <c r="AA8" s="259">
        <f t="shared" si="1"/>
        <v>0</v>
      </c>
      <c r="AB8" s="260" t="s">
        <v>903</v>
      </c>
    </row>
    <row r="9" spans="1:28" ht="35.25" x14ac:dyDescent="0.5">
      <c r="A9" s="256">
        <v>1</v>
      </c>
      <c r="B9" s="179">
        <f>SUBTOTAL(103,$A$8:A9)</f>
        <v>1</v>
      </c>
      <c r="C9" s="258" t="s">
        <v>1753</v>
      </c>
      <c r="D9" s="259">
        <f>E9+F9+G9+H9+I9+J9+L9+M9+N9+O9+P9+Q9+R9+S9+T9+U9+V9+W9+X9+Y9+Z9+AA9</f>
        <v>173538</v>
      </c>
      <c r="E9" s="261">
        <v>0</v>
      </c>
      <c r="F9" s="261">
        <v>0</v>
      </c>
      <c r="G9" s="261">
        <v>173538</v>
      </c>
      <c r="H9" s="261">
        <v>0</v>
      </c>
      <c r="I9" s="261">
        <v>0</v>
      </c>
      <c r="J9" s="261">
        <v>0</v>
      </c>
      <c r="K9" s="262">
        <v>0</v>
      </c>
      <c r="L9" s="261">
        <v>0</v>
      </c>
      <c r="M9" s="261">
        <v>0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261">
        <v>0</v>
      </c>
      <c r="AA9" s="261">
        <v>0</v>
      </c>
      <c r="AB9" s="263">
        <v>2020</v>
      </c>
    </row>
    <row r="10" spans="1:28" ht="35.25" x14ac:dyDescent="0.5">
      <c r="B10" s="257" t="s">
        <v>1060</v>
      </c>
      <c r="C10" s="258"/>
      <c r="D10" s="259">
        <f>SUM(D11:D83)</f>
        <v>48823133.889999993</v>
      </c>
      <c r="E10" s="259">
        <f t="shared" ref="E10:AA10" si="2">SUM(E11:E83)</f>
        <v>2537510.14</v>
      </c>
      <c r="F10" s="259">
        <f t="shared" si="2"/>
        <v>5303845.7300000004</v>
      </c>
      <c r="G10" s="259">
        <f t="shared" si="2"/>
        <v>3172104.96</v>
      </c>
      <c r="H10" s="259">
        <f t="shared" si="2"/>
        <v>396414.73</v>
      </c>
      <c r="I10" s="259">
        <f t="shared" si="2"/>
        <v>742382.58</v>
      </c>
      <c r="J10" s="259">
        <f t="shared" si="2"/>
        <v>0</v>
      </c>
      <c r="K10" s="259">
        <f t="shared" si="2"/>
        <v>32</v>
      </c>
      <c r="L10" s="259">
        <f t="shared" si="2"/>
        <v>17262573.299999997</v>
      </c>
      <c r="M10" s="259">
        <f t="shared" si="2"/>
        <v>14037236.699999999</v>
      </c>
      <c r="N10" s="259">
        <f t="shared" si="2"/>
        <v>391142.31</v>
      </c>
      <c r="O10" s="259">
        <f t="shared" si="2"/>
        <v>4929923.4400000004</v>
      </c>
      <c r="P10" s="259">
        <f t="shared" si="2"/>
        <v>0</v>
      </c>
      <c r="Q10" s="259">
        <f t="shared" si="2"/>
        <v>0</v>
      </c>
      <c r="R10" s="259">
        <f t="shared" si="2"/>
        <v>0</v>
      </c>
      <c r="S10" s="259">
        <f t="shared" si="2"/>
        <v>0</v>
      </c>
      <c r="T10" s="259">
        <f t="shared" si="2"/>
        <v>0</v>
      </c>
      <c r="U10" s="259">
        <f t="shared" si="2"/>
        <v>0</v>
      </c>
      <c r="V10" s="259">
        <f t="shared" si="2"/>
        <v>0</v>
      </c>
      <c r="W10" s="259">
        <f t="shared" si="2"/>
        <v>0</v>
      </c>
      <c r="X10" s="259">
        <f t="shared" si="2"/>
        <v>0</v>
      </c>
      <c r="Y10" s="259">
        <f t="shared" si="2"/>
        <v>0</v>
      </c>
      <c r="Z10" s="259">
        <f t="shared" si="2"/>
        <v>50000</v>
      </c>
      <c r="AA10" s="259">
        <f t="shared" si="2"/>
        <v>0</v>
      </c>
      <c r="AB10" s="260" t="s">
        <v>903</v>
      </c>
    </row>
    <row r="11" spans="1:28" ht="35.25" x14ac:dyDescent="0.5">
      <c r="A11" s="256">
        <v>1</v>
      </c>
      <c r="B11" s="179">
        <f>SUBTOTAL(103,$A$8:A11)</f>
        <v>2</v>
      </c>
      <c r="C11" s="258" t="s">
        <v>1754</v>
      </c>
      <c r="D11" s="259">
        <f t="shared" ref="D11:D32" si="3">E11+F11+G11+H11+I11+J11+L11+M11+N11+O11+P11+Q11+R11+S11+T11+U11+V11+W11+X11+Y11+Z11+AA11</f>
        <v>259217</v>
      </c>
      <c r="E11" s="261">
        <v>0</v>
      </c>
      <c r="F11" s="261">
        <v>0</v>
      </c>
      <c r="G11" s="261">
        <v>259217</v>
      </c>
      <c r="H11" s="261">
        <v>0</v>
      </c>
      <c r="I11" s="261">
        <v>0</v>
      </c>
      <c r="J11" s="261">
        <v>0</v>
      </c>
      <c r="K11" s="262">
        <v>0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3">
        <v>2020</v>
      </c>
    </row>
    <row r="12" spans="1:28" ht="35.25" x14ac:dyDescent="0.5">
      <c r="A12" s="256">
        <v>1</v>
      </c>
      <c r="B12" s="179">
        <f>SUBTOTAL(103,$A$8:A12)</f>
        <v>3</v>
      </c>
      <c r="C12" s="258" t="s">
        <v>1755</v>
      </c>
      <c r="D12" s="259">
        <f t="shared" si="3"/>
        <v>116802.6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5">
        <v>0</v>
      </c>
      <c r="L12" s="264">
        <v>0</v>
      </c>
      <c r="M12" s="264">
        <v>0</v>
      </c>
      <c r="N12" s="264">
        <v>0</v>
      </c>
      <c r="O12" s="264">
        <v>116802.6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0</v>
      </c>
      <c r="Z12" s="264">
        <v>0</v>
      </c>
      <c r="AA12" s="264">
        <v>0</v>
      </c>
      <c r="AB12" s="263">
        <v>2020</v>
      </c>
    </row>
    <row r="13" spans="1:28" ht="35.25" x14ac:dyDescent="0.5">
      <c r="A13" s="256">
        <v>1</v>
      </c>
      <c r="B13" s="179">
        <f>SUBTOTAL(103,$A$8:A13)</f>
        <v>4</v>
      </c>
      <c r="C13" s="258" t="s">
        <v>1756</v>
      </c>
      <c r="D13" s="259">
        <f t="shared" si="3"/>
        <v>90148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262">
        <v>0</v>
      </c>
      <c r="L13" s="261">
        <v>0</v>
      </c>
      <c r="M13" s="261">
        <v>0</v>
      </c>
      <c r="N13" s="261">
        <v>0</v>
      </c>
      <c r="O13" s="261">
        <v>90148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3">
        <v>2020</v>
      </c>
    </row>
    <row r="14" spans="1:28" ht="35.25" x14ac:dyDescent="0.5">
      <c r="A14" s="256">
        <v>1</v>
      </c>
      <c r="B14" s="179">
        <f>SUBTOTAL(103,$A$8:A14)</f>
        <v>5</v>
      </c>
      <c r="C14" s="258" t="s">
        <v>1757</v>
      </c>
      <c r="D14" s="259">
        <f t="shared" si="3"/>
        <v>87999.4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1">
        <v>0</v>
      </c>
      <c r="K14" s="262">
        <v>0</v>
      </c>
      <c r="L14" s="261">
        <v>0</v>
      </c>
      <c r="M14" s="261">
        <v>0</v>
      </c>
      <c r="N14" s="261">
        <v>0</v>
      </c>
      <c r="O14" s="261">
        <v>87999.4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3">
        <v>2020</v>
      </c>
    </row>
    <row r="15" spans="1:28" ht="35.25" x14ac:dyDescent="0.5">
      <c r="A15" s="256">
        <v>1</v>
      </c>
      <c r="B15" s="179">
        <f>SUBTOTAL(103,$A$8:A15)</f>
        <v>6</v>
      </c>
      <c r="C15" s="258" t="s">
        <v>1758</v>
      </c>
      <c r="D15" s="259">
        <f t="shared" si="3"/>
        <v>210000</v>
      </c>
      <c r="E15" s="261">
        <v>0</v>
      </c>
      <c r="F15" s="261">
        <v>0</v>
      </c>
      <c r="G15" s="261">
        <v>0</v>
      </c>
      <c r="H15" s="261">
        <v>0</v>
      </c>
      <c r="I15" s="261">
        <v>210000</v>
      </c>
      <c r="J15" s="261">
        <v>0</v>
      </c>
      <c r="K15" s="262">
        <v>0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0</v>
      </c>
      <c r="AA15" s="261">
        <v>0</v>
      </c>
      <c r="AB15" s="263">
        <v>2020</v>
      </c>
    </row>
    <row r="16" spans="1:28" ht="35.25" x14ac:dyDescent="0.5">
      <c r="A16" s="256">
        <v>1</v>
      </c>
      <c r="B16" s="179">
        <f>SUBTOTAL(103,$A$8:A16)</f>
        <v>7</v>
      </c>
      <c r="C16" s="258" t="s">
        <v>1759</v>
      </c>
      <c r="D16" s="259">
        <f t="shared" si="3"/>
        <v>31500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262">
        <v>0</v>
      </c>
      <c r="L16" s="261">
        <v>0</v>
      </c>
      <c r="M16" s="261">
        <v>31500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3">
        <v>2020</v>
      </c>
    </row>
    <row r="17" spans="1:28" ht="35.25" x14ac:dyDescent="0.5">
      <c r="A17" s="256">
        <v>1</v>
      </c>
      <c r="B17" s="179">
        <f>SUBTOTAL(103,$A$8:A17)</f>
        <v>8</v>
      </c>
      <c r="C17" s="258" t="s">
        <v>1760</v>
      </c>
      <c r="D17" s="259">
        <f t="shared" si="3"/>
        <v>102980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262">
        <v>0</v>
      </c>
      <c r="L17" s="261">
        <v>0</v>
      </c>
      <c r="M17" s="261">
        <v>0</v>
      </c>
      <c r="N17" s="261">
        <v>0</v>
      </c>
      <c r="O17" s="261">
        <v>102980</v>
      </c>
      <c r="P17" s="261">
        <v>0</v>
      </c>
      <c r="Q17" s="261">
        <v>0</v>
      </c>
      <c r="R17" s="261">
        <v>0</v>
      </c>
      <c r="S17" s="261"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3">
        <v>2020</v>
      </c>
    </row>
    <row r="18" spans="1:28" ht="35.25" x14ac:dyDescent="0.5">
      <c r="A18" s="256">
        <v>1</v>
      </c>
      <c r="B18" s="179">
        <f>SUBTOTAL(103,$A$8:A18)</f>
        <v>9</v>
      </c>
      <c r="C18" s="258" t="s">
        <v>1761</v>
      </c>
      <c r="D18" s="259">
        <f t="shared" si="3"/>
        <v>548443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1">
        <v>0</v>
      </c>
      <c r="K18" s="262">
        <v>0</v>
      </c>
      <c r="L18" s="261">
        <v>0</v>
      </c>
      <c r="M18" s="261">
        <v>0</v>
      </c>
      <c r="N18" s="261">
        <v>0</v>
      </c>
      <c r="O18" s="261">
        <v>548443</v>
      </c>
      <c r="P18" s="261">
        <v>0</v>
      </c>
      <c r="Q18" s="261">
        <v>0</v>
      </c>
      <c r="R18" s="261">
        <v>0</v>
      </c>
      <c r="S18" s="261">
        <v>0</v>
      </c>
      <c r="T18" s="261">
        <v>0</v>
      </c>
      <c r="U18" s="261">
        <v>0</v>
      </c>
      <c r="V18" s="261">
        <v>0</v>
      </c>
      <c r="W18" s="261">
        <v>0</v>
      </c>
      <c r="X18" s="261">
        <v>0</v>
      </c>
      <c r="Y18" s="261">
        <v>0</v>
      </c>
      <c r="Z18" s="261">
        <v>0</v>
      </c>
      <c r="AA18" s="261">
        <v>0</v>
      </c>
      <c r="AB18" s="263">
        <v>2020</v>
      </c>
    </row>
    <row r="19" spans="1:28" ht="35.25" x14ac:dyDescent="0.5">
      <c r="A19" s="256">
        <v>1</v>
      </c>
      <c r="B19" s="179">
        <f>SUBTOTAL(103,$A$8:A19)</f>
        <v>10</v>
      </c>
      <c r="C19" s="258" t="s">
        <v>1762</v>
      </c>
      <c r="D19" s="259">
        <f t="shared" si="3"/>
        <v>187333.55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262">
        <v>0</v>
      </c>
      <c r="L19" s="261">
        <v>0</v>
      </c>
      <c r="M19" s="261">
        <v>0</v>
      </c>
      <c r="N19" s="261">
        <v>106078.31</v>
      </c>
      <c r="O19" s="261">
        <v>81255.240000000005</v>
      </c>
      <c r="P19" s="261">
        <v>0</v>
      </c>
      <c r="Q19" s="261">
        <v>0</v>
      </c>
      <c r="R19" s="261">
        <v>0</v>
      </c>
      <c r="S19" s="261">
        <v>0</v>
      </c>
      <c r="T19" s="261">
        <v>0</v>
      </c>
      <c r="U19" s="261">
        <v>0</v>
      </c>
      <c r="V19" s="261">
        <v>0</v>
      </c>
      <c r="W19" s="261">
        <v>0</v>
      </c>
      <c r="X19" s="261">
        <v>0</v>
      </c>
      <c r="Y19" s="261">
        <v>0</v>
      </c>
      <c r="Z19" s="261">
        <v>0</v>
      </c>
      <c r="AA19" s="261">
        <v>0</v>
      </c>
      <c r="AB19" s="263">
        <v>2020</v>
      </c>
    </row>
    <row r="20" spans="1:28" ht="35.25" x14ac:dyDescent="0.5">
      <c r="A20" s="256">
        <v>1</v>
      </c>
      <c r="B20" s="179">
        <f>SUBTOTAL(103,$A$8:A20)</f>
        <v>11</v>
      </c>
      <c r="C20" s="258" t="s">
        <v>1763</v>
      </c>
      <c r="D20" s="259">
        <f t="shared" si="3"/>
        <v>126252.7</v>
      </c>
      <c r="E20" s="261">
        <v>0</v>
      </c>
      <c r="F20" s="261">
        <v>0</v>
      </c>
      <c r="G20" s="261">
        <v>75345.7</v>
      </c>
      <c r="H20" s="261">
        <v>0</v>
      </c>
      <c r="I20" s="261">
        <v>0</v>
      </c>
      <c r="J20" s="261">
        <v>0</v>
      </c>
      <c r="K20" s="262">
        <v>1</v>
      </c>
      <c r="L20" s="261">
        <v>50907</v>
      </c>
      <c r="M20" s="261">
        <v>0</v>
      </c>
      <c r="N20" s="261">
        <v>0</v>
      </c>
      <c r="O20" s="261">
        <v>0</v>
      </c>
      <c r="P20" s="261">
        <v>0</v>
      </c>
      <c r="Q20" s="261">
        <v>0</v>
      </c>
      <c r="R20" s="261">
        <v>0</v>
      </c>
      <c r="S20" s="261">
        <v>0</v>
      </c>
      <c r="T20" s="261">
        <v>0</v>
      </c>
      <c r="U20" s="261">
        <v>0</v>
      </c>
      <c r="V20" s="261">
        <v>0</v>
      </c>
      <c r="W20" s="261">
        <v>0</v>
      </c>
      <c r="X20" s="261">
        <v>0</v>
      </c>
      <c r="Y20" s="261">
        <v>0</v>
      </c>
      <c r="Z20" s="261">
        <v>0</v>
      </c>
      <c r="AA20" s="261">
        <v>0</v>
      </c>
      <c r="AB20" s="263">
        <v>2020</v>
      </c>
    </row>
    <row r="21" spans="1:28" ht="35.25" x14ac:dyDescent="0.5">
      <c r="A21" s="256">
        <v>1</v>
      </c>
      <c r="B21" s="179">
        <f>SUBTOTAL(103,$A$8:A21)</f>
        <v>12</v>
      </c>
      <c r="C21" s="258" t="s">
        <v>1764</v>
      </c>
      <c r="D21" s="259">
        <f>E21+F21+G21+H21+I21+J21+L21+M21+N21+O21+P21+Q21+R21+S21+T21+U21+V21+W21+X21+Y21+Z21+AA21</f>
        <v>1850000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62">
        <v>1</v>
      </c>
      <c r="L21" s="261">
        <v>1850000</v>
      </c>
      <c r="M21" s="261">
        <v>0</v>
      </c>
      <c r="N21" s="261">
        <v>0</v>
      </c>
      <c r="O21" s="261">
        <v>0</v>
      </c>
      <c r="P21" s="261">
        <v>0</v>
      </c>
      <c r="Q21" s="261">
        <v>0</v>
      </c>
      <c r="R21" s="261">
        <v>0</v>
      </c>
      <c r="S21" s="261">
        <v>0</v>
      </c>
      <c r="T21" s="261">
        <v>0</v>
      </c>
      <c r="U21" s="261">
        <v>0</v>
      </c>
      <c r="V21" s="261">
        <v>0</v>
      </c>
      <c r="W21" s="261">
        <v>0</v>
      </c>
      <c r="X21" s="261">
        <v>0</v>
      </c>
      <c r="Y21" s="261">
        <v>0</v>
      </c>
      <c r="Z21" s="261">
        <v>0</v>
      </c>
      <c r="AA21" s="261">
        <v>0</v>
      </c>
      <c r="AB21" s="263">
        <v>2020</v>
      </c>
    </row>
    <row r="22" spans="1:28" ht="35.25" x14ac:dyDescent="0.5">
      <c r="A22" s="256">
        <v>1</v>
      </c>
      <c r="B22" s="179">
        <f>SUBTOTAL(103,$A$8:A22)</f>
        <v>13</v>
      </c>
      <c r="C22" s="258" t="s">
        <v>1765</v>
      </c>
      <c r="D22" s="259">
        <f t="shared" si="3"/>
        <v>1208460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262">
        <v>0</v>
      </c>
      <c r="L22" s="261">
        <v>0</v>
      </c>
      <c r="M22" s="261">
        <v>0</v>
      </c>
      <c r="N22" s="261">
        <v>0</v>
      </c>
      <c r="O22" s="261">
        <v>1208460</v>
      </c>
      <c r="P22" s="261">
        <v>0</v>
      </c>
      <c r="Q22" s="261">
        <v>0</v>
      </c>
      <c r="R22" s="261">
        <v>0</v>
      </c>
      <c r="S22" s="261">
        <v>0</v>
      </c>
      <c r="T22" s="261">
        <v>0</v>
      </c>
      <c r="U22" s="261">
        <v>0</v>
      </c>
      <c r="V22" s="261">
        <v>0</v>
      </c>
      <c r="W22" s="261">
        <v>0</v>
      </c>
      <c r="X22" s="261">
        <v>0</v>
      </c>
      <c r="Y22" s="261">
        <v>0</v>
      </c>
      <c r="Z22" s="261">
        <v>0</v>
      </c>
      <c r="AA22" s="261">
        <v>0</v>
      </c>
      <c r="AB22" s="263">
        <v>2020</v>
      </c>
    </row>
    <row r="23" spans="1:28" ht="35.25" x14ac:dyDescent="0.5">
      <c r="A23" s="256">
        <v>1</v>
      </c>
      <c r="B23" s="179">
        <f>SUBTOTAL(103,$A$8:A23)</f>
        <v>14</v>
      </c>
      <c r="C23" s="258" t="s">
        <v>1766</v>
      </c>
      <c r="D23" s="259">
        <f t="shared" si="3"/>
        <v>120351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1">
        <v>0</v>
      </c>
      <c r="K23" s="262">
        <v>1</v>
      </c>
      <c r="L23" s="261">
        <f>36105.3+84245.7</f>
        <v>120351</v>
      </c>
      <c r="M23" s="261">
        <v>0</v>
      </c>
      <c r="N23" s="261">
        <v>0</v>
      </c>
      <c r="O23" s="261">
        <v>0</v>
      </c>
      <c r="P23" s="261">
        <v>0</v>
      </c>
      <c r="Q23" s="261">
        <v>0</v>
      </c>
      <c r="R23" s="261">
        <v>0</v>
      </c>
      <c r="S23" s="261">
        <v>0</v>
      </c>
      <c r="T23" s="261">
        <v>0</v>
      </c>
      <c r="U23" s="261">
        <v>0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261">
        <v>0</v>
      </c>
      <c r="AB23" s="263">
        <v>2020</v>
      </c>
    </row>
    <row r="24" spans="1:28" ht="35.25" x14ac:dyDescent="0.5">
      <c r="A24" s="256">
        <v>1</v>
      </c>
      <c r="B24" s="179">
        <f>SUBTOTAL(103,$A$8:A24)</f>
        <v>15</v>
      </c>
      <c r="C24" s="258" t="s">
        <v>1767</v>
      </c>
      <c r="D24" s="259">
        <f t="shared" si="3"/>
        <v>224568</v>
      </c>
      <c r="E24" s="261">
        <v>0</v>
      </c>
      <c r="F24" s="261">
        <v>0</v>
      </c>
      <c r="G24" s="261">
        <v>224568</v>
      </c>
      <c r="H24" s="261">
        <v>0</v>
      </c>
      <c r="I24" s="261">
        <v>0</v>
      </c>
      <c r="J24" s="261">
        <v>0</v>
      </c>
      <c r="K24" s="262">
        <v>0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0</v>
      </c>
      <c r="U24" s="261">
        <v>0</v>
      </c>
      <c r="V24" s="261">
        <v>0</v>
      </c>
      <c r="W24" s="261">
        <v>0</v>
      </c>
      <c r="X24" s="261">
        <v>0</v>
      </c>
      <c r="Y24" s="261">
        <v>0</v>
      </c>
      <c r="Z24" s="261">
        <v>0</v>
      </c>
      <c r="AA24" s="261">
        <v>0</v>
      </c>
      <c r="AB24" s="263">
        <v>2020</v>
      </c>
    </row>
    <row r="25" spans="1:28" ht="35.25" x14ac:dyDescent="0.5">
      <c r="A25" s="256">
        <v>1</v>
      </c>
      <c r="B25" s="179">
        <f>SUBTOTAL(103,$A$8:A25)</f>
        <v>16</v>
      </c>
      <c r="C25" s="258" t="s">
        <v>1768</v>
      </c>
      <c r="D25" s="259">
        <f>E25+F25+G25+H25+I25+J25+L25+M25+N25+O25+P25+Q25+R25+S25+T25+U25+V25+W25+X25+Y25+Z25+AA25</f>
        <v>107933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1">
        <v>0</v>
      </c>
      <c r="K25" s="262">
        <v>1</v>
      </c>
      <c r="L25" s="261">
        <f>52379.9+55553.1</f>
        <v>107933</v>
      </c>
      <c r="M25" s="261">
        <v>0</v>
      </c>
      <c r="N25" s="261">
        <v>0</v>
      </c>
      <c r="O25" s="261">
        <v>0</v>
      </c>
      <c r="P25" s="261">
        <v>0</v>
      </c>
      <c r="Q25" s="261">
        <v>0</v>
      </c>
      <c r="R25" s="261">
        <v>0</v>
      </c>
      <c r="S25" s="261"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0</v>
      </c>
      <c r="Y25" s="261">
        <v>0</v>
      </c>
      <c r="Z25" s="261">
        <v>0</v>
      </c>
      <c r="AA25" s="261">
        <v>0</v>
      </c>
      <c r="AB25" s="263">
        <v>2020</v>
      </c>
    </row>
    <row r="26" spans="1:28" ht="35.25" x14ac:dyDescent="0.5">
      <c r="A26" s="256">
        <v>1</v>
      </c>
      <c r="B26" s="179">
        <f>SUBTOTAL(103,$A$8:A26)</f>
        <v>17</v>
      </c>
      <c r="C26" s="258" t="s">
        <v>1769</v>
      </c>
      <c r="D26" s="259">
        <f t="shared" si="3"/>
        <v>203330</v>
      </c>
      <c r="E26" s="261">
        <v>0</v>
      </c>
      <c r="F26" s="261">
        <v>203330</v>
      </c>
      <c r="G26" s="261">
        <v>0</v>
      </c>
      <c r="H26" s="261">
        <v>0</v>
      </c>
      <c r="I26" s="261">
        <v>0</v>
      </c>
      <c r="J26" s="261">
        <v>0</v>
      </c>
      <c r="K26" s="262">
        <v>0</v>
      </c>
      <c r="L26" s="261">
        <v>0</v>
      </c>
      <c r="M26" s="261">
        <v>0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v>0</v>
      </c>
      <c r="Z26" s="261">
        <v>0</v>
      </c>
      <c r="AA26" s="261">
        <v>0</v>
      </c>
      <c r="AB26" s="263">
        <v>2020</v>
      </c>
    </row>
    <row r="27" spans="1:28" ht="35.25" x14ac:dyDescent="0.5">
      <c r="A27" s="256">
        <v>1</v>
      </c>
      <c r="B27" s="179">
        <f>SUBTOTAL(103,$A$8:A27)</f>
        <v>18</v>
      </c>
      <c r="C27" s="258" t="s">
        <v>1770</v>
      </c>
      <c r="D27" s="259">
        <f t="shared" si="3"/>
        <v>54271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2">
        <v>1</v>
      </c>
      <c r="L27" s="261">
        <f>11188+43083</f>
        <v>54271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0</v>
      </c>
      <c r="U27" s="261">
        <v>0</v>
      </c>
      <c r="V27" s="261">
        <v>0</v>
      </c>
      <c r="W27" s="261">
        <v>0</v>
      </c>
      <c r="X27" s="261">
        <v>0</v>
      </c>
      <c r="Y27" s="261">
        <v>0</v>
      </c>
      <c r="Z27" s="261">
        <v>0</v>
      </c>
      <c r="AA27" s="261">
        <v>0</v>
      </c>
      <c r="AB27" s="263">
        <v>2020</v>
      </c>
    </row>
    <row r="28" spans="1:28" ht="35.25" x14ac:dyDescent="0.5">
      <c r="A28" s="256">
        <v>1</v>
      </c>
      <c r="B28" s="179">
        <f>SUBTOTAL(103,$A$8:A28)</f>
        <v>19</v>
      </c>
      <c r="C28" s="258" t="s">
        <v>1771</v>
      </c>
      <c r="D28" s="259">
        <f>E28+F28+G28+H28+I28+J28+L28+M28+N28+O28+P28+Q28+R28+S28+T28+U28+V28+W28+X28+Y28+Z28+AA28</f>
        <v>1200000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1">
        <v>0</v>
      </c>
      <c r="K28" s="262">
        <v>7</v>
      </c>
      <c r="L28" s="261">
        <v>1200000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0</v>
      </c>
      <c r="T28" s="261">
        <v>0</v>
      </c>
      <c r="U28" s="261">
        <v>0</v>
      </c>
      <c r="V28" s="261">
        <v>0</v>
      </c>
      <c r="W28" s="261">
        <v>0</v>
      </c>
      <c r="X28" s="261">
        <v>0</v>
      </c>
      <c r="Y28" s="261">
        <v>0</v>
      </c>
      <c r="Z28" s="261">
        <v>0</v>
      </c>
      <c r="AA28" s="261">
        <v>0</v>
      </c>
      <c r="AB28" s="263">
        <v>2020</v>
      </c>
    </row>
    <row r="29" spans="1:28" ht="35.25" x14ac:dyDescent="0.5">
      <c r="A29" s="256">
        <v>1</v>
      </c>
      <c r="B29" s="179">
        <f>SUBTOTAL(103,$A$8:A29)</f>
        <v>20</v>
      </c>
      <c r="C29" s="258" t="s">
        <v>1772</v>
      </c>
      <c r="D29" s="259">
        <f t="shared" si="3"/>
        <v>808068.6</v>
      </c>
      <c r="E29" s="261">
        <v>0</v>
      </c>
      <c r="F29" s="261">
        <v>0</v>
      </c>
      <c r="G29" s="261">
        <f>226595.6+581473</f>
        <v>808068.6</v>
      </c>
      <c r="H29" s="261">
        <v>0</v>
      </c>
      <c r="I29" s="261">
        <v>0</v>
      </c>
      <c r="J29" s="261">
        <v>0</v>
      </c>
      <c r="K29" s="262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1">
        <v>0</v>
      </c>
      <c r="U29" s="261">
        <v>0</v>
      </c>
      <c r="V29" s="261">
        <v>0</v>
      </c>
      <c r="W29" s="261">
        <v>0</v>
      </c>
      <c r="X29" s="261">
        <v>0</v>
      </c>
      <c r="Y29" s="261">
        <v>0</v>
      </c>
      <c r="Z29" s="261">
        <v>0</v>
      </c>
      <c r="AA29" s="261">
        <v>0</v>
      </c>
      <c r="AB29" s="263">
        <v>2020</v>
      </c>
    </row>
    <row r="30" spans="1:28" ht="35.25" x14ac:dyDescent="0.5">
      <c r="A30" s="256">
        <v>1</v>
      </c>
      <c r="B30" s="179">
        <f>SUBTOTAL(103,$A$8:A30)</f>
        <v>21</v>
      </c>
      <c r="C30" s="258" t="s">
        <v>1773</v>
      </c>
      <c r="D30" s="259">
        <f>E30+F30+G30+H30+I30+J30+L30+M30+N30+O30+P30+Q30+R30+S30+T30+U30+V30+W30+X30+Y30+Z30+AA30</f>
        <v>144000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1">
        <v>0</v>
      </c>
      <c r="K30" s="262">
        <v>3</v>
      </c>
      <c r="L30" s="261">
        <f>43200+100800</f>
        <v>144000</v>
      </c>
      <c r="M30" s="261">
        <v>0</v>
      </c>
      <c r="N30" s="261">
        <v>0</v>
      </c>
      <c r="O30" s="261">
        <v>0</v>
      </c>
      <c r="P30" s="261">
        <v>0</v>
      </c>
      <c r="Q30" s="261">
        <v>0</v>
      </c>
      <c r="R30" s="261">
        <v>0</v>
      </c>
      <c r="S30" s="261">
        <v>0</v>
      </c>
      <c r="T30" s="261">
        <v>0</v>
      </c>
      <c r="U30" s="261">
        <v>0</v>
      </c>
      <c r="V30" s="261">
        <v>0</v>
      </c>
      <c r="W30" s="261">
        <v>0</v>
      </c>
      <c r="X30" s="261">
        <v>0</v>
      </c>
      <c r="Y30" s="261">
        <v>0</v>
      </c>
      <c r="Z30" s="261">
        <v>0</v>
      </c>
      <c r="AA30" s="261">
        <v>0</v>
      </c>
      <c r="AB30" s="263">
        <v>2020</v>
      </c>
    </row>
    <row r="31" spans="1:28" ht="35.25" x14ac:dyDescent="0.5">
      <c r="A31" s="256">
        <v>1</v>
      </c>
      <c r="B31" s="179">
        <f>SUBTOTAL(103,$A$8:A31)</f>
        <v>22</v>
      </c>
      <c r="C31" s="258" t="s">
        <v>1774</v>
      </c>
      <c r="D31" s="259">
        <f t="shared" si="3"/>
        <v>1152575.8999999999</v>
      </c>
      <c r="E31" s="261">
        <v>0</v>
      </c>
      <c r="F31" s="261">
        <v>0</v>
      </c>
      <c r="G31" s="261">
        <v>118275.9</v>
      </c>
      <c r="H31" s="261">
        <v>0</v>
      </c>
      <c r="I31" s="261">
        <v>0</v>
      </c>
      <c r="J31" s="261">
        <v>0</v>
      </c>
      <c r="K31" s="262">
        <v>1</v>
      </c>
      <c r="L31" s="261">
        <v>180000</v>
      </c>
      <c r="M31" s="261">
        <v>854300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261">
        <v>0</v>
      </c>
      <c r="T31" s="261">
        <v>0</v>
      </c>
      <c r="U31" s="261">
        <v>0</v>
      </c>
      <c r="V31" s="261">
        <v>0</v>
      </c>
      <c r="W31" s="261">
        <v>0</v>
      </c>
      <c r="X31" s="261">
        <v>0</v>
      </c>
      <c r="Y31" s="261">
        <v>0</v>
      </c>
      <c r="Z31" s="261">
        <v>0</v>
      </c>
      <c r="AA31" s="261">
        <v>0</v>
      </c>
      <c r="AB31" s="263">
        <v>2020</v>
      </c>
    </row>
    <row r="32" spans="1:28" ht="35.25" x14ac:dyDescent="0.5">
      <c r="A32" s="256">
        <v>1</v>
      </c>
      <c r="B32" s="179">
        <f>SUBTOTAL(103,$A$8:A32)</f>
        <v>23</v>
      </c>
      <c r="C32" s="258" t="s">
        <v>1775</v>
      </c>
      <c r="D32" s="259">
        <f t="shared" si="3"/>
        <v>357151.2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2">
        <v>1</v>
      </c>
      <c r="L32" s="261">
        <v>357151.2</v>
      </c>
      <c r="M32" s="261">
        <v>0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261">
        <v>0</v>
      </c>
      <c r="T32" s="261">
        <v>0</v>
      </c>
      <c r="U32" s="261">
        <v>0</v>
      </c>
      <c r="V32" s="261">
        <v>0</v>
      </c>
      <c r="W32" s="261">
        <v>0</v>
      </c>
      <c r="X32" s="261">
        <v>0</v>
      </c>
      <c r="Y32" s="261">
        <v>0</v>
      </c>
      <c r="Z32" s="261">
        <v>0</v>
      </c>
      <c r="AA32" s="261">
        <v>0</v>
      </c>
      <c r="AB32" s="263">
        <v>2020</v>
      </c>
    </row>
    <row r="33" spans="1:28" ht="35.25" x14ac:dyDescent="0.5">
      <c r="A33" s="256">
        <v>1</v>
      </c>
      <c r="B33" s="179">
        <f>SUBTOTAL(103,$A$8:A33)</f>
        <v>24</v>
      </c>
      <c r="C33" s="258" t="s">
        <v>1776</v>
      </c>
      <c r="D33" s="259">
        <f>E33+F33+G33+H33+I33+J33+L33+M33+N33+O33+P33+Q33+R33+S33+T33+U33+V33+W33+X33+Y33+Z33+AA33</f>
        <v>5100000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2">
        <v>3</v>
      </c>
      <c r="L33" s="261">
        <v>5100000</v>
      </c>
      <c r="M33" s="261">
        <v>0</v>
      </c>
      <c r="N33" s="261">
        <v>0</v>
      </c>
      <c r="O33" s="261">
        <v>0</v>
      </c>
      <c r="P33" s="261">
        <v>0</v>
      </c>
      <c r="Q33" s="261">
        <v>0</v>
      </c>
      <c r="R33" s="261">
        <v>0</v>
      </c>
      <c r="S33" s="261">
        <v>0</v>
      </c>
      <c r="T33" s="261">
        <v>0</v>
      </c>
      <c r="U33" s="261">
        <v>0</v>
      </c>
      <c r="V33" s="261">
        <v>0</v>
      </c>
      <c r="W33" s="261">
        <v>0</v>
      </c>
      <c r="X33" s="261">
        <v>0</v>
      </c>
      <c r="Y33" s="261">
        <v>0</v>
      </c>
      <c r="Z33" s="261">
        <v>0</v>
      </c>
      <c r="AA33" s="261">
        <v>0</v>
      </c>
      <c r="AB33" s="263">
        <v>2020</v>
      </c>
    </row>
    <row r="34" spans="1:28" ht="35.25" x14ac:dyDescent="0.5">
      <c r="A34" s="256">
        <v>1</v>
      </c>
      <c r="B34" s="179">
        <f>SUBTOTAL(103,$A$8:A34)</f>
        <v>25</v>
      </c>
      <c r="C34" s="258" t="s">
        <v>1777</v>
      </c>
      <c r="D34" s="259">
        <f t="shared" ref="D34:D49" si="4">E34+F34+G34+H34+I34+J34+L34+M34+N34+O34+P34+Q34+R34+S34+T34+U34+V34+W34+X34+Y34+Z34+AA34</f>
        <v>333729</v>
      </c>
      <c r="E34" s="261">
        <v>0</v>
      </c>
      <c r="F34" s="261">
        <v>0</v>
      </c>
      <c r="G34" s="261">
        <v>333729</v>
      </c>
      <c r="H34" s="261">
        <v>0</v>
      </c>
      <c r="I34" s="261">
        <v>0</v>
      </c>
      <c r="J34" s="261">
        <v>0</v>
      </c>
      <c r="K34" s="262">
        <v>0</v>
      </c>
      <c r="L34" s="261">
        <v>0</v>
      </c>
      <c r="M34" s="261">
        <v>0</v>
      </c>
      <c r="N34" s="261">
        <v>0</v>
      </c>
      <c r="O34" s="261">
        <v>0</v>
      </c>
      <c r="P34" s="261">
        <v>0</v>
      </c>
      <c r="Q34" s="261">
        <v>0</v>
      </c>
      <c r="R34" s="261">
        <v>0</v>
      </c>
      <c r="S34" s="261">
        <v>0</v>
      </c>
      <c r="T34" s="261">
        <v>0</v>
      </c>
      <c r="U34" s="261">
        <v>0</v>
      </c>
      <c r="V34" s="261">
        <v>0</v>
      </c>
      <c r="W34" s="261">
        <v>0</v>
      </c>
      <c r="X34" s="261">
        <v>0</v>
      </c>
      <c r="Y34" s="261">
        <v>0</v>
      </c>
      <c r="Z34" s="261">
        <v>0</v>
      </c>
      <c r="AA34" s="261">
        <v>0</v>
      </c>
      <c r="AB34" s="263">
        <v>2020</v>
      </c>
    </row>
    <row r="35" spans="1:28" ht="35.25" x14ac:dyDescent="0.5">
      <c r="A35" s="256">
        <v>1</v>
      </c>
      <c r="B35" s="179">
        <f>SUBTOTAL(103,$A$8:A35)</f>
        <v>26</v>
      </c>
      <c r="C35" s="258" t="s">
        <v>1778</v>
      </c>
      <c r="D35" s="259">
        <f t="shared" si="4"/>
        <v>322000</v>
      </c>
      <c r="E35" s="261">
        <v>0</v>
      </c>
      <c r="F35" s="261">
        <v>0</v>
      </c>
      <c r="G35" s="261">
        <v>322000</v>
      </c>
      <c r="H35" s="261">
        <v>0</v>
      </c>
      <c r="I35" s="261">
        <v>0</v>
      </c>
      <c r="J35" s="261">
        <v>0</v>
      </c>
      <c r="K35" s="262">
        <v>0</v>
      </c>
      <c r="L35" s="261">
        <v>0</v>
      </c>
      <c r="M35" s="261">
        <v>0</v>
      </c>
      <c r="N35" s="261">
        <v>0</v>
      </c>
      <c r="O35" s="261">
        <v>0</v>
      </c>
      <c r="P35" s="261">
        <v>0</v>
      </c>
      <c r="Q35" s="261">
        <v>0</v>
      </c>
      <c r="R35" s="261">
        <v>0</v>
      </c>
      <c r="S35" s="261">
        <v>0</v>
      </c>
      <c r="T35" s="261">
        <v>0</v>
      </c>
      <c r="U35" s="261">
        <v>0</v>
      </c>
      <c r="V35" s="261">
        <v>0</v>
      </c>
      <c r="W35" s="261">
        <v>0</v>
      </c>
      <c r="X35" s="261">
        <v>0</v>
      </c>
      <c r="Y35" s="261">
        <v>0</v>
      </c>
      <c r="Z35" s="261">
        <v>0</v>
      </c>
      <c r="AA35" s="261">
        <v>0</v>
      </c>
      <c r="AB35" s="263">
        <v>2020</v>
      </c>
    </row>
    <row r="36" spans="1:28" ht="35.25" x14ac:dyDescent="0.5">
      <c r="A36" s="256">
        <v>1</v>
      </c>
      <c r="B36" s="179">
        <f>SUBTOTAL(103,$A$8:A36)</f>
        <v>27</v>
      </c>
      <c r="C36" s="258" t="s">
        <v>1779</v>
      </c>
      <c r="D36" s="259">
        <f t="shared" si="4"/>
        <v>123412.1</v>
      </c>
      <c r="E36" s="261">
        <v>119000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2">
        <v>1</v>
      </c>
      <c r="L36" s="261">
        <v>4412.1000000000004</v>
      </c>
      <c r="M36" s="261">
        <v>0</v>
      </c>
      <c r="N36" s="261">
        <v>0</v>
      </c>
      <c r="O36" s="261">
        <v>0</v>
      </c>
      <c r="P36" s="261">
        <v>0</v>
      </c>
      <c r="Q36" s="261">
        <v>0</v>
      </c>
      <c r="R36" s="261">
        <v>0</v>
      </c>
      <c r="S36" s="261">
        <v>0</v>
      </c>
      <c r="T36" s="261">
        <v>0</v>
      </c>
      <c r="U36" s="261">
        <v>0</v>
      </c>
      <c r="V36" s="261">
        <v>0</v>
      </c>
      <c r="W36" s="261">
        <v>0</v>
      </c>
      <c r="X36" s="261">
        <v>0</v>
      </c>
      <c r="Y36" s="261">
        <v>0</v>
      </c>
      <c r="Z36" s="261">
        <v>0</v>
      </c>
      <c r="AA36" s="261">
        <v>0</v>
      </c>
      <c r="AB36" s="263">
        <v>2020</v>
      </c>
    </row>
    <row r="37" spans="1:28" ht="35.25" x14ac:dyDescent="0.5">
      <c r="A37" s="256">
        <v>1</v>
      </c>
      <c r="B37" s="179">
        <f>SUBTOTAL(103,$A$8:A37)</f>
        <v>28</v>
      </c>
      <c r="C37" s="258" t="s">
        <v>1780</v>
      </c>
      <c r="D37" s="259">
        <f t="shared" si="4"/>
        <v>112782</v>
      </c>
      <c r="E37" s="261">
        <v>0</v>
      </c>
      <c r="F37" s="261">
        <v>0</v>
      </c>
      <c r="G37" s="261">
        <v>112782</v>
      </c>
      <c r="H37" s="261">
        <v>0</v>
      </c>
      <c r="I37" s="261">
        <v>0</v>
      </c>
      <c r="J37" s="261">
        <v>0</v>
      </c>
      <c r="K37" s="262">
        <v>0</v>
      </c>
      <c r="L37" s="261">
        <v>0</v>
      </c>
      <c r="M37" s="261">
        <v>0</v>
      </c>
      <c r="N37" s="261">
        <v>0</v>
      </c>
      <c r="O37" s="261">
        <v>0</v>
      </c>
      <c r="P37" s="261">
        <v>0</v>
      </c>
      <c r="Q37" s="261">
        <v>0</v>
      </c>
      <c r="R37" s="261">
        <v>0</v>
      </c>
      <c r="S37" s="261">
        <v>0</v>
      </c>
      <c r="T37" s="261">
        <v>0</v>
      </c>
      <c r="U37" s="261">
        <v>0</v>
      </c>
      <c r="V37" s="261">
        <v>0</v>
      </c>
      <c r="W37" s="261">
        <v>0</v>
      </c>
      <c r="X37" s="261">
        <v>0</v>
      </c>
      <c r="Y37" s="261">
        <v>0</v>
      </c>
      <c r="Z37" s="261">
        <v>0</v>
      </c>
      <c r="AA37" s="261">
        <v>0</v>
      </c>
      <c r="AB37" s="263">
        <v>2020</v>
      </c>
    </row>
    <row r="38" spans="1:28" ht="35.25" x14ac:dyDescent="0.5">
      <c r="A38" s="256">
        <v>1</v>
      </c>
      <c r="B38" s="179">
        <f>SUBTOTAL(103,$A$8:A38)</f>
        <v>29</v>
      </c>
      <c r="C38" s="258" t="s">
        <v>1781</v>
      </c>
      <c r="D38" s="259">
        <f t="shared" si="4"/>
        <v>116700.38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262">
        <v>0</v>
      </c>
      <c r="L38" s="261">
        <v>0</v>
      </c>
      <c r="M38" s="261">
        <v>0</v>
      </c>
      <c r="N38" s="261">
        <v>0</v>
      </c>
      <c r="O38" s="261">
        <v>116700.38</v>
      </c>
      <c r="P38" s="261">
        <v>0</v>
      </c>
      <c r="Q38" s="261">
        <v>0</v>
      </c>
      <c r="R38" s="261">
        <v>0</v>
      </c>
      <c r="S38" s="261">
        <v>0</v>
      </c>
      <c r="T38" s="261">
        <v>0</v>
      </c>
      <c r="U38" s="261">
        <v>0</v>
      </c>
      <c r="V38" s="261">
        <v>0</v>
      </c>
      <c r="W38" s="261">
        <v>0</v>
      </c>
      <c r="X38" s="261">
        <v>0</v>
      </c>
      <c r="Y38" s="261">
        <v>0</v>
      </c>
      <c r="Z38" s="261">
        <v>0</v>
      </c>
      <c r="AA38" s="261">
        <v>0</v>
      </c>
      <c r="AB38" s="263">
        <v>2020</v>
      </c>
    </row>
    <row r="39" spans="1:28" ht="35.25" x14ac:dyDescent="0.5">
      <c r="A39" s="256">
        <v>1</v>
      </c>
      <c r="B39" s="179">
        <f>SUBTOTAL(103,$A$8:A39)</f>
        <v>30</v>
      </c>
      <c r="C39" s="258" t="s">
        <v>1782</v>
      </c>
      <c r="D39" s="259">
        <f>E39+F39+G39+H39+I39+J39+L39+M39+N39+O39+P39+Q39+R39+S39+T39+U39+V39+W39+X39+Y39+Z39+AA39</f>
        <v>1800000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262">
        <v>1</v>
      </c>
      <c r="L39" s="261">
        <v>1800000</v>
      </c>
      <c r="M39" s="261">
        <v>0</v>
      </c>
      <c r="N39" s="261">
        <v>0</v>
      </c>
      <c r="O39" s="261">
        <v>0</v>
      </c>
      <c r="P39" s="261">
        <v>0</v>
      </c>
      <c r="Q39" s="261">
        <v>0</v>
      </c>
      <c r="R39" s="261">
        <v>0</v>
      </c>
      <c r="S39" s="261">
        <v>0</v>
      </c>
      <c r="T39" s="261">
        <v>0</v>
      </c>
      <c r="U39" s="261">
        <v>0</v>
      </c>
      <c r="V39" s="261">
        <v>0</v>
      </c>
      <c r="W39" s="261">
        <v>0</v>
      </c>
      <c r="X39" s="261">
        <v>0</v>
      </c>
      <c r="Y39" s="261">
        <v>0</v>
      </c>
      <c r="Z39" s="261">
        <v>0</v>
      </c>
      <c r="AA39" s="261">
        <v>0</v>
      </c>
      <c r="AB39" s="263">
        <v>2020</v>
      </c>
    </row>
    <row r="40" spans="1:28" ht="35.25" x14ac:dyDescent="0.5">
      <c r="A40" s="256">
        <v>1</v>
      </c>
      <c r="B40" s="179">
        <f>SUBTOTAL(103,$A$8:A40)</f>
        <v>31</v>
      </c>
      <c r="C40" s="258" t="s">
        <v>1783</v>
      </c>
      <c r="D40" s="259">
        <f t="shared" si="4"/>
        <v>659488</v>
      </c>
      <c r="E40" s="261">
        <v>0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262">
        <v>0</v>
      </c>
      <c r="L40" s="261">
        <v>0</v>
      </c>
      <c r="M40" s="261">
        <v>659488</v>
      </c>
      <c r="N40" s="261">
        <v>0</v>
      </c>
      <c r="O40" s="261">
        <v>0</v>
      </c>
      <c r="P40" s="261">
        <v>0</v>
      </c>
      <c r="Q40" s="261">
        <v>0</v>
      </c>
      <c r="R40" s="261">
        <v>0</v>
      </c>
      <c r="S40" s="261">
        <v>0</v>
      </c>
      <c r="T40" s="261">
        <v>0</v>
      </c>
      <c r="U40" s="261">
        <v>0</v>
      </c>
      <c r="V40" s="261">
        <v>0</v>
      </c>
      <c r="W40" s="261">
        <v>0</v>
      </c>
      <c r="X40" s="261">
        <v>0</v>
      </c>
      <c r="Y40" s="261">
        <v>0</v>
      </c>
      <c r="Z40" s="261">
        <v>0</v>
      </c>
      <c r="AA40" s="261">
        <v>0</v>
      </c>
      <c r="AB40" s="263">
        <v>2020</v>
      </c>
    </row>
    <row r="41" spans="1:28" ht="35.25" x14ac:dyDescent="0.5">
      <c r="A41" s="256">
        <v>1</v>
      </c>
      <c r="B41" s="179">
        <f>SUBTOTAL(103,$A$8:A41)</f>
        <v>32</v>
      </c>
      <c r="C41" s="258" t="s">
        <v>1784</v>
      </c>
      <c r="D41" s="259">
        <f t="shared" si="4"/>
        <v>177700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262">
        <v>1</v>
      </c>
      <c r="L41" s="261">
        <v>177700</v>
      </c>
      <c r="M41" s="261">
        <v>0</v>
      </c>
      <c r="N41" s="261">
        <v>0</v>
      </c>
      <c r="O41" s="261">
        <v>0</v>
      </c>
      <c r="P41" s="261">
        <v>0</v>
      </c>
      <c r="Q41" s="261">
        <v>0</v>
      </c>
      <c r="R41" s="261">
        <v>0</v>
      </c>
      <c r="S41" s="261">
        <v>0</v>
      </c>
      <c r="T41" s="261">
        <v>0</v>
      </c>
      <c r="U41" s="261">
        <v>0</v>
      </c>
      <c r="V41" s="261">
        <v>0</v>
      </c>
      <c r="W41" s="261">
        <v>0</v>
      </c>
      <c r="X41" s="261">
        <v>0</v>
      </c>
      <c r="Y41" s="261">
        <v>0</v>
      </c>
      <c r="Z41" s="261">
        <v>0</v>
      </c>
      <c r="AA41" s="261">
        <v>0</v>
      </c>
      <c r="AB41" s="263">
        <v>2020</v>
      </c>
    </row>
    <row r="42" spans="1:28" ht="35.25" x14ac:dyDescent="0.5">
      <c r="A42" s="256">
        <v>1</v>
      </c>
      <c r="B42" s="179">
        <f>SUBTOTAL(103,$A$8:A42)</f>
        <v>33</v>
      </c>
      <c r="C42" s="258" t="s">
        <v>1785</v>
      </c>
      <c r="D42" s="259">
        <f t="shared" si="4"/>
        <v>3600000</v>
      </c>
      <c r="E42" s="261">
        <v>0</v>
      </c>
      <c r="F42" s="261">
        <v>0</v>
      </c>
      <c r="G42" s="261">
        <v>0</v>
      </c>
      <c r="H42" s="261">
        <v>0</v>
      </c>
      <c r="I42" s="261">
        <v>0</v>
      </c>
      <c r="J42" s="261">
        <v>0</v>
      </c>
      <c r="K42" s="262">
        <v>2</v>
      </c>
      <c r="L42" s="261">
        <v>3600000</v>
      </c>
      <c r="M42" s="261">
        <v>0</v>
      </c>
      <c r="N42" s="261">
        <v>0</v>
      </c>
      <c r="O42" s="261">
        <v>0</v>
      </c>
      <c r="P42" s="261">
        <v>0</v>
      </c>
      <c r="Q42" s="261">
        <v>0</v>
      </c>
      <c r="R42" s="261">
        <v>0</v>
      </c>
      <c r="S42" s="261">
        <v>0</v>
      </c>
      <c r="T42" s="261">
        <v>0</v>
      </c>
      <c r="U42" s="261">
        <v>0</v>
      </c>
      <c r="V42" s="261">
        <v>0</v>
      </c>
      <c r="W42" s="261">
        <v>0</v>
      </c>
      <c r="X42" s="261">
        <v>0</v>
      </c>
      <c r="Y42" s="261">
        <v>0</v>
      </c>
      <c r="Z42" s="261">
        <v>0</v>
      </c>
      <c r="AA42" s="261">
        <v>0</v>
      </c>
      <c r="AB42" s="263">
        <v>2020</v>
      </c>
    </row>
    <row r="43" spans="1:28" ht="35.25" x14ac:dyDescent="0.5">
      <c r="A43" s="256">
        <v>1</v>
      </c>
      <c r="B43" s="179">
        <f>SUBTOTAL(103,$A$8:A43)</f>
        <v>34</v>
      </c>
      <c r="C43" s="258" t="s">
        <v>1786</v>
      </c>
      <c r="D43" s="259">
        <f t="shared" si="4"/>
        <v>132450</v>
      </c>
      <c r="E43" s="261">
        <v>0</v>
      </c>
      <c r="F43" s="261">
        <v>0</v>
      </c>
      <c r="G43" s="261">
        <v>0</v>
      </c>
      <c r="H43" s="261">
        <v>0</v>
      </c>
      <c r="I43" s="261">
        <v>0</v>
      </c>
      <c r="J43" s="261">
        <v>0</v>
      </c>
      <c r="K43" s="262">
        <v>0</v>
      </c>
      <c r="L43" s="261">
        <v>0</v>
      </c>
      <c r="M43" s="261">
        <v>132450</v>
      </c>
      <c r="N43" s="261">
        <v>0</v>
      </c>
      <c r="O43" s="261">
        <v>0</v>
      </c>
      <c r="P43" s="261">
        <v>0</v>
      </c>
      <c r="Q43" s="261">
        <v>0</v>
      </c>
      <c r="R43" s="261">
        <v>0</v>
      </c>
      <c r="S43" s="261">
        <v>0</v>
      </c>
      <c r="T43" s="261">
        <v>0</v>
      </c>
      <c r="U43" s="261">
        <v>0</v>
      </c>
      <c r="V43" s="261">
        <v>0</v>
      </c>
      <c r="W43" s="261">
        <v>0</v>
      </c>
      <c r="X43" s="261">
        <v>0</v>
      </c>
      <c r="Y43" s="261">
        <v>0</v>
      </c>
      <c r="Z43" s="261">
        <v>0</v>
      </c>
      <c r="AA43" s="261">
        <v>0</v>
      </c>
      <c r="AB43" s="263">
        <v>2020</v>
      </c>
    </row>
    <row r="44" spans="1:28" ht="35.25" x14ac:dyDescent="0.5">
      <c r="A44" s="256">
        <v>1</v>
      </c>
      <c r="B44" s="179">
        <f>SUBTOTAL(103,$A$8:A44)</f>
        <v>35</v>
      </c>
      <c r="C44" s="258" t="s">
        <v>1787</v>
      </c>
      <c r="D44" s="259">
        <f>E44+F44+G44+H44+I44+J44+L44+M44+N44+O44+P44+Q44+R44+S44+T44+U44+V44+W44+X44+Y44+Z44+AA44</f>
        <v>45000</v>
      </c>
      <c r="E44" s="261">
        <v>0</v>
      </c>
      <c r="F44" s="261">
        <v>0</v>
      </c>
      <c r="G44" s="261">
        <v>0</v>
      </c>
      <c r="H44" s="261">
        <v>0</v>
      </c>
      <c r="I44" s="261">
        <v>0</v>
      </c>
      <c r="J44" s="261">
        <v>0</v>
      </c>
      <c r="K44" s="262">
        <v>1</v>
      </c>
      <c r="L44" s="261">
        <v>45000</v>
      </c>
      <c r="M44" s="261">
        <v>0</v>
      </c>
      <c r="N44" s="261">
        <v>0</v>
      </c>
      <c r="O44" s="261">
        <v>0</v>
      </c>
      <c r="P44" s="261">
        <v>0</v>
      </c>
      <c r="Q44" s="261">
        <v>0</v>
      </c>
      <c r="R44" s="261">
        <v>0</v>
      </c>
      <c r="S44" s="261">
        <v>0</v>
      </c>
      <c r="T44" s="261">
        <v>0</v>
      </c>
      <c r="U44" s="261">
        <v>0</v>
      </c>
      <c r="V44" s="261">
        <v>0</v>
      </c>
      <c r="W44" s="261">
        <v>0</v>
      </c>
      <c r="X44" s="261">
        <v>0</v>
      </c>
      <c r="Y44" s="261">
        <v>0</v>
      </c>
      <c r="Z44" s="261">
        <v>0</v>
      </c>
      <c r="AA44" s="261">
        <v>0</v>
      </c>
      <c r="AB44" s="263">
        <v>2020</v>
      </c>
    </row>
    <row r="45" spans="1:28" ht="35.25" x14ac:dyDescent="0.5">
      <c r="A45" s="256">
        <v>1</v>
      </c>
      <c r="B45" s="179">
        <f>SUBTOTAL(103,$A$8:A45)</f>
        <v>36</v>
      </c>
      <c r="C45" s="258" t="s">
        <v>1788</v>
      </c>
      <c r="D45" s="259">
        <f t="shared" si="4"/>
        <v>193114.2</v>
      </c>
      <c r="E45" s="261">
        <v>0</v>
      </c>
      <c r="F45" s="261">
        <v>0</v>
      </c>
      <c r="G45" s="261">
        <v>20464.2</v>
      </c>
      <c r="H45" s="261">
        <v>0</v>
      </c>
      <c r="I45" s="261">
        <v>0</v>
      </c>
      <c r="J45" s="261">
        <v>0</v>
      </c>
      <c r="K45" s="262">
        <v>0</v>
      </c>
      <c r="L45" s="261">
        <v>0</v>
      </c>
      <c r="M45" s="261">
        <v>172650</v>
      </c>
      <c r="N45" s="261">
        <v>0</v>
      </c>
      <c r="O45" s="261">
        <v>0</v>
      </c>
      <c r="P45" s="261">
        <v>0</v>
      </c>
      <c r="Q45" s="261">
        <v>0</v>
      </c>
      <c r="R45" s="261">
        <v>0</v>
      </c>
      <c r="S45" s="261">
        <v>0</v>
      </c>
      <c r="T45" s="261">
        <v>0</v>
      </c>
      <c r="U45" s="261">
        <v>0</v>
      </c>
      <c r="V45" s="261">
        <v>0</v>
      </c>
      <c r="W45" s="261">
        <v>0</v>
      </c>
      <c r="X45" s="261">
        <v>0</v>
      </c>
      <c r="Y45" s="261">
        <v>0</v>
      </c>
      <c r="Z45" s="261">
        <v>0</v>
      </c>
      <c r="AA45" s="261">
        <v>0</v>
      </c>
      <c r="AB45" s="263">
        <v>2020</v>
      </c>
    </row>
    <row r="46" spans="1:28" ht="35.25" x14ac:dyDescent="0.5">
      <c r="A46" s="256">
        <v>1</v>
      </c>
      <c r="B46" s="179">
        <f>SUBTOTAL(103,$A$8:A46)</f>
        <v>37</v>
      </c>
      <c r="C46" s="258" t="s">
        <v>1789</v>
      </c>
      <c r="D46" s="259">
        <f>E46+F46+G46+H46+I46+J46+L46+M46+N46+O46+P46+Q46+R46+S46+T46+U46+V46+W46+X46+Y46+Z46+AA46</f>
        <v>580372</v>
      </c>
      <c r="E46" s="261">
        <v>0</v>
      </c>
      <c r="F46" s="261">
        <v>0</v>
      </c>
      <c r="G46" s="261">
        <v>0</v>
      </c>
      <c r="H46" s="261">
        <v>0</v>
      </c>
      <c r="I46" s="261">
        <v>0</v>
      </c>
      <c r="J46" s="261">
        <v>0</v>
      </c>
      <c r="K46" s="262">
        <v>1</v>
      </c>
      <c r="L46" s="261">
        <v>174530</v>
      </c>
      <c r="M46" s="261">
        <v>0</v>
      </c>
      <c r="N46" s="261">
        <v>0</v>
      </c>
      <c r="O46" s="261">
        <v>405842</v>
      </c>
      <c r="P46" s="261">
        <v>0</v>
      </c>
      <c r="Q46" s="261">
        <v>0</v>
      </c>
      <c r="R46" s="261">
        <v>0</v>
      </c>
      <c r="S46" s="261">
        <v>0</v>
      </c>
      <c r="T46" s="261">
        <v>0</v>
      </c>
      <c r="U46" s="261">
        <v>0</v>
      </c>
      <c r="V46" s="261">
        <v>0</v>
      </c>
      <c r="W46" s="261">
        <v>0</v>
      </c>
      <c r="X46" s="261">
        <v>0</v>
      </c>
      <c r="Y46" s="261">
        <v>0</v>
      </c>
      <c r="Z46" s="261">
        <v>0</v>
      </c>
      <c r="AA46" s="261">
        <v>0</v>
      </c>
      <c r="AB46" s="263">
        <v>2020</v>
      </c>
    </row>
    <row r="47" spans="1:28" ht="35.25" x14ac:dyDescent="0.5">
      <c r="A47" s="256">
        <v>1</v>
      </c>
      <c r="B47" s="179">
        <f>SUBTOTAL(103,$A$8:A47)</f>
        <v>38</v>
      </c>
      <c r="C47" s="258" t="s">
        <v>1790</v>
      </c>
      <c r="D47" s="259">
        <f t="shared" si="4"/>
        <v>1750000</v>
      </c>
      <c r="E47" s="261">
        <v>0</v>
      </c>
      <c r="F47" s="261">
        <v>0</v>
      </c>
      <c r="G47" s="261">
        <v>0</v>
      </c>
      <c r="H47" s="261">
        <v>0</v>
      </c>
      <c r="I47" s="261">
        <v>0</v>
      </c>
      <c r="J47" s="261">
        <v>0</v>
      </c>
      <c r="K47" s="262">
        <v>1</v>
      </c>
      <c r="L47" s="261">
        <v>1750000</v>
      </c>
      <c r="M47" s="261">
        <v>0</v>
      </c>
      <c r="N47" s="261">
        <v>0</v>
      </c>
      <c r="O47" s="261">
        <v>0</v>
      </c>
      <c r="P47" s="261">
        <v>0</v>
      </c>
      <c r="Q47" s="261">
        <v>0</v>
      </c>
      <c r="R47" s="261">
        <v>0</v>
      </c>
      <c r="S47" s="261">
        <v>0</v>
      </c>
      <c r="T47" s="261">
        <v>0</v>
      </c>
      <c r="U47" s="261">
        <v>0</v>
      </c>
      <c r="V47" s="261">
        <v>0</v>
      </c>
      <c r="W47" s="261">
        <v>0</v>
      </c>
      <c r="X47" s="261">
        <v>0</v>
      </c>
      <c r="Y47" s="261">
        <v>0</v>
      </c>
      <c r="Z47" s="261">
        <v>0</v>
      </c>
      <c r="AA47" s="261">
        <v>0</v>
      </c>
      <c r="AB47" s="263">
        <v>2020</v>
      </c>
    </row>
    <row r="48" spans="1:28" ht="35.25" x14ac:dyDescent="0.5">
      <c r="A48" s="256">
        <v>1</v>
      </c>
      <c r="B48" s="179">
        <f>SUBTOTAL(103,$A$8:A48)</f>
        <v>39</v>
      </c>
      <c r="C48" s="258" t="s">
        <v>1791</v>
      </c>
      <c r="D48" s="259">
        <f t="shared" si="4"/>
        <v>595500</v>
      </c>
      <c r="E48" s="261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2">
        <v>0</v>
      </c>
      <c r="L48" s="261">
        <v>0</v>
      </c>
      <c r="M48" s="261">
        <v>595500</v>
      </c>
      <c r="N48" s="261">
        <v>0</v>
      </c>
      <c r="O48" s="261">
        <v>0</v>
      </c>
      <c r="P48" s="261">
        <v>0</v>
      </c>
      <c r="Q48" s="261">
        <v>0</v>
      </c>
      <c r="R48" s="261">
        <v>0</v>
      </c>
      <c r="S48" s="261">
        <v>0</v>
      </c>
      <c r="T48" s="261">
        <v>0</v>
      </c>
      <c r="U48" s="261">
        <v>0</v>
      </c>
      <c r="V48" s="261">
        <v>0</v>
      </c>
      <c r="W48" s="261">
        <v>0</v>
      </c>
      <c r="X48" s="261">
        <v>0</v>
      </c>
      <c r="Y48" s="261">
        <v>0</v>
      </c>
      <c r="Z48" s="261">
        <v>0</v>
      </c>
      <c r="AA48" s="261">
        <v>0</v>
      </c>
      <c r="AB48" s="263">
        <v>2020</v>
      </c>
    </row>
    <row r="49" spans="1:28" ht="35.25" x14ac:dyDescent="0.5">
      <c r="A49" s="256">
        <v>1</v>
      </c>
      <c r="B49" s="179">
        <f>SUBTOTAL(103,$A$8:A49)</f>
        <v>40</v>
      </c>
      <c r="C49" s="258" t="s">
        <v>1792</v>
      </c>
      <c r="D49" s="259">
        <f t="shared" si="4"/>
        <v>145800</v>
      </c>
      <c r="E49" s="261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2">
        <v>0</v>
      </c>
      <c r="L49" s="261">
        <v>0</v>
      </c>
      <c r="M49" s="261">
        <v>145800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261">
        <v>0</v>
      </c>
      <c r="T49" s="261">
        <v>0</v>
      </c>
      <c r="U49" s="261">
        <v>0</v>
      </c>
      <c r="V49" s="261">
        <v>0</v>
      </c>
      <c r="W49" s="261">
        <v>0</v>
      </c>
      <c r="X49" s="261">
        <v>0</v>
      </c>
      <c r="Y49" s="261">
        <v>0</v>
      </c>
      <c r="Z49" s="261">
        <v>0</v>
      </c>
      <c r="AA49" s="261">
        <v>0</v>
      </c>
      <c r="AB49" s="263">
        <v>2020</v>
      </c>
    </row>
    <row r="50" spans="1:28" ht="35.25" x14ac:dyDescent="0.5">
      <c r="A50" s="256">
        <v>1</v>
      </c>
      <c r="B50" s="179">
        <f>SUBTOTAL(103,$A$8:A50)</f>
        <v>41</v>
      </c>
      <c r="C50" s="258" t="s">
        <v>1793</v>
      </c>
      <c r="D50" s="259">
        <v>61886</v>
      </c>
      <c r="E50" s="261">
        <v>0</v>
      </c>
      <c r="F50" s="261">
        <v>0</v>
      </c>
      <c r="G50" s="261">
        <v>0</v>
      </c>
      <c r="H50" s="261">
        <v>0</v>
      </c>
      <c r="I50" s="261">
        <v>0</v>
      </c>
      <c r="J50" s="261">
        <v>0</v>
      </c>
      <c r="K50" s="262">
        <v>2</v>
      </c>
      <c r="L50" s="261">
        <v>61886</v>
      </c>
      <c r="M50" s="261">
        <v>0</v>
      </c>
      <c r="N50" s="261">
        <v>0</v>
      </c>
      <c r="O50" s="261">
        <v>0</v>
      </c>
      <c r="P50" s="261">
        <v>0</v>
      </c>
      <c r="Q50" s="261">
        <v>0</v>
      </c>
      <c r="R50" s="261">
        <v>0</v>
      </c>
      <c r="S50" s="261">
        <v>0</v>
      </c>
      <c r="T50" s="261">
        <v>0</v>
      </c>
      <c r="U50" s="261">
        <v>0</v>
      </c>
      <c r="V50" s="261">
        <v>0</v>
      </c>
      <c r="W50" s="261">
        <v>0</v>
      </c>
      <c r="X50" s="261">
        <v>0</v>
      </c>
      <c r="Y50" s="261">
        <v>0</v>
      </c>
      <c r="Z50" s="261">
        <v>0</v>
      </c>
      <c r="AA50" s="261">
        <v>0</v>
      </c>
      <c r="AB50" s="263">
        <v>2020</v>
      </c>
    </row>
    <row r="51" spans="1:28" ht="35.25" x14ac:dyDescent="0.5">
      <c r="A51" s="256">
        <v>2</v>
      </c>
      <c r="B51" s="179">
        <f>SUBTOTAL(103,$A$8:A51)</f>
        <v>42</v>
      </c>
      <c r="C51" s="258" t="s">
        <v>1794</v>
      </c>
      <c r="D51" s="259">
        <f t="shared" ref="D51:D83" si="5">E51+F51+G51+H51+I51+J51+L51+M51+N51+O51+P51+Q51+R51+S51+T51+U51+V51+W51+X51+Y51+Z51+AA51</f>
        <v>550000</v>
      </c>
      <c r="E51" s="261">
        <v>0</v>
      </c>
      <c r="F51" s="261">
        <v>0</v>
      </c>
      <c r="G51" s="261">
        <v>0</v>
      </c>
      <c r="H51" s="261">
        <v>0</v>
      </c>
      <c r="I51" s="261">
        <v>0</v>
      </c>
      <c r="J51" s="261">
        <v>0</v>
      </c>
      <c r="K51" s="262">
        <v>0</v>
      </c>
      <c r="L51" s="261">
        <v>0</v>
      </c>
      <c r="M51" s="261">
        <v>0</v>
      </c>
      <c r="N51" s="261">
        <v>0</v>
      </c>
      <c r="O51" s="261">
        <v>550000</v>
      </c>
      <c r="P51" s="261">
        <v>0</v>
      </c>
      <c r="Q51" s="261">
        <v>0</v>
      </c>
      <c r="R51" s="261">
        <v>0</v>
      </c>
      <c r="S51" s="261">
        <v>0</v>
      </c>
      <c r="T51" s="261">
        <v>0</v>
      </c>
      <c r="U51" s="261">
        <v>0</v>
      </c>
      <c r="V51" s="261">
        <v>0</v>
      </c>
      <c r="W51" s="261">
        <v>0</v>
      </c>
      <c r="X51" s="261">
        <v>0</v>
      </c>
      <c r="Y51" s="261">
        <v>0</v>
      </c>
      <c r="Z51" s="261">
        <v>0</v>
      </c>
      <c r="AA51" s="261">
        <v>0</v>
      </c>
      <c r="AB51" s="263">
        <v>2020</v>
      </c>
    </row>
    <row r="52" spans="1:28" ht="35.25" x14ac:dyDescent="0.5">
      <c r="A52" s="256">
        <v>3</v>
      </c>
      <c r="B52" s="179">
        <f>SUBTOTAL(103,$A$8:A52)</f>
        <v>43</v>
      </c>
      <c r="C52" s="258" t="s">
        <v>1795</v>
      </c>
      <c r="D52" s="259">
        <f t="shared" si="5"/>
        <v>767597.9</v>
      </c>
      <c r="E52" s="261">
        <v>261568.6</v>
      </c>
      <c r="F52" s="261">
        <v>353140.57</v>
      </c>
      <c r="G52" s="261">
        <v>0</v>
      </c>
      <c r="H52" s="261">
        <v>152888.73000000001</v>
      </c>
      <c r="I52" s="261">
        <v>0</v>
      </c>
      <c r="J52" s="261">
        <v>0</v>
      </c>
      <c r="K52" s="262">
        <v>0</v>
      </c>
      <c r="L52" s="261">
        <v>0</v>
      </c>
      <c r="M52" s="261">
        <v>0</v>
      </c>
      <c r="N52" s="261">
        <v>0</v>
      </c>
      <c r="O52" s="261">
        <v>0</v>
      </c>
      <c r="P52" s="261">
        <v>0</v>
      </c>
      <c r="Q52" s="261">
        <v>0</v>
      </c>
      <c r="R52" s="261">
        <v>0</v>
      </c>
      <c r="S52" s="261">
        <v>0</v>
      </c>
      <c r="T52" s="261">
        <v>0</v>
      </c>
      <c r="U52" s="261">
        <v>0</v>
      </c>
      <c r="V52" s="261">
        <v>0</v>
      </c>
      <c r="W52" s="261">
        <v>0</v>
      </c>
      <c r="X52" s="261">
        <v>0</v>
      </c>
      <c r="Y52" s="261">
        <v>0</v>
      </c>
      <c r="Z52" s="261">
        <v>0</v>
      </c>
      <c r="AA52" s="261">
        <v>0</v>
      </c>
      <c r="AB52" s="263">
        <v>2020</v>
      </c>
    </row>
    <row r="53" spans="1:28" ht="35.25" x14ac:dyDescent="0.5">
      <c r="A53" s="256">
        <v>4</v>
      </c>
      <c r="B53" s="179">
        <f>SUBTOTAL(103,$A$8:A53)</f>
        <v>44</v>
      </c>
      <c r="C53" s="258" t="s">
        <v>1796</v>
      </c>
      <c r="D53" s="259">
        <f t="shared" si="5"/>
        <v>1459045.55</v>
      </c>
      <c r="E53" s="261">
        <v>0</v>
      </c>
      <c r="F53" s="261">
        <v>0</v>
      </c>
      <c r="G53" s="261">
        <v>0</v>
      </c>
      <c r="H53" s="261">
        <v>0</v>
      </c>
      <c r="I53" s="261">
        <v>0</v>
      </c>
      <c r="J53" s="261">
        <v>0</v>
      </c>
      <c r="K53" s="262">
        <v>0</v>
      </c>
      <c r="L53" s="261">
        <v>0</v>
      </c>
      <c r="M53" s="261">
        <v>1459045.55</v>
      </c>
      <c r="N53" s="261">
        <v>0</v>
      </c>
      <c r="O53" s="261">
        <v>0</v>
      </c>
      <c r="P53" s="261">
        <v>0</v>
      </c>
      <c r="Q53" s="261">
        <v>0</v>
      </c>
      <c r="R53" s="261">
        <v>0</v>
      </c>
      <c r="S53" s="261">
        <v>0</v>
      </c>
      <c r="T53" s="261">
        <v>0</v>
      </c>
      <c r="U53" s="261">
        <v>0</v>
      </c>
      <c r="V53" s="261">
        <v>0</v>
      </c>
      <c r="W53" s="261">
        <v>0</v>
      </c>
      <c r="X53" s="261">
        <v>0</v>
      </c>
      <c r="Y53" s="261">
        <v>0</v>
      </c>
      <c r="Z53" s="261">
        <v>0</v>
      </c>
      <c r="AA53" s="261">
        <v>0</v>
      </c>
      <c r="AB53" s="263">
        <v>2020</v>
      </c>
    </row>
    <row r="54" spans="1:28" ht="35.25" x14ac:dyDescent="0.5">
      <c r="A54" s="256">
        <v>5</v>
      </c>
      <c r="B54" s="179">
        <f>SUBTOTAL(103,$A$8:A54)</f>
        <v>45</v>
      </c>
      <c r="C54" s="258" t="s">
        <v>1797</v>
      </c>
      <c r="D54" s="259">
        <f t="shared" si="5"/>
        <v>293676</v>
      </c>
      <c r="E54" s="261">
        <v>0</v>
      </c>
      <c r="F54" s="261">
        <v>0</v>
      </c>
      <c r="G54" s="261">
        <v>0</v>
      </c>
      <c r="H54" s="261">
        <v>0</v>
      </c>
      <c r="I54" s="261">
        <v>0</v>
      </c>
      <c r="J54" s="261">
        <v>0</v>
      </c>
      <c r="K54" s="262">
        <v>1</v>
      </c>
      <c r="L54" s="261">
        <v>293676</v>
      </c>
      <c r="M54" s="261">
        <v>0</v>
      </c>
      <c r="N54" s="261">
        <v>0</v>
      </c>
      <c r="O54" s="261">
        <v>0</v>
      </c>
      <c r="P54" s="261">
        <v>0</v>
      </c>
      <c r="Q54" s="261">
        <v>0</v>
      </c>
      <c r="R54" s="261">
        <v>0</v>
      </c>
      <c r="S54" s="261">
        <v>0</v>
      </c>
      <c r="T54" s="261">
        <v>0</v>
      </c>
      <c r="U54" s="261">
        <v>0</v>
      </c>
      <c r="V54" s="261">
        <v>0</v>
      </c>
      <c r="W54" s="261">
        <v>0</v>
      </c>
      <c r="X54" s="261">
        <v>0</v>
      </c>
      <c r="Y54" s="261">
        <v>0</v>
      </c>
      <c r="Z54" s="261">
        <v>0</v>
      </c>
      <c r="AA54" s="261">
        <v>0</v>
      </c>
      <c r="AB54" s="263">
        <v>2020</v>
      </c>
    </row>
    <row r="55" spans="1:28" ht="35.25" x14ac:dyDescent="0.5">
      <c r="A55" s="256">
        <v>6</v>
      </c>
      <c r="B55" s="179">
        <f>SUBTOTAL(103,$A$8:A55)</f>
        <v>46</v>
      </c>
      <c r="C55" s="258" t="s">
        <v>1798</v>
      </c>
      <c r="D55" s="259">
        <f t="shared" si="5"/>
        <v>2123411</v>
      </c>
      <c r="E55" s="261">
        <v>0</v>
      </c>
      <c r="F55" s="261">
        <v>0</v>
      </c>
      <c r="G55" s="261">
        <v>0</v>
      </c>
      <c r="H55" s="261">
        <v>0</v>
      </c>
      <c r="I55" s="261">
        <v>0</v>
      </c>
      <c r="J55" s="261">
        <v>0</v>
      </c>
      <c r="K55" s="262">
        <v>0</v>
      </c>
      <c r="L55" s="261">
        <v>0</v>
      </c>
      <c r="M55" s="261">
        <v>2123411</v>
      </c>
      <c r="N55" s="261">
        <v>0</v>
      </c>
      <c r="O55" s="261">
        <v>0</v>
      </c>
      <c r="P55" s="261">
        <v>0</v>
      </c>
      <c r="Q55" s="261">
        <v>0</v>
      </c>
      <c r="R55" s="261">
        <v>0</v>
      </c>
      <c r="S55" s="261">
        <v>0</v>
      </c>
      <c r="T55" s="261">
        <v>0</v>
      </c>
      <c r="U55" s="261">
        <v>0</v>
      </c>
      <c r="V55" s="261">
        <v>0</v>
      </c>
      <c r="W55" s="261">
        <v>0</v>
      </c>
      <c r="X55" s="261">
        <v>0</v>
      </c>
      <c r="Y55" s="261">
        <v>0</v>
      </c>
      <c r="Z55" s="261">
        <v>0</v>
      </c>
      <c r="AA55" s="261">
        <v>0</v>
      </c>
      <c r="AB55" s="263">
        <v>2020</v>
      </c>
    </row>
    <row r="56" spans="1:28" ht="35.25" x14ac:dyDescent="0.5">
      <c r="A56" s="256">
        <v>7</v>
      </c>
      <c r="B56" s="179">
        <f>SUBTOTAL(103,$A$8:A56)</f>
        <v>47</v>
      </c>
      <c r="C56" s="258" t="s">
        <v>1799</v>
      </c>
      <c r="D56" s="259">
        <f t="shared" si="5"/>
        <v>230447</v>
      </c>
      <c r="E56" s="261">
        <v>0</v>
      </c>
      <c r="F56" s="261">
        <v>0</v>
      </c>
      <c r="G56" s="261">
        <v>0</v>
      </c>
      <c r="H56" s="261">
        <v>0</v>
      </c>
      <c r="I56" s="261">
        <v>0</v>
      </c>
      <c r="J56" s="261">
        <v>0</v>
      </c>
      <c r="K56" s="262">
        <v>0</v>
      </c>
      <c r="L56" s="261">
        <v>0</v>
      </c>
      <c r="M56" s="261">
        <v>0</v>
      </c>
      <c r="N56" s="261">
        <v>0</v>
      </c>
      <c r="O56" s="261">
        <v>230447</v>
      </c>
      <c r="P56" s="261">
        <v>0</v>
      </c>
      <c r="Q56" s="261">
        <v>0</v>
      </c>
      <c r="R56" s="261">
        <v>0</v>
      </c>
      <c r="S56" s="261">
        <v>0</v>
      </c>
      <c r="T56" s="261">
        <v>0</v>
      </c>
      <c r="U56" s="261">
        <v>0</v>
      </c>
      <c r="V56" s="261">
        <v>0</v>
      </c>
      <c r="W56" s="261">
        <v>0</v>
      </c>
      <c r="X56" s="261">
        <v>0</v>
      </c>
      <c r="Y56" s="261">
        <v>0</v>
      </c>
      <c r="Z56" s="261">
        <v>0</v>
      </c>
      <c r="AA56" s="261">
        <v>0</v>
      </c>
      <c r="AB56" s="263">
        <v>2020</v>
      </c>
    </row>
    <row r="57" spans="1:28" ht="35.25" x14ac:dyDescent="0.5">
      <c r="A57" s="256">
        <v>8</v>
      </c>
      <c r="B57" s="179">
        <f>SUBTOTAL(103,$A$8:A57)</f>
        <v>48</v>
      </c>
      <c r="C57" s="258" t="s">
        <v>1800</v>
      </c>
      <c r="D57" s="259">
        <f t="shared" si="5"/>
        <v>532382.57999999996</v>
      </c>
      <c r="E57" s="261">
        <v>0</v>
      </c>
      <c r="F57" s="261">
        <v>0</v>
      </c>
      <c r="G57" s="261">
        <v>0</v>
      </c>
      <c r="H57" s="261">
        <v>0</v>
      </c>
      <c r="I57" s="261">
        <v>532382.57999999996</v>
      </c>
      <c r="J57" s="261">
        <v>0</v>
      </c>
      <c r="K57" s="262">
        <v>0</v>
      </c>
      <c r="L57" s="261">
        <v>0</v>
      </c>
      <c r="M57" s="261">
        <v>0</v>
      </c>
      <c r="N57" s="261">
        <v>0</v>
      </c>
      <c r="O57" s="261">
        <v>0</v>
      </c>
      <c r="P57" s="261">
        <v>0</v>
      </c>
      <c r="Q57" s="261">
        <v>0</v>
      </c>
      <c r="R57" s="261">
        <v>0</v>
      </c>
      <c r="S57" s="261">
        <v>0</v>
      </c>
      <c r="T57" s="261">
        <v>0</v>
      </c>
      <c r="U57" s="261">
        <v>0</v>
      </c>
      <c r="V57" s="261">
        <v>0</v>
      </c>
      <c r="W57" s="261">
        <v>0</v>
      </c>
      <c r="X57" s="261">
        <v>0</v>
      </c>
      <c r="Y57" s="261">
        <v>0</v>
      </c>
      <c r="Z57" s="261">
        <v>0</v>
      </c>
      <c r="AA57" s="261">
        <v>0</v>
      </c>
      <c r="AB57" s="263">
        <v>2020</v>
      </c>
    </row>
    <row r="58" spans="1:28" ht="35.25" x14ac:dyDescent="0.5">
      <c r="A58" s="256">
        <v>9</v>
      </c>
      <c r="B58" s="179">
        <f>SUBTOTAL(103,$A$8:A58)</f>
        <v>49</v>
      </c>
      <c r="C58" s="258" t="s">
        <v>1801</v>
      </c>
      <c r="D58" s="259">
        <f t="shared" si="5"/>
        <v>368373.54000000004</v>
      </c>
      <c r="E58" s="261">
        <v>175244.79</v>
      </c>
      <c r="F58" s="261">
        <v>193128.75</v>
      </c>
      <c r="G58" s="261">
        <v>0</v>
      </c>
      <c r="H58" s="261">
        <v>0</v>
      </c>
      <c r="I58" s="261">
        <v>0</v>
      </c>
      <c r="J58" s="261">
        <v>0</v>
      </c>
      <c r="K58" s="262">
        <v>0</v>
      </c>
      <c r="L58" s="261">
        <v>0</v>
      </c>
      <c r="M58" s="261">
        <v>0</v>
      </c>
      <c r="N58" s="261">
        <v>0</v>
      </c>
      <c r="O58" s="261">
        <v>0</v>
      </c>
      <c r="P58" s="261">
        <v>0</v>
      </c>
      <c r="Q58" s="261">
        <v>0</v>
      </c>
      <c r="R58" s="261">
        <v>0</v>
      </c>
      <c r="S58" s="261">
        <v>0</v>
      </c>
      <c r="T58" s="261">
        <v>0</v>
      </c>
      <c r="U58" s="261">
        <v>0</v>
      </c>
      <c r="V58" s="261">
        <v>0</v>
      </c>
      <c r="W58" s="261">
        <v>0</v>
      </c>
      <c r="X58" s="261">
        <v>0</v>
      </c>
      <c r="Y58" s="261">
        <v>0</v>
      </c>
      <c r="Z58" s="261">
        <v>0</v>
      </c>
      <c r="AA58" s="261">
        <v>0</v>
      </c>
      <c r="AB58" s="263">
        <v>2020</v>
      </c>
    </row>
    <row r="59" spans="1:28" ht="35.25" x14ac:dyDescent="0.5">
      <c r="A59" s="256">
        <v>10</v>
      </c>
      <c r="B59" s="179">
        <f>SUBTOTAL(103,$A$8:A59)</f>
        <v>50</v>
      </c>
      <c r="C59" s="258" t="s">
        <v>1802</v>
      </c>
      <c r="D59" s="259">
        <f t="shared" si="5"/>
        <v>454448</v>
      </c>
      <c r="E59" s="261">
        <v>0</v>
      </c>
      <c r="F59" s="261">
        <v>0</v>
      </c>
      <c r="G59" s="261">
        <v>404448</v>
      </c>
      <c r="H59" s="261">
        <v>0</v>
      </c>
      <c r="I59" s="261">
        <v>0</v>
      </c>
      <c r="J59" s="261">
        <v>0</v>
      </c>
      <c r="K59" s="262">
        <v>0</v>
      </c>
      <c r="L59" s="261">
        <v>0</v>
      </c>
      <c r="M59" s="261">
        <v>0</v>
      </c>
      <c r="N59" s="261">
        <v>0</v>
      </c>
      <c r="O59" s="261">
        <v>0</v>
      </c>
      <c r="P59" s="261">
        <v>0</v>
      </c>
      <c r="Q59" s="261">
        <v>0</v>
      </c>
      <c r="R59" s="261">
        <v>0</v>
      </c>
      <c r="S59" s="261">
        <v>0</v>
      </c>
      <c r="T59" s="261">
        <v>0</v>
      </c>
      <c r="U59" s="261">
        <v>0</v>
      </c>
      <c r="V59" s="261">
        <v>0</v>
      </c>
      <c r="W59" s="261">
        <v>0</v>
      </c>
      <c r="X59" s="261">
        <v>0</v>
      </c>
      <c r="Y59" s="261">
        <v>0</v>
      </c>
      <c r="Z59" s="261">
        <v>50000</v>
      </c>
      <c r="AA59" s="261">
        <v>0</v>
      </c>
      <c r="AB59" s="263">
        <v>2020</v>
      </c>
    </row>
    <row r="60" spans="1:28" ht="35.25" x14ac:dyDescent="0.5">
      <c r="A60" s="256">
        <v>11</v>
      </c>
      <c r="B60" s="179">
        <f>SUBTOTAL(103,$A$8:A60)</f>
        <v>51</v>
      </c>
      <c r="C60" s="258" t="s">
        <v>1803</v>
      </c>
      <c r="D60" s="259">
        <f t="shared" si="5"/>
        <v>1164297</v>
      </c>
      <c r="E60" s="261">
        <v>0</v>
      </c>
      <c r="F60" s="261">
        <v>0</v>
      </c>
      <c r="G60" s="261">
        <v>0</v>
      </c>
      <c r="H60" s="261">
        <v>0</v>
      </c>
      <c r="I60" s="261">
        <v>0</v>
      </c>
      <c r="J60" s="261">
        <v>0</v>
      </c>
      <c r="K60" s="262">
        <v>0</v>
      </c>
      <c r="L60" s="261">
        <v>0</v>
      </c>
      <c r="M60" s="261">
        <v>1164297</v>
      </c>
      <c r="N60" s="261">
        <v>0</v>
      </c>
      <c r="O60" s="261">
        <v>0</v>
      </c>
      <c r="P60" s="261">
        <v>0</v>
      </c>
      <c r="Q60" s="261">
        <v>0</v>
      </c>
      <c r="R60" s="261">
        <v>0</v>
      </c>
      <c r="S60" s="261">
        <v>0</v>
      </c>
      <c r="T60" s="261">
        <v>0</v>
      </c>
      <c r="U60" s="261">
        <v>0</v>
      </c>
      <c r="V60" s="261">
        <v>0</v>
      </c>
      <c r="W60" s="261">
        <v>0</v>
      </c>
      <c r="X60" s="261">
        <v>0</v>
      </c>
      <c r="Y60" s="261">
        <v>0</v>
      </c>
      <c r="Z60" s="261">
        <v>0</v>
      </c>
      <c r="AA60" s="261">
        <v>0</v>
      </c>
      <c r="AB60" s="263">
        <v>2020</v>
      </c>
    </row>
    <row r="61" spans="1:28" ht="35.25" x14ac:dyDescent="0.5">
      <c r="A61" s="256">
        <v>12</v>
      </c>
      <c r="B61" s="179">
        <f>SUBTOTAL(103,$A$8:A61)</f>
        <v>52</v>
      </c>
      <c r="C61" s="258" t="s">
        <v>1804</v>
      </c>
      <c r="D61" s="259">
        <f t="shared" si="5"/>
        <v>2377591.96</v>
      </c>
      <c r="E61" s="261">
        <v>877591.96</v>
      </c>
      <c r="F61" s="261">
        <v>1500000</v>
      </c>
      <c r="G61" s="261">
        <v>0</v>
      </c>
      <c r="H61" s="261">
        <v>0</v>
      </c>
      <c r="I61" s="261">
        <v>0</v>
      </c>
      <c r="J61" s="261">
        <v>0</v>
      </c>
      <c r="K61" s="262">
        <v>0</v>
      </c>
      <c r="L61" s="261">
        <v>0</v>
      </c>
      <c r="M61" s="261">
        <v>0</v>
      </c>
      <c r="N61" s="261">
        <v>0</v>
      </c>
      <c r="O61" s="261">
        <v>0</v>
      </c>
      <c r="P61" s="261">
        <v>0</v>
      </c>
      <c r="Q61" s="261">
        <v>0</v>
      </c>
      <c r="R61" s="261">
        <v>0</v>
      </c>
      <c r="S61" s="261">
        <v>0</v>
      </c>
      <c r="T61" s="261">
        <v>0</v>
      </c>
      <c r="U61" s="261">
        <v>0</v>
      </c>
      <c r="V61" s="261">
        <v>0</v>
      </c>
      <c r="W61" s="261">
        <v>0</v>
      </c>
      <c r="X61" s="261">
        <v>0</v>
      </c>
      <c r="Y61" s="261">
        <v>0</v>
      </c>
      <c r="Z61" s="261">
        <v>0</v>
      </c>
      <c r="AA61" s="261">
        <v>0</v>
      </c>
      <c r="AB61" s="263">
        <v>2020</v>
      </c>
    </row>
    <row r="62" spans="1:28" ht="35.25" x14ac:dyDescent="0.5">
      <c r="A62" s="256">
        <v>13</v>
      </c>
      <c r="B62" s="179">
        <f>SUBTOTAL(103,$A$8:A62)</f>
        <v>53</v>
      </c>
      <c r="C62" s="258" t="s">
        <v>1805</v>
      </c>
      <c r="D62" s="259">
        <f t="shared" si="5"/>
        <v>659346.14</v>
      </c>
      <c r="E62" s="261">
        <v>0</v>
      </c>
      <c r="F62" s="261">
        <v>659346.14</v>
      </c>
      <c r="G62" s="261">
        <v>0</v>
      </c>
      <c r="H62" s="261">
        <v>0</v>
      </c>
      <c r="I62" s="261">
        <v>0</v>
      </c>
      <c r="J62" s="261">
        <v>0</v>
      </c>
      <c r="K62" s="262">
        <v>0</v>
      </c>
      <c r="L62" s="261">
        <v>0</v>
      </c>
      <c r="M62" s="261">
        <v>0</v>
      </c>
      <c r="N62" s="261">
        <v>0</v>
      </c>
      <c r="O62" s="261">
        <v>0</v>
      </c>
      <c r="P62" s="261">
        <v>0</v>
      </c>
      <c r="Q62" s="261">
        <v>0</v>
      </c>
      <c r="R62" s="261">
        <v>0</v>
      </c>
      <c r="S62" s="261">
        <v>0</v>
      </c>
      <c r="T62" s="261">
        <v>0</v>
      </c>
      <c r="U62" s="261">
        <v>0</v>
      </c>
      <c r="V62" s="261">
        <v>0</v>
      </c>
      <c r="W62" s="261">
        <v>0</v>
      </c>
      <c r="X62" s="261">
        <v>0</v>
      </c>
      <c r="Y62" s="261">
        <v>0</v>
      </c>
      <c r="Z62" s="261">
        <v>0</v>
      </c>
      <c r="AA62" s="261">
        <v>0</v>
      </c>
      <c r="AB62" s="263">
        <v>2020</v>
      </c>
    </row>
    <row r="63" spans="1:28" ht="35.25" x14ac:dyDescent="0.5">
      <c r="A63" s="256">
        <v>15</v>
      </c>
      <c r="B63" s="179">
        <f>SUBTOTAL(103,$A$8:A63)</f>
        <v>54</v>
      </c>
      <c r="C63" s="258" t="s">
        <v>1806</v>
      </c>
      <c r="D63" s="259">
        <f t="shared" si="5"/>
        <v>441089</v>
      </c>
      <c r="E63" s="261">
        <v>0</v>
      </c>
      <c r="F63" s="261">
        <v>441089</v>
      </c>
      <c r="G63" s="261">
        <v>0</v>
      </c>
      <c r="H63" s="261">
        <v>0</v>
      </c>
      <c r="I63" s="261">
        <v>0</v>
      </c>
      <c r="J63" s="261">
        <v>0</v>
      </c>
      <c r="K63" s="262">
        <v>0</v>
      </c>
      <c r="L63" s="261">
        <v>0</v>
      </c>
      <c r="M63" s="261">
        <v>0</v>
      </c>
      <c r="N63" s="261">
        <v>0</v>
      </c>
      <c r="O63" s="261">
        <v>0</v>
      </c>
      <c r="P63" s="261">
        <v>0</v>
      </c>
      <c r="Q63" s="261">
        <v>0</v>
      </c>
      <c r="R63" s="261">
        <v>0</v>
      </c>
      <c r="S63" s="261">
        <v>0</v>
      </c>
      <c r="T63" s="261">
        <v>0</v>
      </c>
      <c r="U63" s="261">
        <v>0</v>
      </c>
      <c r="V63" s="261">
        <v>0</v>
      </c>
      <c r="W63" s="261">
        <v>0</v>
      </c>
      <c r="X63" s="261">
        <v>0</v>
      </c>
      <c r="Y63" s="261">
        <v>0</v>
      </c>
      <c r="Z63" s="261">
        <v>0</v>
      </c>
      <c r="AA63" s="261">
        <v>0</v>
      </c>
      <c r="AB63" s="263">
        <v>2020</v>
      </c>
    </row>
    <row r="64" spans="1:28" ht="35.25" x14ac:dyDescent="0.5">
      <c r="A64" s="256">
        <v>16</v>
      </c>
      <c r="B64" s="179">
        <f>SUBTOTAL(103,$A$8:A64)</f>
        <v>55</v>
      </c>
      <c r="C64" s="258" t="s">
        <v>1807</v>
      </c>
      <c r="D64" s="259">
        <f t="shared" si="5"/>
        <v>190756</v>
      </c>
      <c r="E64" s="261">
        <v>0</v>
      </c>
      <c r="F64" s="261">
        <v>0</v>
      </c>
      <c r="G64" s="261">
        <v>0</v>
      </c>
      <c r="H64" s="261">
        <v>0</v>
      </c>
      <c r="I64" s="261">
        <v>0</v>
      </c>
      <c r="J64" s="261">
        <v>0</v>
      </c>
      <c r="K64" s="262">
        <v>1</v>
      </c>
      <c r="L64" s="261">
        <v>190756</v>
      </c>
      <c r="M64" s="261">
        <v>0</v>
      </c>
      <c r="N64" s="261">
        <v>0</v>
      </c>
      <c r="O64" s="261">
        <v>0</v>
      </c>
      <c r="P64" s="261">
        <v>0</v>
      </c>
      <c r="Q64" s="261">
        <v>0</v>
      </c>
      <c r="R64" s="261">
        <v>0</v>
      </c>
      <c r="S64" s="261">
        <v>0</v>
      </c>
      <c r="T64" s="261">
        <v>0</v>
      </c>
      <c r="U64" s="261">
        <v>0</v>
      </c>
      <c r="V64" s="261">
        <v>0</v>
      </c>
      <c r="W64" s="261">
        <v>0</v>
      </c>
      <c r="X64" s="261">
        <v>0</v>
      </c>
      <c r="Y64" s="261">
        <v>0</v>
      </c>
      <c r="Z64" s="261">
        <v>0</v>
      </c>
      <c r="AA64" s="261">
        <v>0</v>
      </c>
      <c r="AB64" s="263">
        <v>2020</v>
      </c>
    </row>
    <row r="65" spans="1:28" ht="35.25" x14ac:dyDescent="0.5">
      <c r="A65" s="256">
        <v>17</v>
      </c>
      <c r="B65" s="179">
        <f>SUBTOTAL(103,$A$8:A65)</f>
        <v>56</v>
      </c>
      <c r="C65" s="258" t="s">
        <v>1808</v>
      </c>
      <c r="D65" s="259">
        <f t="shared" si="5"/>
        <v>141772</v>
      </c>
      <c r="E65" s="261">
        <v>0</v>
      </c>
      <c r="F65" s="261">
        <v>0</v>
      </c>
      <c r="G65" s="261">
        <v>0</v>
      </c>
      <c r="H65" s="261">
        <v>0</v>
      </c>
      <c r="I65" s="261">
        <v>0</v>
      </c>
      <c r="J65" s="261">
        <v>0</v>
      </c>
      <c r="K65" s="262">
        <v>0</v>
      </c>
      <c r="L65" s="261">
        <v>0</v>
      </c>
      <c r="M65" s="261">
        <v>0</v>
      </c>
      <c r="N65" s="261">
        <v>0</v>
      </c>
      <c r="O65" s="261">
        <v>141772</v>
      </c>
      <c r="P65" s="261">
        <v>0</v>
      </c>
      <c r="Q65" s="261">
        <v>0</v>
      </c>
      <c r="R65" s="261">
        <v>0</v>
      </c>
      <c r="S65" s="261">
        <v>0</v>
      </c>
      <c r="T65" s="261">
        <v>0</v>
      </c>
      <c r="U65" s="261">
        <v>0</v>
      </c>
      <c r="V65" s="261">
        <v>0</v>
      </c>
      <c r="W65" s="261">
        <v>0</v>
      </c>
      <c r="X65" s="261">
        <v>0</v>
      </c>
      <c r="Y65" s="261">
        <v>0</v>
      </c>
      <c r="Z65" s="261">
        <v>0</v>
      </c>
      <c r="AA65" s="261">
        <v>0</v>
      </c>
      <c r="AB65" s="263">
        <v>2020</v>
      </c>
    </row>
    <row r="66" spans="1:28" ht="35.25" x14ac:dyDescent="0.5">
      <c r="A66" s="256">
        <v>18</v>
      </c>
      <c r="B66" s="179">
        <f>SUBTOTAL(103,$A$8:A66)</f>
        <v>57</v>
      </c>
      <c r="C66" s="258" t="s">
        <v>1809</v>
      </c>
      <c r="D66" s="259">
        <f t="shared" si="5"/>
        <v>32843</v>
      </c>
      <c r="E66" s="261">
        <v>0</v>
      </c>
      <c r="F66" s="261">
        <v>0</v>
      </c>
      <c r="G66" s="261">
        <v>0</v>
      </c>
      <c r="H66" s="261">
        <v>0</v>
      </c>
      <c r="I66" s="261">
        <v>0</v>
      </c>
      <c r="J66" s="261">
        <v>0</v>
      </c>
      <c r="K66" s="262">
        <v>0</v>
      </c>
      <c r="L66" s="261">
        <v>0</v>
      </c>
      <c r="M66" s="261">
        <v>0</v>
      </c>
      <c r="N66" s="261">
        <v>32843</v>
      </c>
      <c r="O66" s="261">
        <v>0</v>
      </c>
      <c r="P66" s="261">
        <v>0</v>
      </c>
      <c r="Q66" s="261">
        <v>0</v>
      </c>
      <c r="R66" s="261">
        <v>0</v>
      </c>
      <c r="S66" s="261">
        <v>0</v>
      </c>
      <c r="T66" s="261">
        <v>0</v>
      </c>
      <c r="U66" s="261">
        <v>0</v>
      </c>
      <c r="V66" s="261">
        <v>0</v>
      </c>
      <c r="W66" s="261">
        <v>0</v>
      </c>
      <c r="X66" s="261">
        <v>0</v>
      </c>
      <c r="Y66" s="261">
        <v>0</v>
      </c>
      <c r="Z66" s="261">
        <v>0</v>
      </c>
      <c r="AA66" s="261">
        <v>0</v>
      </c>
      <c r="AB66" s="263">
        <v>2020</v>
      </c>
    </row>
    <row r="67" spans="1:28" ht="35.25" x14ac:dyDescent="0.5">
      <c r="A67" s="256">
        <v>19</v>
      </c>
      <c r="B67" s="179">
        <f>SUBTOTAL(103,$A$8:A67)</f>
        <v>58</v>
      </c>
      <c r="C67" s="258" t="s">
        <v>1810</v>
      </c>
      <c r="D67" s="259">
        <f t="shared" si="5"/>
        <v>69666</v>
      </c>
      <c r="E67" s="261">
        <v>0</v>
      </c>
      <c r="F67" s="261">
        <v>0</v>
      </c>
      <c r="G67" s="261">
        <v>0</v>
      </c>
      <c r="H67" s="261">
        <v>0</v>
      </c>
      <c r="I67" s="261">
        <v>0</v>
      </c>
      <c r="J67" s="261">
        <v>0</v>
      </c>
      <c r="K67" s="262">
        <v>0</v>
      </c>
      <c r="L67" s="261">
        <v>0</v>
      </c>
      <c r="M67" s="261">
        <v>0</v>
      </c>
      <c r="N67" s="261">
        <v>69666</v>
      </c>
      <c r="O67" s="261">
        <v>0</v>
      </c>
      <c r="P67" s="261">
        <v>0</v>
      </c>
      <c r="Q67" s="261">
        <v>0</v>
      </c>
      <c r="R67" s="261">
        <v>0</v>
      </c>
      <c r="S67" s="261">
        <v>0</v>
      </c>
      <c r="T67" s="261">
        <v>0</v>
      </c>
      <c r="U67" s="261">
        <v>0</v>
      </c>
      <c r="V67" s="261">
        <v>0</v>
      </c>
      <c r="W67" s="261">
        <v>0</v>
      </c>
      <c r="X67" s="261">
        <v>0</v>
      </c>
      <c r="Y67" s="261">
        <v>0</v>
      </c>
      <c r="Z67" s="261">
        <v>0</v>
      </c>
      <c r="AA67" s="261">
        <v>0</v>
      </c>
      <c r="AB67" s="263">
        <v>2020</v>
      </c>
    </row>
    <row r="68" spans="1:28" ht="35.25" x14ac:dyDescent="0.5">
      <c r="A68" s="256">
        <v>20</v>
      </c>
      <c r="B68" s="179">
        <f>SUBTOTAL(103,$A$8:A68)</f>
        <v>59</v>
      </c>
      <c r="C68" s="258" t="s">
        <v>1811</v>
      </c>
      <c r="D68" s="259">
        <f t="shared" si="5"/>
        <v>229749</v>
      </c>
      <c r="E68" s="261">
        <v>0</v>
      </c>
      <c r="F68" s="261">
        <v>0</v>
      </c>
      <c r="G68" s="261">
        <v>0</v>
      </c>
      <c r="H68" s="261">
        <v>0</v>
      </c>
      <c r="I68" s="261">
        <v>0</v>
      </c>
      <c r="J68" s="261">
        <v>0</v>
      </c>
      <c r="K68" s="262">
        <v>0</v>
      </c>
      <c r="L68" s="261">
        <v>0</v>
      </c>
      <c r="M68" s="261">
        <v>0</v>
      </c>
      <c r="N68" s="261">
        <v>152567</v>
      </c>
      <c r="O68" s="261">
        <v>77182</v>
      </c>
      <c r="P68" s="261">
        <v>0</v>
      </c>
      <c r="Q68" s="261">
        <v>0</v>
      </c>
      <c r="R68" s="261">
        <v>0</v>
      </c>
      <c r="S68" s="261">
        <v>0</v>
      </c>
      <c r="T68" s="261">
        <v>0</v>
      </c>
      <c r="U68" s="261">
        <v>0</v>
      </c>
      <c r="V68" s="261">
        <v>0</v>
      </c>
      <c r="W68" s="261">
        <v>0</v>
      </c>
      <c r="X68" s="261">
        <v>0</v>
      </c>
      <c r="Y68" s="261">
        <v>0</v>
      </c>
      <c r="Z68" s="261">
        <v>0</v>
      </c>
      <c r="AA68" s="261">
        <v>0</v>
      </c>
      <c r="AB68" s="263">
        <v>2020</v>
      </c>
    </row>
    <row r="69" spans="1:28" ht="35.25" x14ac:dyDescent="0.5">
      <c r="A69" s="256">
        <v>22</v>
      </c>
      <c r="B69" s="179">
        <f>SUBTOTAL(103,$A$8:A69)</f>
        <v>60</v>
      </c>
      <c r="C69" s="258" t="s">
        <v>1812</v>
      </c>
      <c r="D69" s="259">
        <f t="shared" si="5"/>
        <v>1654683.92</v>
      </c>
      <c r="E69" s="261">
        <v>0</v>
      </c>
      <c r="F69" s="261">
        <v>0</v>
      </c>
      <c r="G69" s="261">
        <v>0</v>
      </c>
      <c r="H69" s="261">
        <v>0</v>
      </c>
      <c r="I69" s="261">
        <v>0</v>
      </c>
      <c r="J69" s="261">
        <v>0</v>
      </c>
      <c r="K69" s="262">
        <v>0</v>
      </c>
      <c r="L69" s="261">
        <v>0</v>
      </c>
      <c r="M69" s="261">
        <v>1624695.92</v>
      </c>
      <c r="N69" s="261">
        <v>29988</v>
      </c>
      <c r="O69" s="261">
        <v>0</v>
      </c>
      <c r="P69" s="261">
        <v>0</v>
      </c>
      <c r="Q69" s="261">
        <v>0</v>
      </c>
      <c r="R69" s="261">
        <v>0</v>
      </c>
      <c r="S69" s="261">
        <v>0</v>
      </c>
      <c r="T69" s="261">
        <v>0</v>
      </c>
      <c r="U69" s="261">
        <v>0</v>
      </c>
      <c r="V69" s="261">
        <v>0</v>
      </c>
      <c r="W69" s="261">
        <v>0</v>
      </c>
      <c r="X69" s="261">
        <v>0</v>
      </c>
      <c r="Y69" s="261">
        <v>0</v>
      </c>
      <c r="Z69" s="261">
        <v>0</v>
      </c>
      <c r="AA69" s="261">
        <v>0</v>
      </c>
      <c r="AB69" s="263">
        <v>2020</v>
      </c>
    </row>
    <row r="70" spans="1:28" ht="35.25" x14ac:dyDescent="0.5">
      <c r="A70" s="256">
        <v>24</v>
      </c>
      <c r="B70" s="179">
        <f>SUBTOTAL(103,$A$8:A70)</f>
        <v>61</v>
      </c>
      <c r="C70" s="258" t="s">
        <v>1813</v>
      </c>
      <c r="D70" s="259">
        <f t="shared" si="5"/>
        <v>131422</v>
      </c>
      <c r="E70" s="261">
        <v>0</v>
      </c>
      <c r="F70" s="261">
        <v>0</v>
      </c>
      <c r="G70" s="261">
        <v>0</v>
      </c>
      <c r="H70" s="261">
        <v>0</v>
      </c>
      <c r="I70" s="261">
        <v>0</v>
      </c>
      <c r="J70" s="261">
        <v>0</v>
      </c>
      <c r="K70" s="262">
        <v>0</v>
      </c>
      <c r="L70" s="261">
        <v>0</v>
      </c>
      <c r="M70" s="261">
        <v>0</v>
      </c>
      <c r="N70" s="261">
        <v>0</v>
      </c>
      <c r="O70" s="261">
        <v>131422</v>
      </c>
      <c r="P70" s="261">
        <v>0</v>
      </c>
      <c r="Q70" s="261">
        <v>0</v>
      </c>
      <c r="R70" s="261">
        <v>0</v>
      </c>
      <c r="S70" s="261">
        <v>0</v>
      </c>
      <c r="T70" s="261">
        <v>0</v>
      </c>
      <c r="U70" s="261">
        <v>0</v>
      </c>
      <c r="V70" s="261">
        <v>0</v>
      </c>
      <c r="W70" s="261">
        <v>0</v>
      </c>
      <c r="X70" s="261">
        <v>0</v>
      </c>
      <c r="Y70" s="261">
        <v>0</v>
      </c>
      <c r="Z70" s="261">
        <v>0</v>
      </c>
      <c r="AA70" s="261">
        <v>0</v>
      </c>
      <c r="AB70" s="263">
        <v>2020</v>
      </c>
    </row>
    <row r="71" spans="1:28" ht="35.25" x14ac:dyDescent="0.5">
      <c r="A71" s="256">
        <v>25</v>
      </c>
      <c r="B71" s="179">
        <f>SUBTOTAL(103,$A$8:A71)</f>
        <v>62</v>
      </c>
      <c r="C71" s="258" t="s">
        <v>1814</v>
      </c>
      <c r="D71" s="259">
        <f t="shared" si="5"/>
        <v>232205.73</v>
      </c>
      <c r="E71" s="261">
        <v>0</v>
      </c>
      <c r="F71" s="261">
        <v>0</v>
      </c>
      <c r="G71" s="261">
        <v>0</v>
      </c>
      <c r="H71" s="261">
        <v>0</v>
      </c>
      <c r="I71" s="261">
        <v>0</v>
      </c>
      <c r="J71" s="261">
        <v>0</v>
      </c>
      <c r="K71" s="262">
        <v>0</v>
      </c>
      <c r="L71" s="261">
        <v>0</v>
      </c>
      <c r="M71" s="261">
        <v>0</v>
      </c>
      <c r="N71" s="261">
        <v>0</v>
      </c>
      <c r="O71" s="261">
        <v>232205.73</v>
      </c>
      <c r="P71" s="261">
        <v>0</v>
      </c>
      <c r="Q71" s="261">
        <v>0</v>
      </c>
      <c r="R71" s="261">
        <v>0</v>
      </c>
      <c r="S71" s="261">
        <v>0</v>
      </c>
      <c r="T71" s="261">
        <v>0</v>
      </c>
      <c r="U71" s="261">
        <v>0</v>
      </c>
      <c r="V71" s="261">
        <v>0</v>
      </c>
      <c r="W71" s="261">
        <v>0</v>
      </c>
      <c r="X71" s="261">
        <v>0</v>
      </c>
      <c r="Y71" s="261">
        <v>0</v>
      </c>
      <c r="Z71" s="261">
        <v>0</v>
      </c>
      <c r="AA71" s="261">
        <v>0</v>
      </c>
      <c r="AB71" s="263">
        <v>2020</v>
      </c>
    </row>
    <row r="72" spans="1:28" ht="35.25" x14ac:dyDescent="0.5">
      <c r="A72" s="256">
        <v>26</v>
      </c>
      <c r="B72" s="179">
        <f>SUBTOTAL(103,$A$8:A72)</f>
        <v>63</v>
      </c>
      <c r="C72" s="258" t="s">
        <v>1815</v>
      </c>
      <c r="D72" s="259">
        <f t="shared" si="5"/>
        <v>664946.64</v>
      </c>
      <c r="E72" s="261">
        <v>281247.58</v>
      </c>
      <c r="F72" s="261">
        <v>383699.06</v>
      </c>
      <c r="G72" s="261">
        <v>0</v>
      </c>
      <c r="H72" s="261">
        <v>0</v>
      </c>
      <c r="I72" s="261">
        <v>0</v>
      </c>
      <c r="J72" s="261">
        <v>0</v>
      </c>
      <c r="K72" s="262">
        <v>0</v>
      </c>
      <c r="L72" s="261">
        <v>0</v>
      </c>
      <c r="M72" s="261">
        <v>0</v>
      </c>
      <c r="N72" s="261">
        <v>0</v>
      </c>
      <c r="O72" s="261">
        <v>0</v>
      </c>
      <c r="P72" s="261">
        <v>0</v>
      </c>
      <c r="Q72" s="261">
        <v>0</v>
      </c>
      <c r="R72" s="261">
        <v>0</v>
      </c>
      <c r="S72" s="261">
        <v>0</v>
      </c>
      <c r="T72" s="261">
        <v>0</v>
      </c>
      <c r="U72" s="261">
        <v>0</v>
      </c>
      <c r="V72" s="261">
        <v>0</v>
      </c>
      <c r="W72" s="261">
        <v>0</v>
      </c>
      <c r="X72" s="261">
        <v>0</v>
      </c>
      <c r="Y72" s="261">
        <v>0</v>
      </c>
      <c r="Z72" s="261">
        <v>0</v>
      </c>
      <c r="AA72" s="261">
        <v>0</v>
      </c>
      <c r="AB72" s="263">
        <v>2020</v>
      </c>
    </row>
    <row r="73" spans="1:28" ht="35.25" x14ac:dyDescent="0.5">
      <c r="A73" s="256">
        <v>28</v>
      </c>
      <c r="B73" s="179">
        <f>SUBTOTAL(103,$A$8:A73)</f>
        <v>64</v>
      </c>
      <c r="C73" s="258" t="s">
        <v>1816</v>
      </c>
      <c r="D73" s="259">
        <f t="shared" si="5"/>
        <v>967198</v>
      </c>
      <c r="E73" s="261">
        <v>0</v>
      </c>
      <c r="F73" s="261">
        <v>0</v>
      </c>
      <c r="G73" s="261">
        <v>0</v>
      </c>
      <c r="H73" s="261">
        <v>0</v>
      </c>
      <c r="I73" s="261">
        <v>0</v>
      </c>
      <c r="J73" s="261">
        <v>0</v>
      </c>
      <c r="K73" s="262">
        <v>0</v>
      </c>
      <c r="L73" s="261">
        <v>0</v>
      </c>
      <c r="M73" s="261">
        <v>967198</v>
      </c>
      <c r="N73" s="261">
        <v>0</v>
      </c>
      <c r="O73" s="261">
        <v>0</v>
      </c>
      <c r="P73" s="261">
        <v>0</v>
      </c>
      <c r="Q73" s="261">
        <v>0</v>
      </c>
      <c r="R73" s="261">
        <v>0</v>
      </c>
      <c r="S73" s="261">
        <v>0</v>
      </c>
      <c r="T73" s="261">
        <v>0</v>
      </c>
      <c r="U73" s="261">
        <v>0</v>
      </c>
      <c r="V73" s="261">
        <v>0</v>
      </c>
      <c r="W73" s="261">
        <v>0</v>
      </c>
      <c r="X73" s="261">
        <v>0</v>
      </c>
      <c r="Y73" s="261">
        <v>0</v>
      </c>
      <c r="Z73" s="261">
        <v>0</v>
      </c>
      <c r="AA73" s="261">
        <v>0</v>
      </c>
      <c r="AB73" s="263">
        <v>2020</v>
      </c>
    </row>
    <row r="74" spans="1:28" ht="35.25" x14ac:dyDescent="0.5">
      <c r="A74" s="256">
        <v>29</v>
      </c>
      <c r="B74" s="179">
        <f>SUBTOTAL(103,$A$8:A74)</f>
        <v>65</v>
      </c>
      <c r="C74" s="258" t="s">
        <v>1817</v>
      </c>
      <c r="D74" s="259">
        <f t="shared" si="5"/>
        <v>1503268</v>
      </c>
      <c r="E74" s="261">
        <v>0</v>
      </c>
      <c r="F74" s="261">
        <v>0</v>
      </c>
      <c r="G74" s="261">
        <v>0</v>
      </c>
      <c r="H74" s="261">
        <v>0</v>
      </c>
      <c r="I74" s="261">
        <v>0</v>
      </c>
      <c r="J74" s="261">
        <v>0</v>
      </c>
      <c r="K74" s="262">
        <v>0</v>
      </c>
      <c r="L74" s="261">
        <v>0</v>
      </c>
      <c r="M74" s="261">
        <v>1503268</v>
      </c>
      <c r="N74" s="261">
        <v>0</v>
      </c>
      <c r="O74" s="261">
        <v>0</v>
      </c>
      <c r="P74" s="261">
        <v>0</v>
      </c>
      <c r="Q74" s="261">
        <v>0</v>
      </c>
      <c r="R74" s="261">
        <v>0</v>
      </c>
      <c r="S74" s="261">
        <v>0</v>
      </c>
      <c r="T74" s="261">
        <v>0</v>
      </c>
      <c r="U74" s="261">
        <v>0</v>
      </c>
      <c r="V74" s="261">
        <v>0</v>
      </c>
      <c r="W74" s="261">
        <v>0</v>
      </c>
      <c r="X74" s="261">
        <v>0</v>
      </c>
      <c r="Y74" s="261">
        <v>0</v>
      </c>
      <c r="Z74" s="261">
        <v>0</v>
      </c>
      <c r="AA74" s="261">
        <v>0</v>
      </c>
      <c r="AB74" s="263">
        <v>2020</v>
      </c>
    </row>
    <row r="75" spans="1:28" ht="35.25" x14ac:dyDescent="0.5">
      <c r="A75" s="256">
        <v>30</v>
      </c>
      <c r="B75" s="179">
        <f>SUBTOTAL(103,$A$8:A75)</f>
        <v>66</v>
      </c>
      <c r="C75" s="258" t="s">
        <v>1818</v>
      </c>
      <c r="D75" s="259">
        <f t="shared" si="5"/>
        <v>493206.56</v>
      </c>
      <c r="E75" s="261">
        <v>0</v>
      </c>
      <c r="F75" s="261">
        <v>0</v>
      </c>
      <c r="G75" s="261">
        <v>493206.56</v>
      </c>
      <c r="H75" s="261">
        <v>0</v>
      </c>
      <c r="I75" s="261">
        <v>0</v>
      </c>
      <c r="J75" s="261">
        <v>0</v>
      </c>
      <c r="K75" s="262">
        <v>0</v>
      </c>
      <c r="L75" s="261">
        <v>0</v>
      </c>
      <c r="M75" s="261">
        <v>0</v>
      </c>
      <c r="N75" s="261">
        <v>0</v>
      </c>
      <c r="O75" s="261">
        <v>0</v>
      </c>
      <c r="P75" s="261">
        <v>0</v>
      </c>
      <c r="Q75" s="261">
        <v>0</v>
      </c>
      <c r="R75" s="261">
        <v>0</v>
      </c>
      <c r="S75" s="261">
        <v>0</v>
      </c>
      <c r="T75" s="261">
        <v>0</v>
      </c>
      <c r="U75" s="261">
        <v>0</v>
      </c>
      <c r="V75" s="261">
        <v>0</v>
      </c>
      <c r="W75" s="261">
        <v>0</v>
      </c>
      <c r="X75" s="261">
        <v>0</v>
      </c>
      <c r="Y75" s="261">
        <v>0</v>
      </c>
      <c r="Z75" s="261">
        <v>0</v>
      </c>
      <c r="AA75" s="261">
        <v>0</v>
      </c>
      <c r="AB75" s="263">
        <v>2020</v>
      </c>
    </row>
    <row r="76" spans="1:28" ht="35.25" x14ac:dyDescent="0.5">
      <c r="A76" s="256">
        <v>31</v>
      </c>
      <c r="B76" s="179">
        <f>SUBTOTAL(103,$A$8:A76)</f>
        <v>67</v>
      </c>
      <c r="C76" s="258" t="s">
        <v>1819</v>
      </c>
      <c r="D76" s="259">
        <f t="shared" si="5"/>
        <v>265246.23</v>
      </c>
      <c r="E76" s="261">
        <v>0</v>
      </c>
      <c r="F76" s="261">
        <v>0</v>
      </c>
      <c r="G76" s="261">
        <v>0</v>
      </c>
      <c r="H76" s="261">
        <v>0</v>
      </c>
      <c r="I76" s="261">
        <v>0</v>
      </c>
      <c r="J76" s="261">
        <v>0</v>
      </c>
      <c r="K76" s="262">
        <v>0</v>
      </c>
      <c r="L76" s="261">
        <v>0</v>
      </c>
      <c r="M76" s="261">
        <v>0</v>
      </c>
      <c r="N76" s="261">
        <v>0</v>
      </c>
      <c r="O76" s="261">
        <v>265246.23</v>
      </c>
      <c r="P76" s="261">
        <v>0</v>
      </c>
      <c r="Q76" s="261">
        <v>0</v>
      </c>
      <c r="R76" s="261">
        <v>0</v>
      </c>
      <c r="S76" s="261">
        <v>0</v>
      </c>
      <c r="T76" s="261">
        <v>0</v>
      </c>
      <c r="U76" s="261">
        <v>0</v>
      </c>
      <c r="V76" s="261">
        <v>0</v>
      </c>
      <c r="W76" s="261">
        <v>0</v>
      </c>
      <c r="X76" s="261">
        <v>0</v>
      </c>
      <c r="Y76" s="261">
        <v>0</v>
      </c>
      <c r="Z76" s="261">
        <v>0</v>
      </c>
      <c r="AA76" s="261">
        <v>0</v>
      </c>
      <c r="AB76" s="263">
        <v>2020</v>
      </c>
    </row>
    <row r="77" spans="1:28" ht="35.25" x14ac:dyDescent="0.5">
      <c r="A77" s="256">
        <v>32</v>
      </c>
      <c r="B77" s="179">
        <f>SUBTOTAL(103,$A$8:A77)</f>
        <v>68</v>
      </c>
      <c r="C77" s="258" t="s">
        <v>1820</v>
      </c>
      <c r="D77" s="259">
        <f t="shared" si="5"/>
        <v>1312347.23</v>
      </c>
      <c r="E77" s="261">
        <v>0</v>
      </c>
      <c r="F77" s="261">
        <v>0</v>
      </c>
      <c r="G77" s="261">
        <v>0</v>
      </c>
      <c r="H77" s="261">
        <v>0</v>
      </c>
      <c r="I77" s="261">
        <v>0</v>
      </c>
      <c r="J77" s="261">
        <v>0</v>
      </c>
      <c r="K77" s="262">
        <v>0</v>
      </c>
      <c r="L77" s="261">
        <v>0</v>
      </c>
      <c r="M77" s="261">
        <v>1312347.23</v>
      </c>
      <c r="N77" s="261">
        <v>0</v>
      </c>
      <c r="O77" s="261">
        <v>0</v>
      </c>
      <c r="P77" s="261">
        <v>0</v>
      </c>
      <c r="Q77" s="261">
        <v>0</v>
      </c>
      <c r="R77" s="261">
        <v>0</v>
      </c>
      <c r="S77" s="261">
        <v>0</v>
      </c>
      <c r="T77" s="261">
        <v>0</v>
      </c>
      <c r="U77" s="261">
        <v>0</v>
      </c>
      <c r="V77" s="261">
        <v>0</v>
      </c>
      <c r="W77" s="261">
        <v>0</v>
      </c>
      <c r="X77" s="261">
        <v>0</v>
      </c>
      <c r="Y77" s="261">
        <v>0</v>
      </c>
      <c r="Z77" s="261">
        <v>0</v>
      </c>
      <c r="AA77" s="261">
        <v>0</v>
      </c>
      <c r="AB77" s="263">
        <v>2020</v>
      </c>
    </row>
    <row r="78" spans="1:28" ht="35.25" x14ac:dyDescent="0.5">
      <c r="A78" s="256">
        <v>33</v>
      </c>
      <c r="B78" s="179">
        <f>SUBTOTAL(103,$A$8:A78)</f>
        <v>69</v>
      </c>
      <c r="C78" s="258" t="s">
        <v>1821</v>
      </c>
      <c r="D78" s="259">
        <f t="shared" si="5"/>
        <v>823785</v>
      </c>
      <c r="E78" s="261">
        <v>240259</v>
      </c>
      <c r="F78" s="261">
        <v>340000</v>
      </c>
      <c r="G78" s="261">
        <v>0</v>
      </c>
      <c r="H78" s="261">
        <v>243526</v>
      </c>
      <c r="I78" s="261">
        <v>0</v>
      </c>
      <c r="J78" s="261">
        <v>0</v>
      </c>
      <c r="K78" s="262">
        <v>0</v>
      </c>
      <c r="L78" s="261">
        <v>0</v>
      </c>
      <c r="M78" s="261">
        <v>0</v>
      </c>
      <c r="N78" s="261">
        <v>0</v>
      </c>
      <c r="O78" s="261">
        <v>0</v>
      </c>
      <c r="P78" s="261">
        <v>0</v>
      </c>
      <c r="Q78" s="261">
        <v>0</v>
      </c>
      <c r="R78" s="261">
        <v>0</v>
      </c>
      <c r="S78" s="261">
        <v>0</v>
      </c>
      <c r="T78" s="261">
        <v>0</v>
      </c>
      <c r="U78" s="261">
        <v>0</v>
      </c>
      <c r="V78" s="261">
        <v>0</v>
      </c>
      <c r="W78" s="261">
        <v>0</v>
      </c>
      <c r="X78" s="261">
        <v>0</v>
      </c>
      <c r="Y78" s="261">
        <v>0</v>
      </c>
      <c r="Z78" s="261">
        <v>0</v>
      </c>
      <c r="AA78" s="261">
        <v>0</v>
      </c>
      <c r="AB78" s="263">
        <v>2020</v>
      </c>
    </row>
    <row r="79" spans="1:28" ht="35.25" x14ac:dyDescent="0.5">
      <c r="A79" s="256">
        <v>36</v>
      </c>
      <c r="B79" s="179">
        <f>SUBTOTAL(103,$A$8:A79)</f>
        <v>70</v>
      </c>
      <c r="C79" s="258" t="s">
        <v>1822</v>
      </c>
      <c r="D79" s="259">
        <f t="shared" si="5"/>
        <v>1088631</v>
      </c>
      <c r="E79" s="261">
        <v>403161</v>
      </c>
      <c r="F79" s="261">
        <v>685470</v>
      </c>
      <c r="G79" s="261">
        <v>0</v>
      </c>
      <c r="H79" s="261">
        <v>0</v>
      </c>
      <c r="I79" s="261">
        <v>0</v>
      </c>
      <c r="J79" s="261">
        <v>0</v>
      </c>
      <c r="K79" s="262">
        <v>0</v>
      </c>
      <c r="L79" s="261">
        <v>0</v>
      </c>
      <c r="M79" s="261">
        <v>0</v>
      </c>
      <c r="N79" s="261">
        <v>0</v>
      </c>
      <c r="O79" s="261">
        <v>0</v>
      </c>
      <c r="P79" s="261">
        <v>0</v>
      </c>
      <c r="Q79" s="261">
        <v>0</v>
      </c>
      <c r="R79" s="261">
        <v>0</v>
      </c>
      <c r="S79" s="261">
        <v>0</v>
      </c>
      <c r="T79" s="261">
        <v>0</v>
      </c>
      <c r="U79" s="261">
        <v>0</v>
      </c>
      <c r="V79" s="261">
        <v>0</v>
      </c>
      <c r="W79" s="261">
        <v>0</v>
      </c>
      <c r="X79" s="261">
        <v>0</v>
      </c>
      <c r="Y79" s="261">
        <v>0</v>
      </c>
      <c r="Z79" s="261">
        <v>0</v>
      </c>
      <c r="AA79" s="261">
        <v>0</v>
      </c>
      <c r="AB79" s="263">
        <v>2020</v>
      </c>
    </row>
    <row r="80" spans="1:28" ht="35.25" x14ac:dyDescent="0.5">
      <c r="A80" s="256">
        <v>38</v>
      </c>
      <c r="B80" s="179">
        <f>SUBTOTAL(103,$A$8:A80)</f>
        <v>71</v>
      </c>
      <c r="C80" s="258" t="s">
        <v>1823</v>
      </c>
      <c r="D80" s="259">
        <f t="shared" si="5"/>
        <v>246963</v>
      </c>
      <c r="E80" s="261">
        <v>0</v>
      </c>
      <c r="F80" s="261">
        <v>246963</v>
      </c>
      <c r="G80" s="261">
        <v>0</v>
      </c>
      <c r="H80" s="261">
        <v>0</v>
      </c>
      <c r="I80" s="261">
        <v>0</v>
      </c>
      <c r="J80" s="261">
        <v>0</v>
      </c>
      <c r="K80" s="262">
        <v>0</v>
      </c>
      <c r="L80" s="261">
        <v>0</v>
      </c>
      <c r="M80" s="261">
        <v>0</v>
      </c>
      <c r="N80" s="261">
        <v>0</v>
      </c>
      <c r="O80" s="261">
        <v>0</v>
      </c>
      <c r="P80" s="261">
        <v>0</v>
      </c>
      <c r="Q80" s="261">
        <v>0</v>
      </c>
      <c r="R80" s="261">
        <v>0</v>
      </c>
      <c r="S80" s="261">
        <v>0</v>
      </c>
      <c r="T80" s="261">
        <v>0</v>
      </c>
      <c r="U80" s="261">
        <v>0</v>
      </c>
      <c r="V80" s="261">
        <v>0</v>
      </c>
      <c r="W80" s="261">
        <v>0</v>
      </c>
      <c r="X80" s="261">
        <v>0</v>
      </c>
      <c r="Y80" s="261">
        <v>0</v>
      </c>
      <c r="Z80" s="261">
        <v>0</v>
      </c>
      <c r="AA80" s="261">
        <v>0</v>
      </c>
      <c r="AB80" s="263">
        <v>2020</v>
      </c>
    </row>
    <row r="81" spans="1:28" ht="35.25" x14ac:dyDescent="0.5">
      <c r="A81" s="256">
        <v>39</v>
      </c>
      <c r="B81" s="179">
        <f>SUBTOTAL(103,$A$8:A81)</f>
        <v>72</v>
      </c>
      <c r="C81" s="258" t="s">
        <v>1824</v>
      </c>
      <c r="D81" s="259">
        <f t="shared" si="5"/>
        <v>1291286</v>
      </c>
      <c r="E81" s="261">
        <v>0</v>
      </c>
      <c r="F81" s="261">
        <v>0</v>
      </c>
      <c r="G81" s="261">
        <v>0</v>
      </c>
      <c r="H81" s="261">
        <v>0</v>
      </c>
      <c r="I81" s="261">
        <v>0</v>
      </c>
      <c r="J81" s="261">
        <v>0</v>
      </c>
      <c r="K81" s="262">
        <v>0</v>
      </c>
      <c r="L81" s="261">
        <v>0</v>
      </c>
      <c r="M81" s="261">
        <v>1291286</v>
      </c>
      <c r="N81" s="261">
        <v>0</v>
      </c>
      <c r="O81" s="261">
        <v>0</v>
      </c>
      <c r="P81" s="261">
        <v>0</v>
      </c>
      <c r="Q81" s="261">
        <v>0</v>
      </c>
      <c r="R81" s="261">
        <v>0</v>
      </c>
      <c r="S81" s="261">
        <v>0</v>
      </c>
      <c r="T81" s="261">
        <v>0</v>
      </c>
      <c r="U81" s="261">
        <v>0</v>
      </c>
      <c r="V81" s="261">
        <v>0</v>
      </c>
      <c r="W81" s="261">
        <v>0</v>
      </c>
      <c r="X81" s="261">
        <v>0</v>
      </c>
      <c r="Y81" s="261">
        <v>0</v>
      </c>
      <c r="Z81" s="261">
        <v>0</v>
      </c>
      <c r="AA81" s="261">
        <v>0</v>
      </c>
      <c r="AB81" s="263">
        <v>2020</v>
      </c>
    </row>
    <row r="82" spans="1:28" ht="35.25" x14ac:dyDescent="0.5">
      <c r="A82" s="256">
        <v>40</v>
      </c>
      <c r="B82" s="179">
        <f>SUBTOTAL(103,$A$8:A82)</f>
        <v>73</v>
      </c>
      <c r="C82" s="258" t="s">
        <v>1825</v>
      </c>
      <c r="D82" s="259">
        <f t="shared" si="5"/>
        <v>543017.86</v>
      </c>
      <c r="E82" s="261">
        <v>0</v>
      </c>
      <c r="F82" s="261">
        <v>0</v>
      </c>
      <c r="G82" s="261">
        <v>0</v>
      </c>
      <c r="H82" s="261">
        <v>0</v>
      </c>
      <c r="I82" s="261">
        <v>0</v>
      </c>
      <c r="J82" s="261">
        <v>0</v>
      </c>
      <c r="K82" s="262">
        <v>0</v>
      </c>
      <c r="L82" s="261">
        <v>0</v>
      </c>
      <c r="M82" s="261">
        <v>0</v>
      </c>
      <c r="N82" s="261">
        <v>0</v>
      </c>
      <c r="O82" s="261">
        <v>543017.86</v>
      </c>
      <c r="P82" s="261">
        <v>0</v>
      </c>
      <c r="Q82" s="261">
        <v>0</v>
      </c>
      <c r="R82" s="261">
        <v>0</v>
      </c>
      <c r="S82" s="261">
        <v>0</v>
      </c>
      <c r="T82" s="261">
        <v>0</v>
      </c>
      <c r="U82" s="261">
        <v>0</v>
      </c>
      <c r="V82" s="261">
        <v>0</v>
      </c>
      <c r="W82" s="261">
        <v>0</v>
      </c>
      <c r="X82" s="261">
        <v>0</v>
      </c>
      <c r="Y82" s="261">
        <v>0</v>
      </c>
      <c r="Z82" s="261">
        <v>0</v>
      </c>
      <c r="AA82" s="261">
        <v>0</v>
      </c>
      <c r="AB82" s="263">
        <v>2020</v>
      </c>
    </row>
    <row r="83" spans="1:28" ht="35.25" x14ac:dyDescent="0.5">
      <c r="A83" s="256">
        <v>41</v>
      </c>
      <c r="B83" s="179">
        <f>SUBTOTAL(103,$A$8:A83)</f>
        <v>74</v>
      </c>
      <c r="C83" s="258" t="s">
        <v>1826</v>
      </c>
      <c r="D83" s="259">
        <f t="shared" si="5"/>
        <v>477116.42000000004</v>
      </c>
      <c r="E83" s="261">
        <v>179437.21</v>
      </c>
      <c r="F83" s="261">
        <v>297679.21000000002</v>
      </c>
      <c r="G83" s="261">
        <v>0</v>
      </c>
      <c r="H83" s="261">
        <v>0</v>
      </c>
      <c r="I83" s="261">
        <v>0</v>
      </c>
      <c r="J83" s="261">
        <v>0</v>
      </c>
      <c r="K83" s="262">
        <v>0</v>
      </c>
      <c r="L83" s="261">
        <v>0</v>
      </c>
      <c r="M83" s="261">
        <v>0</v>
      </c>
      <c r="N83" s="261">
        <v>0</v>
      </c>
      <c r="O83" s="261">
        <v>0</v>
      </c>
      <c r="P83" s="261">
        <v>0</v>
      </c>
      <c r="Q83" s="261">
        <v>0</v>
      </c>
      <c r="R83" s="261">
        <v>0</v>
      </c>
      <c r="S83" s="261">
        <v>0</v>
      </c>
      <c r="T83" s="261">
        <v>0</v>
      </c>
      <c r="U83" s="261">
        <v>0</v>
      </c>
      <c r="V83" s="261">
        <v>0</v>
      </c>
      <c r="W83" s="261">
        <v>0</v>
      </c>
      <c r="X83" s="261">
        <v>0</v>
      </c>
      <c r="Y83" s="261">
        <v>0</v>
      </c>
      <c r="Z83" s="261">
        <v>0</v>
      </c>
      <c r="AA83" s="261">
        <v>0</v>
      </c>
      <c r="AB83" s="263">
        <v>2020</v>
      </c>
    </row>
    <row r="84" spans="1:28" ht="35.25" x14ac:dyDescent="0.5">
      <c r="B84" s="257" t="s">
        <v>828</v>
      </c>
      <c r="C84" s="258"/>
      <c r="D84" s="259">
        <f>SUM(D85:D86)</f>
        <v>1344089.16</v>
      </c>
      <c r="E84" s="259">
        <f t="shared" ref="E84:AA84" si="6">SUM(E85:E86)</f>
        <v>0</v>
      </c>
      <c r="F84" s="259">
        <f t="shared" si="6"/>
        <v>0</v>
      </c>
      <c r="G84" s="259">
        <f t="shared" si="6"/>
        <v>0</v>
      </c>
      <c r="H84" s="259">
        <f t="shared" si="6"/>
        <v>0</v>
      </c>
      <c r="I84" s="259">
        <f t="shared" si="6"/>
        <v>140089.16</v>
      </c>
      <c r="J84" s="259">
        <f t="shared" si="6"/>
        <v>0</v>
      </c>
      <c r="K84" s="259">
        <f t="shared" si="6"/>
        <v>1</v>
      </c>
      <c r="L84" s="259">
        <f t="shared" si="6"/>
        <v>1204000</v>
      </c>
      <c r="M84" s="259">
        <f t="shared" si="6"/>
        <v>0</v>
      </c>
      <c r="N84" s="259">
        <f t="shared" si="6"/>
        <v>0</v>
      </c>
      <c r="O84" s="259">
        <f t="shared" si="6"/>
        <v>0</v>
      </c>
      <c r="P84" s="259">
        <f t="shared" si="6"/>
        <v>0</v>
      </c>
      <c r="Q84" s="259">
        <f t="shared" si="6"/>
        <v>0</v>
      </c>
      <c r="R84" s="259">
        <f t="shared" si="6"/>
        <v>0</v>
      </c>
      <c r="S84" s="259">
        <f t="shared" si="6"/>
        <v>0</v>
      </c>
      <c r="T84" s="259">
        <f t="shared" si="6"/>
        <v>0</v>
      </c>
      <c r="U84" s="259">
        <f t="shared" si="6"/>
        <v>0</v>
      </c>
      <c r="V84" s="259">
        <f t="shared" si="6"/>
        <v>0</v>
      </c>
      <c r="W84" s="259">
        <f t="shared" si="6"/>
        <v>0</v>
      </c>
      <c r="X84" s="259">
        <f t="shared" si="6"/>
        <v>0</v>
      </c>
      <c r="Y84" s="259">
        <f t="shared" si="6"/>
        <v>0</v>
      </c>
      <c r="Z84" s="259">
        <f t="shared" si="6"/>
        <v>0</v>
      </c>
      <c r="AA84" s="259">
        <f t="shared" si="6"/>
        <v>0</v>
      </c>
      <c r="AB84" s="260" t="s">
        <v>903</v>
      </c>
    </row>
    <row r="85" spans="1:28" ht="35.25" x14ac:dyDescent="0.5">
      <c r="A85" s="256">
        <v>1</v>
      </c>
      <c r="B85" s="179">
        <f>SUBTOTAL(103,$A$8:A85)</f>
        <v>75</v>
      </c>
      <c r="C85" s="258" t="s">
        <v>1827</v>
      </c>
      <c r="D85" s="259">
        <f>E85+F85+G85+H85+I85+J85+L85+M85+N85+O85+P85+Q85+R85+S85+T85+U85+V85+W85+X85+Y85+Z85+AA85</f>
        <v>1204000</v>
      </c>
      <c r="E85" s="261">
        <v>0</v>
      </c>
      <c r="F85" s="261">
        <v>0</v>
      </c>
      <c r="G85" s="261">
        <v>0</v>
      </c>
      <c r="H85" s="261">
        <v>0</v>
      </c>
      <c r="I85" s="261">
        <v>0</v>
      </c>
      <c r="J85" s="261">
        <v>0</v>
      </c>
      <c r="K85" s="262">
        <v>1</v>
      </c>
      <c r="L85" s="261">
        <v>1204000</v>
      </c>
      <c r="M85" s="261">
        <v>0</v>
      </c>
      <c r="N85" s="261">
        <v>0</v>
      </c>
      <c r="O85" s="261">
        <v>0</v>
      </c>
      <c r="P85" s="261">
        <v>0</v>
      </c>
      <c r="Q85" s="261">
        <v>0</v>
      </c>
      <c r="R85" s="261">
        <v>0</v>
      </c>
      <c r="S85" s="261">
        <v>0</v>
      </c>
      <c r="T85" s="261">
        <v>0</v>
      </c>
      <c r="U85" s="261">
        <v>0</v>
      </c>
      <c r="V85" s="261">
        <v>0</v>
      </c>
      <c r="W85" s="261">
        <v>0</v>
      </c>
      <c r="X85" s="261">
        <v>0</v>
      </c>
      <c r="Y85" s="261">
        <v>0</v>
      </c>
      <c r="Z85" s="261">
        <v>0</v>
      </c>
      <c r="AA85" s="261">
        <v>0</v>
      </c>
      <c r="AB85" s="263">
        <v>2020</v>
      </c>
    </row>
    <row r="86" spans="1:28" ht="35.25" x14ac:dyDescent="0.5">
      <c r="A86" s="256">
        <v>1</v>
      </c>
      <c r="B86" s="179">
        <f>SUBTOTAL(103,$A$8:A86)</f>
        <v>76</v>
      </c>
      <c r="C86" s="258" t="s">
        <v>1828</v>
      </c>
      <c r="D86" s="259">
        <f>E86+F86+G86+H86+I86+J86+L86+M86+N86+O86+P86+Q86+R86+S86+T86+U86+V86+W86+X86+Y86+Z86+AA86</f>
        <v>140089.16</v>
      </c>
      <c r="E86" s="261">
        <v>0</v>
      </c>
      <c r="F86" s="261">
        <v>0</v>
      </c>
      <c r="G86" s="261">
        <v>0</v>
      </c>
      <c r="H86" s="261">
        <v>0</v>
      </c>
      <c r="I86" s="261">
        <v>140089.16</v>
      </c>
      <c r="J86" s="261">
        <v>0</v>
      </c>
      <c r="K86" s="262">
        <v>0</v>
      </c>
      <c r="L86" s="261">
        <v>0</v>
      </c>
      <c r="M86" s="261">
        <v>0</v>
      </c>
      <c r="N86" s="261">
        <v>0</v>
      </c>
      <c r="O86" s="261">
        <v>0</v>
      </c>
      <c r="P86" s="261">
        <v>0</v>
      </c>
      <c r="Q86" s="261">
        <v>0</v>
      </c>
      <c r="R86" s="261">
        <v>0</v>
      </c>
      <c r="S86" s="261">
        <v>0</v>
      </c>
      <c r="T86" s="261">
        <v>0</v>
      </c>
      <c r="U86" s="261">
        <v>0</v>
      </c>
      <c r="V86" s="261">
        <v>0</v>
      </c>
      <c r="W86" s="261">
        <v>0</v>
      </c>
      <c r="X86" s="261">
        <v>0</v>
      </c>
      <c r="Y86" s="261">
        <v>0</v>
      </c>
      <c r="Z86" s="261">
        <v>0</v>
      </c>
      <c r="AA86" s="261">
        <v>0</v>
      </c>
      <c r="AB86" s="263">
        <v>2020</v>
      </c>
    </row>
    <row r="87" spans="1:28" ht="35.25" x14ac:dyDescent="0.5">
      <c r="B87" s="266" t="s">
        <v>1061</v>
      </c>
      <c r="C87" s="258"/>
      <c r="D87" s="259">
        <f>SUM(D88:D91)</f>
        <v>2402989.2999999998</v>
      </c>
      <c r="E87" s="259">
        <f t="shared" ref="E87:AA87" si="7">SUM(E88:E91)</f>
        <v>0</v>
      </c>
      <c r="F87" s="259">
        <f t="shared" si="7"/>
        <v>158850</v>
      </c>
      <c r="G87" s="259">
        <f t="shared" si="7"/>
        <v>0</v>
      </c>
      <c r="H87" s="259">
        <f t="shared" si="7"/>
        <v>0</v>
      </c>
      <c r="I87" s="259">
        <f t="shared" si="7"/>
        <v>649639</v>
      </c>
      <c r="J87" s="259">
        <f t="shared" si="7"/>
        <v>0</v>
      </c>
      <c r="K87" s="259">
        <f t="shared" si="7"/>
        <v>0</v>
      </c>
      <c r="L87" s="259">
        <f t="shared" si="7"/>
        <v>0</v>
      </c>
      <c r="M87" s="259">
        <f t="shared" si="7"/>
        <v>1202950.3</v>
      </c>
      <c r="N87" s="259">
        <f t="shared" si="7"/>
        <v>0</v>
      </c>
      <c r="O87" s="259">
        <f t="shared" si="7"/>
        <v>391550</v>
      </c>
      <c r="P87" s="259">
        <f t="shared" si="7"/>
        <v>0</v>
      </c>
      <c r="Q87" s="259">
        <f t="shared" si="7"/>
        <v>0</v>
      </c>
      <c r="R87" s="259">
        <f t="shared" si="7"/>
        <v>0</v>
      </c>
      <c r="S87" s="259">
        <f t="shared" si="7"/>
        <v>0</v>
      </c>
      <c r="T87" s="259">
        <f t="shared" si="7"/>
        <v>0</v>
      </c>
      <c r="U87" s="259">
        <f t="shared" si="7"/>
        <v>0</v>
      </c>
      <c r="V87" s="259">
        <f t="shared" si="7"/>
        <v>0</v>
      </c>
      <c r="W87" s="259">
        <f t="shared" si="7"/>
        <v>0</v>
      </c>
      <c r="X87" s="259">
        <f t="shared" si="7"/>
        <v>0</v>
      </c>
      <c r="Y87" s="259">
        <f t="shared" si="7"/>
        <v>0</v>
      </c>
      <c r="Z87" s="259">
        <f t="shared" si="7"/>
        <v>0</v>
      </c>
      <c r="AA87" s="259">
        <f t="shared" si="7"/>
        <v>0</v>
      </c>
      <c r="AB87" s="260" t="s">
        <v>903</v>
      </c>
    </row>
    <row r="88" spans="1:28" ht="35.25" x14ac:dyDescent="0.5">
      <c r="A88" s="256">
        <v>1</v>
      </c>
      <c r="B88" s="179">
        <f>SUBTOTAL(103,$A$8:A88)</f>
        <v>77</v>
      </c>
      <c r="C88" s="258" t="s">
        <v>1829</v>
      </c>
      <c r="D88" s="259">
        <f>E88+F88+G88+H88+I88+J88+L88+M88+N88+O88+P88+Q88+R88+S88+T88+U88+V88+W88+X88+Y88+Z88+AA88</f>
        <v>1202950.3</v>
      </c>
      <c r="E88" s="261">
        <v>0</v>
      </c>
      <c r="F88" s="261">
        <v>0</v>
      </c>
      <c r="G88" s="261">
        <v>0</v>
      </c>
      <c r="H88" s="261">
        <v>0</v>
      </c>
      <c r="I88" s="261">
        <v>0</v>
      </c>
      <c r="J88" s="261">
        <v>0</v>
      </c>
      <c r="K88" s="262">
        <v>0</v>
      </c>
      <c r="L88" s="261">
        <v>0</v>
      </c>
      <c r="M88" s="261">
        <v>1202950.3</v>
      </c>
      <c r="N88" s="261">
        <v>0</v>
      </c>
      <c r="O88" s="261">
        <v>0</v>
      </c>
      <c r="P88" s="261">
        <v>0</v>
      </c>
      <c r="Q88" s="261">
        <v>0</v>
      </c>
      <c r="R88" s="261">
        <v>0</v>
      </c>
      <c r="S88" s="261">
        <v>0</v>
      </c>
      <c r="T88" s="261">
        <v>0</v>
      </c>
      <c r="U88" s="261">
        <v>0</v>
      </c>
      <c r="V88" s="261">
        <v>0</v>
      </c>
      <c r="W88" s="261">
        <v>0</v>
      </c>
      <c r="X88" s="261">
        <v>0</v>
      </c>
      <c r="Y88" s="261">
        <v>0</v>
      </c>
      <c r="Z88" s="261">
        <v>0</v>
      </c>
      <c r="AA88" s="261">
        <v>0</v>
      </c>
      <c r="AB88" s="263">
        <v>2020</v>
      </c>
    </row>
    <row r="89" spans="1:28" ht="35.25" x14ac:dyDescent="0.5">
      <c r="A89" s="256">
        <v>1</v>
      </c>
      <c r="B89" s="179">
        <f>SUBTOTAL(103,$A$8:A89)</f>
        <v>78</v>
      </c>
      <c r="C89" s="258" t="s">
        <v>1830</v>
      </c>
      <c r="D89" s="259">
        <f>E89+F89+G89+H89+I89+J89+L89+M89+N89+O89+P89+Q89+R89+S89+T89+U89+V89+W89+X89+Y89+Z89+AA89</f>
        <v>649639</v>
      </c>
      <c r="E89" s="261">
        <v>0</v>
      </c>
      <c r="F89" s="261">
        <v>0</v>
      </c>
      <c r="G89" s="261">
        <v>0</v>
      </c>
      <c r="H89" s="261">
        <v>0</v>
      </c>
      <c r="I89" s="261">
        <v>649639</v>
      </c>
      <c r="J89" s="261">
        <v>0</v>
      </c>
      <c r="K89" s="262">
        <v>0</v>
      </c>
      <c r="L89" s="261">
        <v>0</v>
      </c>
      <c r="M89" s="261">
        <v>0</v>
      </c>
      <c r="N89" s="261">
        <v>0</v>
      </c>
      <c r="O89" s="261">
        <v>0</v>
      </c>
      <c r="P89" s="261">
        <v>0</v>
      </c>
      <c r="Q89" s="261">
        <v>0</v>
      </c>
      <c r="R89" s="261">
        <v>0</v>
      </c>
      <c r="S89" s="261">
        <v>0</v>
      </c>
      <c r="T89" s="261">
        <v>0</v>
      </c>
      <c r="U89" s="261">
        <v>0</v>
      </c>
      <c r="V89" s="261">
        <v>0</v>
      </c>
      <c r="W89" s="261">
        <v>0</v>
      </c>
      <c r="X89" s="261">
        <v>0</v>
      </c>
      <c r="Y89" s="261">
        <v>0</v>
      </c>
      <c r="Z89" s="261">
        <v>0</v>
      </c>
      <c r="AA89" s="261">
        <v>0</v>
      </c>
      <c r="AB89" s="263">
        <v>2020</v>
      </c>
    </row>
    <row r="90" spans="1:28" ht="35.25" x14ac:dyDescent="0.5">
      <c r="A90" s="256">
        <v>1</v>
      </c>
      <c r="B90" s="179">
        <f>SUBTOTAL(103,$A$8:A90)</f>
        <v>79</v>
      </c>
      <c r="C90" s="258" t="s">
        <v>1831</v>
      </c>
      <c r="D90" s="259">
        <f>E90+F90+G90+H90+I90+J90+L90+M90+N90+O90+P90+Q90+R90+S90+T90+U90+V90+W90+X90+Y90+Z90+AA90</f>
        <v>158850</v>
      </c>
      <c r="E90" s="261">
        <v>0</v>
      </c>
      <c r="F90" s="261">
        <v>158850</v>
      </c>
      <c r="G90" s="261">
        <v>0</v>
      </c>
      <c r="H90" s="261">
        <v>0</v>
      </c>
      <c r="I90" s="261">
        <v>0</v>
      </c>
      <c r="J90" s="261">
        <v>0</v>
      </c>
      <c r="K90" s="262">
        <v>0</v>
      </c>
      <c r="L90" s="261">
        <v>0</v>
      </c>
      <c r="M90" s="261">
        <v>0</v>
      </c>
      <c r="N90" s="261">
        <v>0</v>
      </c>
      <c r="O90" s="261">
        <v>0</v>
      </c>
      <c r="P90" s="261">
        <v>0</v>
      </c>
      <c r="Q90" s="261">
        <v>0</v>
      </c>
      <c r="R90" s="261">
        <v>0</v>
      </c>
      <c r="S90" s="261">
        <v>0</v>
      </c>
      <c r="T90" s="261">
        <v>0</v>
      </c>
      <c r="U90" s="261">
        <v>0</v>
      </c>
      <c r="V90" s="261">
        <v>0</v>
      </c>
      <c r="W90" s="261">
        <v>0</v>
      </c>
      <c r="X90" s="261">
        <v>0</v>
      </c>
      <c r="Y90" s="261">
        <v>0</v>
      </c>
      <c r="Z90" s="261">
        <v>0</v>
      </c>
      <c r="AA90" s="261">
        <v>0</v>
      </c>
      <c r="AB90" s="263">
        <v>2020</v>
      </c>
    </row>
    <row r="91" spans="1:28" ht="35.25" x14ac:dyDescent="0.5">
      <c r="A91" s="256">
        <v>1</v>
      </c>
      <c r="B91" s="179">
        <f>SUBTOTAL(103,$A$8:A91)</f>
        <v>80</v>
      </c>
      <c r="C91" s="258" t="s">
        <v>1832</v>
      </c>
      <c r="D91" s="259">
        <f>E91+F91+G91+H91+I91+J91+L91+M91+N91+O91+P91+Q91+R91+S91+T91+U91+V91+W91+X91+Y91+Z91+AA91</f>
        <v>391550</v>
      </c>
      <c r="E91" s="261">
        <v>0</v>
      </c>
      <c r="F91" s="261">
        <v>0</v>
      </c>
      <c r="G91" s="261">
        <v>0</v>
      </c>
      <c r="H91" s="261">
        <v>0</v>
      </c>
      <c r="I91" s="261">
        <v>0</v>
      </c>
      <c r="J91" s="261">
        <v>0</v>
      </c>
      <c r="K91" s="262">
        <v>0</v>
      </c>
      <c r="L91" s="261">
        <v>0</v>
      </c>
      <c r="M91" s="261">
        <v>0</v>
      </c>
      <c r="N91" s="261">
        <v>0</v>
      </c>
      <c r="O91" s="261">
        <v>391550</v>
      </c>
      <c r="P91" s="261">
        <v>0</v>
      </c>
      <c r="Q91" s="261">
        <v>0</v>
      </c>
      <c r="R91" s="261">
        <v>0</v>
      </c>
      <c r="S91" s="261">
        <v>0</v>
      </c>
      <c r="T91" s="261">
        <v>0</v>
      </c>
      <c r="U91" s="261">
        <v>0</v>
      </c>
      <c r="V91" s="261">
        <v>0</v>
      </c>
      <c r="W91" s="261">
        <v>0</v>
      </c>
      <c r="X91" s="261">
        <v>0</v>
      </c>
      <c r="Y91" s="261">
        <v>0</v>
      </c>
      <c r="Z91" s="261">
        <v>0</v>
      </c>
      <c r="AA91" s="261">
        <v>0</v>
      </c>
      <c r="AB91" s="263">
        <v>2020</v>
      </c>
    </row>
    <row r="92" spans="1:28" ht="35.25" x14ac:dyDescent="0.5">
      <c r="B92" s="266" t="s">
        <v>773</v>
      </c>
      <c r="C92" s="258"/>
      <c r="D92" s="259">
        <f>SUM(D93:D115)</f>
        <v>27860176.860000003</v>
      </c>
      <c r="E92" s="259">
        <f t="shared" ref="E92:AA92" si="8">SUM(E93:E115)</f>
        <v>0</v>
      </c>
      <c r="F92" s="259">
        <f t="shared" si="8"/>
        <v>320995</v>
      </c>
      <c r="G92" s="259">
        <f t="shared" si="8"/>
        <v>0</v>
      </c>
      <c r="H92" s="259">
        <f t="shared" si="8"/>
        <v>0</v>
      </c>
      <c r="I92" s="259">
        <f t="shared" si="8"/>
        <v>0</v>
      </c>
      <c r="J92" s="259">
        <f t="shared" si="8"/>
        <v>0</v>
      </c>
      <c r="K92" s="259">
        <f t="shared" si="8"/>
        <v>12</v>
      </c>
      <c r="L92" s="259">
        <f t="shared" si="8"/>
        <v>22049314.559999999</v>
      </c>
      <c r="M92" s="259">
        <f t="shared" si="8"/>
        <v>3524291.7</v>
      </c>
      <c r="N92" s="259">
        <f t="shared" si="8"/>
        <v>0</v>
      </c>
      <c r="O92" s="259">
        <f t="shared" si="8"/>
        <v>1965575.6</v>
      </c>
      <c r="P92" s="259">
        <f t="shared" si="8"/>
        <v>0</v>
      </c>
      <c r="Q92" s="259">
        <f t="shared" si="8"/>
        <v>0</v>
      </c>
      <c r="R92" s="259">
        <f t="shared" si="8"/>
        <v>0</v>
      </c>
      <c r="S92" s="259">
        <f t="shared" si="8"/>
        <v>0</v>
      </c>
      <c r="T92" s="259">
        <f t="shared" si="8"/>
        <v>0</v>
      </c>
      <c r="U92" s="259">
        <f t="shared" si="8"/>
        <v>0</v>
      </c>
      <c r="V92" s="259">
        <f t="shared" si="8"/>
        <v>0</v>
      </c>
      <c r="W92" s="259">
        <f t="shared" si="8"/>
        <v>0</v>
      </c>
      <c r="X92" s="259">
        <f t="shared" si="8"/>
        <v>0</v>
      </c>
      <c r="Y92" s="259">
        <f t="shared" si="8"/>
        <v>0</v>
      </c>
      <c r="Z92" s="259">
        <f t="shared" si="8"/>
        <v>0</v>
      </c>
      <c r="AA92" s="259">
        <f t="shared" si="8"/>
        <v>0</v>
      </c>
      <c r="AB92" s="260" t="s">
        <v>903</v>
      </c>
    </row>
    <row r="93" spans="1:28" ht="35.25" x14ac:dyDescent="0.5">
      <c r="A93" s="256">
        <v>1</v>
      </c>
      <c r="B93" s="179">
        <f>SUBTOTAL(103,$A$8:A93)</f>
        <v>81</v>
      </c>
      <c r="C93" s="258" t="s">
        <v>1833</v>
      </c>
      <c r="D93" s="259">
        <f t="shared" ref="D93:D162" si="9">E93+F93+G93+H93+I93+J93+L93+M93+N93+O93+P93+Q93+R93+S93+T93+U93+V93+W93+X93+Y93+Z93+AA93</f>
        <v>157000</v>
      </c>
      <c r="E93" s="261">
        <v>0</v>
      </c>
      <c r="F93" s="261">
        <v>0</v>
      </c>
      <c r="G93" s="261">
        <v>0</v>
      </c>
      <c r="H93" s="261">
        <v>0</v>
      </c>
      <c r="I93" s="261">
        <v>0</v>
      </c>
      <c r="J93" s="261">
        <v>0</v>
      </c>
      <c r="K93" s="262">
        <v>0</v>
      </c>
      <c r="L93" s="261">
        <v>0</v>
      </c>
      <c r="M93" s="261">
        <v>157000</v>
      </c>
      <c r="N93" s="261">
        <v>0</v>
      </c>
      <c r="O93" s="261">
        <v>0</v>
      </c>
      <c r="P93" s="261">
        <v>0</v>
      </c>
      <c r="Q93" s="261">
        <v>0</v>
      </c>
      <c r="R93" s="261">
        <v>0</v>
      </c>
      <c r="S93" s="261">
        <v>0</v>
      </c>
      <c r="T93" s="261">
        <v>0</v>
      </c>
      <c r="U93" s="261">
        <v>0</v>
      </c>
      <c r="V93" s="261">
        <v>0</v>
      </c>
      <c r="W93" s="261">
        <v>0</v>
      </c>
      <c r="X93" s="261">
        <v>0</v>
      </c>
      <c r="Y93" s="261">
        <v>0</v>
      </c>
      <c r="Z93" s="261">
        <v>0</v>
      </c>
      <c r="AA93" s="261">
        <v>0</v>
      </c>
      <c r="AB93" s="263">
        <v>2020</v>
      </c>
    </row>
    <row r="94" spans="1:28" ht="35.25" x14ac:dyDescent="0.5">
      <c r="A94" s="256">
        <v>1</v>
      </c>
      <c r="B94" s="179">
        <f>SUBTOTAL(103,$A$8:A94)</f>
        <v>82</v>
      </c>
      <c r="C94" s="258" t="s">
        <v>1834</v>
      </c>
      <c r="D94" s="259">
        <f t="shared" si="9"/>
        <v>1832821</v>
      </c>
      <c r="E94" s="261">
        <v>0</v>
      </c>
      <c r="F94" s="261">
        <v>0</v>
      </c>
      <c r="G94" s="261">
        <v>0</v>
      </c>
      <c r="H94" s="261">
        <v>0</v>
      </c>
      <c r="I94" s="261">
        <v>0</v>
      </c>
      <c r="J94" s="261">
        <v>0</v>
      </c>
      <c r="K94" s="262">
        <v>1</v>
      </c>
      <c r="L94" s="261">
        <v>1832821</v>
      </c>
      <c r="M94" s="261">
        <v>0</v>
      </c>
      <c r="N94" s="261">
        <v>0</v>
      </c>
      <c r="O94" s="261">
        <v>0</v>
      </c>
      <c r="P94" s="261">
        <v>0</v>
      </c>
      <c r="Q94" s="261">
        <v>0</v>
      </c>
      <c r="R94" s="261">
        <v>0</v>
      </c>
      <c r="S94" s="261">
        <v>0</v>
      </c>
      <c r="T94" s="261">
        <v>0</v>
      </c>
      <c r="U94" s="261">
        <v>0</v>
      </c>
      <c r="V94" s="261">
        <v>0</v>
      </c>
      <c r="W94" s="261">
        <v>0</v>
      </c>
      <c r="X94" s="261">
        <v>0</v>
      </c>
      <c r="Y94" s="261">
        <v>0</v>
      </c>
      <c r="Z94" s="261">
        <v>0</v>
      </c>
      <c r="AA94" s="261">
        <v>0</v>
      </c>
      <c r="AB94" s="263">
        <v>2020</v>
      </c>
    </row>
    <row r="95" spans="1:28" ht="35.25" x14ac:dyDescent="0.5">
      <c r="A95" s="256">
        <v>1</v>
      </c>
      <c r="B95" s="179">
        <f>SUBTOTAL(103,$A$8:A95)</f>
        <v>83</v>
      </c>
      <c r="C95" s="258" t="s">
        <v>1835</v>
      </c>
      <c r="D95" s="259">
        <f t="shared" si="9"/>
        <v>158837.4</v>
      </c>
      <c r="E95" s="261">
        <v>0</v>
      </c>
      <c r="F95" s="261">
        <v>0</v>
      </c>
      <c r="G95" s="261">
        <v>0</v>
      </c>
      <c r="H95" s="261">
        <v>0</v>
      </c>
      <c r="I95" s="261">
        <v>0</v>
      </c>
      <c r="J95" s="261">
        <v>0</v>
      </c>
      <c r="K95" s="262">
        <v>0</v>
      </c>
      <c r="L95" s="261">
        <v>0</v>
      </c>
      <c r="M95" s="261">
        <v>158837.4</v>
      </c>
      <c r="N95" s="261">
        <v>0</v>
      </c>
      <c r="O95" s="261">
        <v>0</v>
      </c>
      <c r="P95" s="261">
        <v>0</v>
      </c>
      <c r="Q95" s="261">
        <v>0</v>
      </c>
      <c r="R95" s="261">
        <v>0</v>
      </c>
      <c r="S95" s="261">
        <v>0</v>
      </c>
      <c r="T95" s="261">
        <v>0</v>
      </c>
      <c r="U95" s="261">
        <v>0</v>
      </c>
      <c r="V95" s="261">
        <v>0</v>
      </c>
      <c r="W95" s="261">
        <v>0</v>
      </c>
      <c r="X95" s="261">
        <v>0</v>
      </c>
      <c r="Y95" s="261">
        <v>0</v>
      </c>
      <c r="Z95" s="261">
        <v>0</v>
      </c>
      <c r="AA95" s="261">
        <v>0</v>
      </c>
      <c r="AB95" s="263">
        <v>2020</v>
      </c>
    </row>
    <row r="96" spans="1:28" ht="35.25" x14ac:dyDescent="0.5">
      <c r="A96" s="256">
        <v>1</v>
      </c>
      <c r="B96" s="179">
        <f>SUBTOTAL(103,$A$8:A96)</f>
        <v>84</v>
      </c>
      <c r="C96" s="258" t="s">
        <v>1836</v>
      </c>
      <c r="D96" s="259">
        <f t="shared" si="9"/>
        <v>1864325</v>
      </c>
      <c r="E96" s="261">
        <v>0</v>
      </c>
      <c r="F96" s="261">
        <v>0</v>
      </c>
      <c r="G96" s="261">
        <v>0</v>
      </c>
      <c r="H96" s="261">
        <v>0</v>
      </c>
      <c r="I96" s="261">
        <v>0</v>
      </c>
      <c r="J96" s="261">
        <v>0</v>
      </c>
      <c r="K96" s="262">
        <v>1</v>
      </c>
      <c r="L96" s="261">
        <f>559000+1305325</f>
        <v>1864325</v>
      </c>
      <c r="M96" s="261">
        <v>0</v>
      </c>
      <c r="N96" s="261">
        <v>0</v>
      </c>
      <c r="O96" s="261">
        <v>0</v>
      </c>
      <c r="P96" s="261">
        <v>0</v>
      </c>
      <c r="Q96" s="261">
        <v>0</v>
      </c>
      <c r="R96" s="261">
        <v>0</v>
      </c>
      <c r="S96" s="261">
        <v>0</v>
      </c>
      <c r="T96" s="261">
        <v>0</v>
      </c>
      <c r="U96" s="261">
        <v>0</v>
      </c>
      <c r="V96" s="261">
        <v>0</v>
      </c>
      <c r="W96" s="261">
        <v>0</v>
      </c>
      <c r="X96" s="261">
        <v>0</v>
      </c>
      <c r="Y96" s="261">
        <v>0</v>
      </c>
      <c r="Z96" s="261">
        <v>0</v>
      </c>
      <c r="AA96" s="261">
        <v>0</v>
      </c>
      <c r="AB96" s="263">
        <v>2020</v>
      </c>
    </row>
    <row r="97" spans="1:28" ht="35.25" x14ac:dyDescent="0.5">
      <c r="A97" s="256">
        <v>1</v>
      </c>
      <c r="B97" s="179">
        <f>SUBTOTAL(103,$A$8:A97)</f>
        <v>85</v>
      </c>
      <c r="C97" s="258" t="s">
        <v>1837</v>
      </c>
      <c r="D97" s="259">
        <f t="shared" si="9"/>
        <v>36299</v>
      </c>
      <c r="E97" s="261">
        <v>0</v>
      </c>
      <c r="F97" s="261">
        <v>0</v>
      </c>
      <c r="G97" s="261">
        <v>0</v>
      </c>
      <c r="H97" s="261">
        <v>0</v>
      </c>
      <c r="I97" s="261">
        <v>0</v>
      </c>
      <c r="J97" s="261">
        <v>0</v>
      </c>
      <c r="K97" s="262">
        <v>0</v>
      </c>
      <c r="L97" s="261">
        <v>0</v>
      </c>
      <c r="M97" s="261">
        <v>0</v>
      </c>
      <c r="N97" s="261">
        <v>0</v>
      </c>
      <c r="O97" s="261">
        <v>36299</v>
      </c>
      <c r="P97" s="261">
        <v>0</v>
      </c>
      <c r="Q97" s="261">
        <v>0</v>
      </c>
      <c r="R97" s="261">
        <v>0</v>
      </c>
      <c r="S97" s="261">
        <v>0</v>
      </c>
      <c r="T97" s="261">
        <v>0</v>
      </c>
      <c r="U97" s="261">
        <v>0</v>
      </c>
      <c r="V97" s="261">
        <v>0</v>
      </c>
      <c r="W97" s="261">
        <v>0</v>
      </c>
      <c r="X97" s="261">
        <v>0</v>
      </c>
      <c r="Y97" s="261">
        <v>0</v>
      </c>
      <c r="Z97" s="261">
        <v>0</v>
      </c>
      <c r="AA97" s="261">
        <v>0</v>
      </c>
      <c r="AB97" s="263">
        <v>2020</v>
      </c>
    </row>
    <row r="98" spans="1:28" ht="35.25" x14ac:dyDescent="0.5">
      <c r="A98" s="256">
        <v>1</v>
      </c>
      <c r="B98" s="179">
        <f>SUBTOTAL(103,$A$8:A98)</f>
        <v>86</v>
      </c>
      <c r="C98" s="258" t="s">
        <v>1838</v>
      </c>
      <c r="D98" s="259">
        <f t="shared" si="9"/>
        <v>320995</v>
      </c>
      <c r="E98" s="261">
        <v>0</v>
      </c>
      <c r="F98" s="261">
        <v>320995</v>
      </c>
      <c r="G98" s="261">
        <v>0</v>
      </c>
      <c r="H98" s="261">
        <v>0</v>
      </c>
      <c r="I98" s="261">
        <v>0</v>
      </c>
      <c r="J98" s="261">
        <v>0</v>
      </c>
      <c r="K98" s="262">
        <v>0</v>
      </c>
      <c r="L98" s="261">
        <v>0</v>
      </c>
      <c r="M98" s="261">
        <v>0</v>
      </c>
      <c r="N98" s="261">
        <v>0</v>
      </c>
      <c r="O98" s="261">
        <v>0</v>
      </c>
      <c r="P98" s="261">
        <v>0</v>
      </c>
      <c r="Q98" s="261">
        <v>0</v>
      </c>
      <c r="R98" s="261">
        <v>0</v>
      </c>
      <c r="S98" s="261">
        <v>0</v>
      </c>
      <c r="T98" s="261">
        <v>0</v>
      </c>
      <c r="U98" s="261">
        <v>0</v>
      </c>
      <c r="V98" s="261">
        <v>0</v>
      </c>
      <c r="W98" s="261">
        <v>0</v>
      </c>
      <c r="X98" s="261">
        <v>0</v>
      </c>
      <c r="Y98" s="261">
        <v>0</v>
      </c>
      <c r="Z98" s="261">
        <v>0</v>
      </c>
      <c r="AA98" s="261">
        <v>0</v>
      </c>
      <c r="AB98" s="263">
        <v>2020</v>
      </c>
    </row>
    <row r="99" spans="1:28" ht="35.25" x14ac:dyDescent="0.5">
      <c r="A99" s="256">
        <v>1</v>
      </c>
      <c r="B99" s="179">
        <f>SUBTOTAL(103,$A$8:A99)</f>
        <v>87</v>
      </c>
      <c r="C99" s="258" t="s">
        <v>1839</v>
      </c>
      <c r="D99" s="259">
        <f t="shared" si="9"/>
        <v>436616</v>
      </c>
      <c r="E99" s="261">
        <v>0</v>
      </c>
      <c r="F99" s="261">
        <v>0</v>
      </c>
      <c r="G99" s="261">
        <v>0</v>
      </c>
      <c r="H99" s="261">
        <v>0</v>
      </c>
      <c r="I99" s="261">
        <v>0</v>
      </c>
      <c r="J99" s="261">
        <v>0</v>
      </c>
      <c r="K99" s="262">
        <v>0</v>
      </c>
      <c r="L99" s="261">
        <v>0</v>
      </c>
      <c r="M99" s="261">
        <v>0</v>
      </c>
      <c r="N99" s="261">
        <v>0</v>
      </c>
      <c r="O99" s="261">
        <v>436616</v>
      </c>
      <c r="P99" s="261">
        <v>0</v>
      </c>
      <c r="Q99" s="261">
        <v>0</v>
      </c>
      <c r="R99" s="261">
        <v>0</v>
      </c>
      <c r="S99" s="261">
        <v>0</v>
      </c>
      <c r="T99" s="261">
        <v>0</v>
      </c>
      <c r="U99" s="261">
        <v>0</v>
      </c>
      <c r="V99" s="261">
        <v>0</v>
      </c>
      <c r="W99" s="261">
        <v>0</v>
      </c>
      <c r="X99" s="261">
        <v>0</v>
      </c>
      <c r="Y99" s="261">
        <v>0</v>
      </c>
      <c r="Z99" s="261">
        <v>0</v>
      </c>
      <c r="AA99" s="261">
        <v>0</v>
      </c>
      <c r="AB99" s="263">
        <v>2020</v>
      </c>
    </row>
    <row r="100" spans="1:28" ht="35.25" x14ac:dyDescent="0.5">
      <c r="A100" s="256">
        <v>1</v>
      </c>
      <c r="B100" s="179">
        <f>SUBTOTAL(103,$A$8:A100)</f>
        <v>88</v>
      </c>
      <c r="C100" s="258" t="s">
        <v>1840</v>
      </c>
      <c r="D100" s="259">
        <f t="shared" si="9"/>
        <v>5202748</v>
      </c>
      <c r="E100" s="261">
        <v>0</v>
      </c>
      <c r="F100" s="261">
        <v>0</v>
      </c>
      <c r="G100" s="261">
        <v>0</v>
      </c>
      <c r="H100" s="261">
        <v>0</v>
      </c>
      <c r="I100" s="261">
        <v>0</v>
      </c>
      <c r="J100" s="261">
        <v>0</v>
      </c>
      <c r="K100" s="262">
        <v>2</v>
      </c>
      <c r="L100" s="261">
        <f>2120417+2292000</f>
        <v>4412417</v>
      </c>
      <c r="M100" s="261">
        <v>790331</v>
      </c>
      <c r="N100" s="261">
        <v>0</v>
      </c>
      <c r="O100" s="261">
        <v>0</v>
      </c>
      <c r="P100" s="261">
        <v>0</v>
      </c>
      <c r="Q100" s="261">
        <v>0</v>
      </c>
      <c r="R100" s="261">
        <v>0</v>
      </c>
      <c r="S100" s="261">
        <v>0</v>
      </c>
      <c r="T100" s="261">
        <v>0</v>
      </c>
      <c r="U100" s="261">
        <v>0</v>
      </c>
      <c r="V100" s="261">
        <v>0</v>
      </c>
      <c r="W100" s="261">
        <v>0</v>
      </c>
      <c r="X100" s="261">
        <v>0</v>
      </c>
      <c r="Y100" s="261">
        <v>0</v>
      </c>
      <c r="Z100" s="261">
        <v>0</v>
      </c>
      <c r="AA100" s="261">
        <v>0</v>
      </c>
      <c r="AB100" s="263">
        <v>2020</v>
      </c>
    </row>
    <row r="101" spans="1:28" ht="35.25" x14ac:dyDescent="0.5">
      <c r="A101" s="256">
        <v>1</v>
      </c>
      <c r="B101" s="179">
        <f>SUBTOTAL(103,$A$8:A101)</f>
        <v>89</v>
      </c>
      <c r="C101" s="258" t="s">
        <v>1841</v>
      </c>
      <c r="D101" s="259">
        <f>E101+F101+G101+H101+I101+J101+L101+M101+N101+O101+P101+Q101+R101+S101+T101+U101+V101+W101+X101+Y101+Z101+AA101</f>
        <v>2200000</v>
      </c>
      <c r="E101" s="261">
        <v>0</v>
      </c>
      <c r="F101" s="261">
        <v>0</v>
      </c>
      <c r="G101" s="261">
        <v>0</v>
      </c>
      <c r="H101" s="261">
        <v>0</v>
      </c>
      <c r="I101" s="261">
        <v>0</v>
      </c>
      <c r="J101" s="261">
        <v>0</v>
      </c>
      <c r="K101" s="262">
        <v>1</v>
      </c>
      <c r="L101" s="261">
        <v>2200000</v>
      </c>
      <c r="M101" s="261">
        <v>0</v>
      </c>
      <c r="N101" s="261">
        <v>0</v>
      </c>
      <c r="O101" s="261">
        <v>0</v>
      </c>
      <c r="P101" s="261">
        <v>0</v>
      </c>
      <c r="Q101" s="261">
        <v>0</v>
      </c>
      <c r="R101" s="261">
        <v>0</v>
      </c>
      <c r="S101" s="261">
        <v>0</v>
      </c>
      <c r="T101" s="261">
        <v>0</v>
      </c>
      <c r="U101" s="261">
        <v>0</v>
      </c>
      <c r="V101" s="261">
        <v>0</v>
      </c>
      <c r="W101" s="261">
        <v>0</v>
      </c>
      <c r="X101" s="261">
        <v>0</v>
      </c>
      <c r="Y101" s="261">
        <v>0</v>
      </c>
      <c r="Z101" s="261">
        <v>0</v>
      </c>
      <c r="AA101" s="261">
        <v>0</v>
      </c>
      <c r="AB101" s="263">
        <v>2020</v>
      </c>
    </row>
    <row r="102" spans="1:28" ht="35.25" x14ac:dyDescent="0.5">
      <c r="A102" s="256">
        <v>1</v>
      </c>
      <c r="B102" s="179">
        <f>SUBTOTAL(103,$A$8:A102)</f>
        <v>90</v>
      </c>
      <c r="C102" s="258" t="s">
        <v>1842</v>
      </c>
      <c r="D102" s="259">
        <f t="shared" si="9"/>
        <v>1468627.3</v>
      </c>
      <c r="E102" s="261">
        <v>0</v>
      </c>
      <c r="F102" s="261">
        <v>0</v>
      </c>
      <c r="G102" s="261">
        <v>0</v>
      </c>
      <c r="H102" s="261">
        <v>0</v>
      </c>
      <c r="I102" s="261">
        <v>0</v>
      </c>
      <c r="J102" s="261">
        <v>0</v>
      </c>
      <c r="K102" s="262">
        <v>0</v>
      </c>
      <c r="L102" s="261">
        <v>0</v>
      </c>
      <c r="M102" s="261">
        <v>843123.3</v>
      </c>
      <c r="N102" s="261">
        <v>0</v>
      </c>
      <c r="O102" s="261">
        <v>625504</v>
      </c>
      <c r="P102" s="261">
        <v>0</v>
      </c>
      <c r="Q102" s="261">
        <v>0</v>
      </c>
      <c r="R102" s="261">
        <v>0</v>
      </c>
      <c r="S102" s="261">
        <v>0</v>
      </c>
      <c r="T102" s="261">
        <v>0</v>
      </c>
      <c r="U102" s="261">
        <v>0</v>
      </c>
      <c r="V102" s="261">
        <v>0</v>
      </c>
      <c r="W102" s="261">
        <v>0</v>
      </c>
      <c r="X102" s="261">
        <v>0</v>
      </c>
      <c r="Y102" s="261">
        <v>0</v>
      </c>
      <c r="Z102" s="261">
        <v>0</v>
      </c>
      <c r="AA102" s="261">
        <v>0</v>
      </c>
      <c r="AB102" s="263">
        <v>2020</v>
      </c>
    </row>
    <row r="103" spans="1:28" ht="35.25" x14ac:dyDescent="0.5">
      <c r="A103" s="256">
        <v>1</v>
      </c>
      <c r="B103" s="179">
        <f>SUBTOTAL(103,$A$8:A103)</f>
        <v>91</v>
      </c>
      <c r="C103" s="258" t="s">
        <v>1843</v>
      </c>
      <c r="D103" s="259">
        <f t="shared" si="9"/>
        <v>4600000</v>
      </c>
      <c r="E103" s="261">
        <v>0</v>
      </c>
      <c r="F103" s="261">
        <v>0</v>
      </c>
      <c r="G103" s="261">
        <v>0</v>
      </c>
      <c r="H103" s="261">
        <v>0</v>
      </c>
      <c r="I103" s="261">
        <v>0</v>
      </c>
      <c r="J103" s="261">
        <v>0</v>
      </c>
      <c r="K103" s="262">
        <v>2</v>
      </c>
      <c r="L103" s="261">
        <v>4600000</v>
      </c>
      <c r="M103" s="261">
        <v>0</v>
      </c>
      <c r="N103" s="261">
        <v>0</v>
      </c>
      <c r="O103" s="261">
        <v>0</v>
      </c>
      <c r="P103" s="261">
        <v>0</v>
      </c>
      <c r="Q103" s="261">
        <v>0</v>
      </c>
      <c r="R103" s="261">
        <v>0</v>
      </c>
      <c r="S103" s="261">
        <v>0</v>
      </c>
      <c r="T103" s="261">
        <v>0</v>
      </c>
      <c r="U103" s="261">
        <v>0</v>
      </c>
      <c r="V103" s="261">
        <v>0</v>
      </c>
      <c r="W103" s="261">
        <v>0</v>
      </c>
      <c r="X103" s="261">
        <v>0</v>
      </c>
      <c r="Y103" s="261">
        <v>0</v>
      </c>
      <c r="Z103" s="261">
        <v>0</v>
      </c>
      <c r="AA103" s="261">
        <v>0</v>
      </c>
      <c r="AB103" s="263">
        <v>2020</v>
      </c>
    </row>
    <row r="104" spans="1:28" ht="35.25" x14ac:dyDescent="0.5">
      <c r="A104" s="256">
        <v>1</v>
      </c>
      <c r="B104" s="179">
        <f>SUBTOTAL(103,$A$8:A104)</f>
        <v>92</v>
      </c>
      <c r="C104" s="258" t="s">
        <v>1844</v>
      </c>
      <c r="D104" s="259">
        <f t="shared" si="9"/>
        <v>1782611</v>
      </c>
      <c r="E104" s="261">
        <v>0</v>
      </c>
      <c r="F104" s="261">
        <v>0</v>
      </c>
      <c r="G104" s="261">
        <v>0</v>
      </c>
      <c r="H104" s="261">
        <v>0</v>
      </c>
      <c r="I104" s="261">
        <v>0</v>
      </c>
      <c r="J104" s="261">
        <v>0</v>
      </c>
      <c r="K104" s="262">
        <v>1</v>
      </c>
      <c r="L104" s="261">
        <f>1247828+534783</f>
        <v>1782611</v>
      </c>
      <c r="M104" s="261">
        <v>0</v>
      </c>
      <c r="N104" s="261">
        <v>0</v>
      </c>
      <c r="O104" s="261">
        <v>0</v>
      </c>
      <c r="P104" s="261">
        <v>0</v>
      </c>
      <c r="Q104" s="261">
        <v>0</v>
      </c>
      <c r="R104" s="261">
        <v>0</v>
      </c>
      <c r="S104" s="261">
        <v>0</v>
      </c>
      <c r="T104" s="261">
        <v>0</v>
      </c>
      <c r="U104" s="261">
        <v>0</v>
      </c>
      <c r="V104" s="261">
        <v>0</v>
      </c>
      <c r="W104" s="261">
        <v>0</v>
      </c>
      <c r="X104" s="261">
        <v>0</v>
      </c>
      <c r="Y104" s="261">
        <v>0</v>
      </c>
      <c r="Z104" s="261">
        <v>0</v>
      </c>
      <c r="AA104" s="261">
        <v>0</v>
      </c>
      <c r="AB104" s="263">
        <v>2020</v>
      </c>
    </row>
    <row r="105" spans="1:28" ht="35.25" x14ac:dyDescent="0.5">
      <c r="A105" s="256">
        <v>1</v>
      </c>
      <c r="B105" s="179">
        <f>SUBTOTAL(103,$A$8:A105)</f>
        <v>93</v>
      </c>
      <c r="C105" s="258" t="s">
        <v>1845</v>
      </c>
      <c r="D105" s="259">
        <f>E105+F105+G105+H105+I105+J105+L105+M105+N105+O105+P105+Q105+R105+S105+T105+U105+V105+W105+X105+Y105+Z105+AA105</f>
        <v>1820000</v>
      </c>
      <c r="E105" s="261">
        <v>0</v>
      </c>
      <c r="F105" s="261">
        <v>0</v>
      </c>
      <c r="G105" s="261">
        <v>0</v>
      </c>
      <c r="H105" s="261">
        <v>0</v>
      </c>
      <c r="I105" s="261">
        <v>0</v>
      </c>
      <c r="J105" s="261">
        <v>0</v>
      </c>
      <c r="K105" s="262">
        <v>1</v>
      </c>
      <c r="L105" s="261">
        <v>1820000</v>
      </c>
      <c r="M105" s="261">
        <v>0</v>
      </c>
      <c r="N105" s="261">
        <v>0</v>
      </c>
      <c r="O105" s="261">
        <v>0</v>
      </c>
      <c r="P105" s="261">
        <v>0</v>
      </c>
      <c r="Q105" s="261">
        <v>0</v>
      </c>
      <c r="R105" s="261">
        <v>0</v>
      </c>
      <c r="S105" s="261">
        <v>0</v>
      </c>
      <c r="T105" s="261">
        <v>0</v>
      </c>
      <c r="U105" s="261">
        <v>0</v>
      </c>
      <c r="V105" s="261">
        <v>0</v>
      </c>
      <c r="W105" s="261">
        <v>0</v>
      </c>
      <c r="X105" s="261">
        <v>0</v>
      </c>
      <c r="Y105" s="261">
        <v>0</v>
      </c>
      <c r="Z105" s="261">
        <v>0</v>
      </c>
      <c r="AA105" s="261">
        <v>0</v>
      </c>
      <c r="AB105" s="263">
        <v>2020</v>
      </c>
    </row>
    <row r="106" spans="1:28" ht="35.25" x14ac:dyDescent="0.5">
      <c r="A106" s="256">
        <v>1</v>
      </c>
      <c r="B106" s="179">
        <f>SUBTOTAL(103,$A$8:A106)</f>
        <v>94</v>
      </c>
      <c r="C106" s="258" t="s">
        <v>1846</v>
      </c>
      <c r="D106" s="259">
        <f t="shared" si="9"/>
        <v>687000</v>
      </c>
      <c r="E106" s="261">
        <v>0</v>
      </c>
      <c r="F106" s="261">
        <v>0</v>
      </c>
      <c r="G106" s="261">
        <v>0</v>
      </c>
      <c r="H106" s="261">
        <v>0</v>
      </c>
      <c r="I106" s="261">
        <v>0</v>
      </c>
      <c r="J106" s="261">
        <v>0</v>
      </c>
      <c r="K106" s="262">
        <v>0</v>
      </c>
      <c r="L106" s="261">
        <v>0</v>
      </c>
      <c r="M106" s="261">
        <v>687000</v>
      </c>
      <c r="N106" s="261">
        <v>0</v>
      </c>
      <c r="O106" s="261">
        <v>0</v>
      </c>
      <c r="P106" s="261">
        <v>0</v>
      </c>
      <c r="Q106" s="261">
        <v>0</v>
      </c>
      <c r="R106" s="261">
        <v>0</v>
      </c>
      <c r="S106" s="261">
        <v>0</v>
      </c>
      <c r="T106" s="261">
        <v>0</v>
      </c>
      <c r="U106" s="261">
        <v>0</v>
      </c>
      <c r="V106" s="261">
        <v>0</v>
      </c>
      <c r="W106" s="261">
        <v>0</v>
      </c>
      <c r="X106" s="261">
        <v>0</v>
      </c>
      <c r="Y106" s="261">
        <v>0</v>
      </c>
      <c r="Z106" s="261">
        <v>0</v>
      </c>
      <c r="AA106" s="261">
        <v>0</v>
      </c>
      <c r="AB106" s="263">
        <v>2020</v>
      </c>
    </row>
    <row r="107" spans="1:28" ht="35.25" x14ac:dyDescent="0.5">
      <c r="A107" s="256">
        <v>1</v>
      </c>
      <c r="B107" s="179">
        <f>SUBTOTAL(103,$A$8:A107)</f>
        <v>95</v>
      </c>
      <c r="C107" s="258" t="s">
        <v>1847</v>
      </c>
      <c r="D107" s="259">
        <f t="shared" si="9"/>
        <v>1735000</v>
      </c>
      <c r="E107" s="261">
        <v>0</v>
      </c>
      <c r="F107" s="261">
        <v>0</v>
      </c>
      <c r="G107" s="261">
        <v>0</v>
      </c>
      <c r="H107" s="261">
        <v>0</v>
      </c>
      <c r="I107" s="261">
        <v>0</v>
      </c>
      <c r="J107" s="261">
        <v>0</v>
      </c>
      <c r="K107" s="262">
        <v>1</v>
      </c>
      <c r="L107" s="261">
        <v>1735000</v>
      </c>
      <c r="M107" s="261">
        <v>0</v>
      </c>
      <c r="N107" s="261">
        <v>0</v>
      </c>
      <c r="O107" s="261">
        <v>0</v>
      </c>
      <c r="P107" s="261">
        <v>0</v>
      </c>
      <c r="Q107" s="261">
        <v>0</v>
      </c>
      <c r="R107" s="261">
        <v>0</v>
      </c>
      <c r="S107" s="261">
        <v>0</v>
      </c>
      <c r="T107" s="261">
        <v>0</v>
      </c>
      <c r="U107" s="261">
        <v>0</v>
      </c>
      <c r="V107" s="261">
        <v>0</v>
      </c>
      <c r="W107" s="261">
        <v>0</v>
      </c>
      <c r="X107" s="261">
        <v>0</v>
      </c>
      <c r="Y107" s="261">
        <v>0</v>
      </c>
      <c r="Z107" s="261">
        <v>0</v>
      </c>
      <c r="AA107" s="261">
        <v>0</v>
      </c>
      <c r="AB107" s="263">
        <v>2020</v>
      </c>
    </row>
    <row r="108" spans="1:28" ht="35.25" x14ac:dyDescent="0.5">
      <c r="A108" s="256">
        <v>1</v>
      </c>
      <c r="B108" s="179">
        <f>SUBTOTAL(103,$A$8:A108)</f>
        <v>96</v>
      </c>
      <c r="C108" s="258" t="s">
        <v>1848</v>
      </c>
      <c r="D108" s="259">
        <f t="shared" si="9"/>
        <v>340767.6</v>
      </c>
      <c r="E108" s="261">
        <v>0</v>
      </c>
      <c r="F108" s="261">
        <v>0</v>
      </c>
      <c r="G108" s="261">
        <v>0</v>
      </c>
      <c r="H108" s="261">
        <v>0</v>
      </c>
      <c r="I108" s="261">
        <v>0</v>
      </c>
      <c r="J108" s="261">
        <v>0</v>
      </c>
      <c r="K108" s="262">
        <v>0</v>
      </c>
      <c r="L108" s="261">
        <v>0</v>
      </c>
      <c r="M108" s="261">
        <v>0</v>
      </c>
      <c r="N108" s="261">
        <v>0</v>
      </c>
      <c r="O108" s="261">
        <v>340767.6</v>
      </c>
      <c r="P108" s="261">
        <v>0</v>
      </c>
      <c r="Q108" s="261">
        <v>0</v>
      </c>
      <c r="R108" s="261">
        <v>0</v>
      </c>
      <c r="S108" s="261">
        <v>0</v>
      </c>
      <c r="T108" s="261">
        <v>0</v>
      </c>
      <c r="U108" s="261">
        <v>0</v>
      </c>
      <c r="V108" s="261">
        <v>0</v>
      </c>
      <c r="W108" s="261">
        <v>0</v>
      </c>
      <c r="X108" s="261">
        <v>0</v>
      </c>
      <c r="Y108" s="261">
        <v>0</v>
      </c>
      <c r="Z108" s="261">
        <v>0</v>
      </c>
      <c r="AA108" s="261">
        <v>0</v>
      </c>
      <c r="AB108" s="263">
        <v>2020</v>
      </c>
    </row>
    <row r="109" spans="1:28" ht="35.25" x14ac:dyDescent="0.5">
      <c r="A109" s="256">
        <v>1</v>
      </c>
      <c r="B109" s="179">
        <f>SUBTOTAL(103,$A$8:A109)</f>
        <v>97</v>
      </c>
      <c r="C109" s="258" t="s">
        <v>1849</v>
      </c>
      <c r="D109" s="259">
        <f t="shared" si="9"/>
        <v>554000</v>
      </c>
      <c r="E109" s="261">
        <v>0</v>
      </c>
      <c r="F109" s="261">
        <v>0</v>
      </c>
      <c r="G109" s="261">
        <v>0</v>
      </c>
      <c r="H109" s="261">
        <v>0</v>
      </c>
      <c r="I109" s="261">
        <v>0</v>
      </c>
      <c r="J109" s="261">
        <v>0</v>
      </c>
      <c r="K109" s="262">
        <v>0</v>
      </c>
      <c r="L109" s="261">
        <v>0</v>
      </c>
      <c r="M109" s="261">
        <v>554000</v>
      </c>
      <c r="N109" s="261">
        <v>0</v>
      </c>
      <c r="O109" s="261">
        <v>0</v>
      </c>
      <c r="P109" s="261">
        <v>0</v>
      </c>
      <c r="Q109" s="261">
        <v>0</v>
      </c>
      <c r="R109" s="261">
        <v>0</v>
      </c>
      <c r="S109" s="261">
        <v>0</v>
      </c>
      <c r="T109" s="261">
        <v>0</v>
      </c>
      <c r="U109" s="261">
        <v>0</v>
      </c>
      <c r="V109" s="261">
        <v>0</v>
      </c>
      <c r="W109" s="261">
        <v>0</v>
      </c>
      <c r="X109" s="261">
        <v>0</v>
      </c>
      <c r="Y109" s="261">
        <v>0</v>
      </c>
      <c r="Z109" s="261">
        <v>0</v>
      </c>
      <c r="AA109" s="261">
        <v>0</v>
      </c>
      <c r="AB109" s="263">
        <v>2020</v>
      </c>
    </row>
    <row r="110" spans="1:28" ht="35.25" x14ac:dyDescent="0.5">
      <c r="A110" s="256">
        <v>1</v>
      </c>
      <c r="B110" s="179">
        <f>SUBTOTAL(103,$A$8:A110)</f>
        <v>98</v>
      </c>
      <c r="C110" s="258" t="s">
        <v>1850</v>
      </c>
      <c r="D110" s="259">
        <f t="shared" si="9"/>
        <v>169118</v>
      </c>
      <c r="E110" s="261">
        <v>0</v>
      </c>
      <c r="F110" s="261">
        <v>0</v>
      </c>
      <c r="G110" s="261">
        <v>0</v>
      </c>
      <c r="H110" s="261">
        <v>0</v>
      </c>
      <c r="I110" s="261">
        <v>0</v>
      </c>
      <c r="J110" s="261">
        <v>0</v>
      </c>
      <c r="K110" s="262">
        <v>0</v>
      </c>
      <c r="L110" s="261">
        <v>0</v>
      </c>
      <c r="M110" s="261">
        <v>0</v>
      </c>
      <c r="N110" s="261">
        <v>0</v>
      </c>
      <c r="O110" s="261">
        <v>169118</v>
      </c>
      <c r="P110" s="261">
        <v>0</v>
      </c>
      <c r="Q110" s="261">
        <v>0</v>
      </c>
      <c r="R110" s="261">
        <v>0</v>
      </c>
      <c r="S110" s="261">
        <v>0</v>
      </c>
      <c r="T110" s="261">
        <v>0</v>
      </c>
      <c r="U110" s="261">
        <v>0</v>
      </c>
      <c r="V110" s="261">
        <v>0</v>
      </c>
      <c r="W110" s="261">
        <v>0</v>
      </c>
      <c r="X110" s="261">
        <v>0</v>
      </c>
      <c r="Y110" s="261">
        <v>0</v>
      </c>
      <c r="Z110" s="261">
        <v>0</v>
      </c>
      <c r="AA110" s="261">
        <v>0</v>
      </c>
      <c r="AB110" s="263">
        <v>2020</v>
      </c>
    </row>
    <row r="111" spans="1:28" ht="35.25" x14ac:dyDescent="0.5">
      <c r="A111" s="256">
        <v>1</v>
      </c>
      <c r="B111" s="179">
        <f>SUBTOTAL(103,$A$8:A111)</f>
        <v>99</v>
      </c>
      <c r="C111" s="258" t="s">
        <v>1851</v>
      </c>
      <c r="D111" s="259">
        <f t="shared" si="9"/>
        <v>334000</v>
      </c>
      <c r="E111" s="261">
        <v>0</v>
      </c>
      <c r="F111" s="261">
        <v>0</v>
      </c>
      <c r="G111" s="261">
        <v>0</v>
      </c>
      <c r="H111" s="261">
        <v>0</v>
      </c>
      <c r="I111" s="261">
        <v>0</v>
      </c>
      <c r="J111" s="261">
        <v>0</v>
      </c>
      <c r="K111" s="262">
        <v>0</v>
      </c>
      <c r="L111" s="261">
        <v>0</v>
      </c>
      <c r="M111" s="261">
        <v>334000</v>
      </c>
      <c r="N111" s="261">
        <v>0</v>
      </c>
      <c r="O111" s="261">
        <v>0</v>
      </c>
      <c r="P111" s="261">
        <v>0</v>
      </c>
      <c r="Q111" s="261">
        <v>0</v>
      </c>
      <c r="R111" s="261">
        <v>0</v>
      </c>
      <c r="S111" s="261">
        <v>0</v>
      </c>
      <c r="T111" s="261">
        <v>0</v>
      </c>
      <c r="U111" s="261">
        <v>0</v>
      </c>
      <c r="V111" s="261">
        <v>0</v>
      </c>
      <c r="W111" s="261">
        <v>0</v>
      </c>
      <c r="X111" s="261">
        <v>0</v>
      </c>
      <c r="Y111" s="261">
        <v>0</v>
      </c>
      <c r="Z111" s="261">
        <v>0</v>
      </c>
      <c r="AA111" s="261">
        <v>0</v>
      </c>
      <c r="AB111" s="263">
        <v>2020</v>
      </c>
    </row>
    <row r="112" spans="1:28" ht="35.25" x14ac:dyDescent="0.5">
      <c r="A112" s="256">
        <v>1</v>
      </c>
      <c r="B112" s="179">
        <f>SUBTOTAL(103,$A$8:A112)</f>
        <v>100</v>
      </c>
      <c r="C112" s="258" t="s">
        <v>1852</v>
      </c>
      <c r="D112" s="259">
        <f>E112+F112+G112+H112+I112+J112+L112+M112+N112+O112+P112+Q112+R112+S112+T112+U112+V112+W112+X112+Y112+Z112+AA112</f>
        <v>87140.56</v>
      </c>
      <c r="E112" s="261">
        <v>0</v>
      </c>
      <c r="F112" s="261">
        <v>0</v>
      </c>
      <c r="G112" s="261">
        <v>0</v>
      </c>
      <c r="H112" s="261">
        <v>0</v>
      </c>
      <c r="I112" s="261">
        <v>0</v>
      </c>
      <c r="J112" s="261">
        <v>0</v>
      </c>
      <c r="K112" s="262">
        <v>1</v>
      </c>
      <c r="L112" s="261">
        <v>87140.56</v>
      </c>
      <c r="M112" s="261">
        <v>0</v>
      </c>
      <c r="N112" s="261">
        <v>0</v>
      </c>
      <c r="O112" s="261">
        <v>0</v>
      </c>
      <c r="P112" s="261">
        <v>0</v>
      </c>
      <c r="Q112" s="261">
        <v>0</v>
      </c>
      <c r="R112" s="261">
        <v>0</v>
      </c>
      <c r="S112" s="261">
        <v>0</v>
      </c>
      <c r="T112" s="261">
        <v>0</v>
      </c>
      <c r="U112" s="261">
        <v>0</v>
      </c>
      <c r="V112" s="261">
        <v>0</v>
      </c>
      <c r="W112" s="261">
        <v>0</v>
      </c>
      <c r="X112" s="261">
        <v>0</v>
      </c>
      <c r="Y112" s="261">
        <v>0</v>
      </c>
      <c r="Z112" s="261">
        <v>0</v>
      </c>
      <c r="AA112" s="261">
        <v>0</v>
      </c>
      <c r="AB112" s="263">
        <v>2020</v>
      </c>
    </row>
    <row r="113" spans="1:28" ht="35.25" x14ac:dyDescent="0.5">
      <c r="A113" s="256">
        <v>1</v>
      </c>
      <c r="B113" s="179">
        <f>SUBTOTAL(103,$A$8:A113)</f>
        <v>101</v>
      </c>
      <c r="C113" s="258" t="s">
        <v>1853</v>
      </c>
      <c r="D113" s="259">
        <f t="shared" si="9"/>
        <v>107200</v>
      </c>
      <c r="E113" s="261">
        <v>0</v>
      </c>
      <c r="F113" s="261">
        <v>0</v>
      </c>
      <c r="G113" s="261">
        <v>0</v>
      </c>
      <c r="H113" s="261">
        <v>0</v>
      </c>
      <c r="I113" s="261">
        <v>0</v>
      </c>
      <c r="J113" s="261">
        <v>0</v>
      </c>
      <c r="K113" s="262">
        <v>0</v>
      </c>
      <c r="L113" s="261">
        <v>0</v>
      </c>
      <c r="M113" s="261">
        <v>0</v>
      </c>
      <c r="N113" s="261">
        <v>0</v>
      </c>
      <c r="O113" s="261">
        <v>107200</v>
      </c>
      <c r="P113" s="261">
        <v>0</v>
      </c>
      <c r="Q113" s="261">
        <v>0</v>
      </c>
      <c r="R113" s="261">
        <v>0</v>
      </c>
      <c r="S113" s="261">
        <v>0</v>
      </c>
      <c r="T113" s="261">
        <v>0</v>
      </c>
      <c r="U113" s="261">
        <v>0</v>
      </c>
      <c r="V113" s="261">
        <v>0</v>
      </c>
      <c r="W113" s="261">
        <v>0</v>
      </c>
      <c r="X113" s="261">
        <v>0</v>
      </c>
      <c r="Y113" s="261">
        <v>0</v>
      </c>
      <c r="Z113" s="261">
        <v>0</v>
      </c>
      <c r="AA113" s="261">
        <v>0</v>
      </c>
      <c r="AB113" s="263">
        <v>2020</v>
      </c>
    </row>
    <row r="114" spans="1:28" ht="35.25" x14ac:dyDescent="0.5">
      <c r="A114" s="256">
        <v>1</v>
      </c>
      <c r="B114" s="179">
        <f>SUBTOTAL(103,$A$8:A114)</f>
        <v>102</v>
      </c>
      <c r="C114" s="258" t="s">
        <v>1854</v>
      </c>
      <c r="D114" s="259">
        <f t="shared" si="9"/>
        <v>250071</v>
      </c>
      <c r="E114" s="261">
        <v>0</v>
      </c>
      <c r="F114" s="261">
        <v>0</v>
      </c>
      <c r="G114" s="261">
        <v>0</v>
      </c>
      <c r="H114" s="261">
        <v>0</v>
      </c>
      <c r="I114" s="261">
        <v>0</v>
      </c>
      <c r="J114" s="261">
        <v>0</v>
      </c>
      <c r="K114" s="262">
        <v>0</v>
      </c>
      <c r="L114" s="261">
        <v>0</v>
      </c>
      <c r="M114" s="261">
        <v>0</v>
      </c>
      <c r="N114" s="261">
        <v>0</v>
      </c>
      <c r="O114" s="261">
        <v>250071</v>
      </c>
      <c r="P114" s="261">
        <v>0</v>
      </c>
      <c r="Q114" s="261">
        <v>0</v>
      </c>
      <c r="R114" s="261">
        <v>0</v>
      </c>
      <c r="S114" s="261">
        <v>0</v>
      </c>
      <c r="T114" s="261">
        <v>0</v>
      </c>
      <c r="U114" s="261">
        <v>0</v>
      </c>
      <c r="V114" s="261">
        <v>0</v>
      </c>
      <c r="W114" s="261">
        <v>0</v>
      </c>
      <c r="X114" s="261">
        <v>0</v>
      </c>
      <c r="Y114" s="261">
        <v>0</v>
      </c>
      <c r="Z114" s="261">
        <v>0</v>
      </c>
      <c r="AA114" s="261">
        <v>0</v>
      </c>
      <c r="AB114" s="263">
        <v>2020</v>
      </c>
    </row>
    <row r="115" spans="1:28" ht="35.25" x14ac:dyDescent="0.5">
      <c r="A115" s="256">
        <v>1</v>
      </c>
      <c r="B115" s="179">
        <f>SUBTOTAL(103,$A$8:A115)</f>
        <v>103</v>
      </c>
      <c r="C115" s="258" t="s">
        <v>1855</v>
      </c>
      <c r="D115" s="259">
        <f>E115+F115+G115+H115+I115+J115+L115+M115+N115+O115+P115+Q115+R115+S115+T115+U115+V115+W115+X115+Y115+Z115+AA115</f>
        <v>1715000</v>
      </c>
      <c r="E115" s="261">
        <v>0</v>
      </c>
      <c r="F115" s="261">
        <v>0</v>
      </c>
      <c r="G115" s="261">
        <v>0</v>
      </c>
      <c r="H115" s="261">
        <v>0</v>
      </c>
      <c r="I115" s="261">
        <v>0</v>
      </c>
      <c r="J115" s="261">
        <v>0</v>
      </c>
      <c r="K115" s="262">
        <v>1</v>
      </c>
      <c r="L115" s="261">
        <v>1715000</v>
      </c>
      <c r="M115" s="261">
        <v>0</v>
      </c>
      <c r="N115" s="261">
        <v>0</v>
      </c>
      <c r="O115" s="261">
        <v>0</v>
      </c>
      <c r="P115" s="261">
        <v>0</v>
      </c>
      <c r="Q115" s="261">
        <v>0</v>
      </c>
      <c r="R115" s="261">
        <v>0</v>
      </c>
      <c r="S115" s="261">
        <v>0</v>
      </c>
      <c r="T115" s="261">
        <v>0</v>
      </c>
      <c r="U115" s="261">
        <v>0</v>
      </c>
      <c r="V115" s="261">
        <v>0</v>
      </c>
      <c r="W115" s="261">
        <v>0</v>
      </c>
      <c r="X115" s="261">
        <v>0</v>
      </c>
      <c r="Y115" s="261">
        <v>0</v>
      </c>
      <c r="Z115" s="261">
        <v>0</v>
      </c>
      <c r="AA115" s="261">
        <v>0</v>
      </c>
      <c r="AB115" s="263">
        <v>2020</v>
      </c>
    </row>
    <row r="116" spans="1:28" ht="35.25" x14ac:dyDescent="0.5">
      <c r="B116" s="258" t="s">
        <v>1856</v>
      </c>
      <c r="C116" s="258"/>
      <c r="D116" s="259">
        <f>SUM(D117:D120)</f>
        <v>960389</v>
      </c>
      <c r="E116" s="259">
        <f t="shared" ref="E116:AA116" si="10">SUM(E117:E120)</f>
        <v>0</v>
      </c>
      <c r="F116" s="259">
        <f t="shared" si="10"/>
        <v>0</v>
      </c>
      <c r="G116" s="259">
        <f t="shared" si="10"/>
        <v>0</v>
      </c>
      <c r="H116" s="259">
        <f t="shared" si="10"/>
        <v>0</v>
      </c>
      <c r="I116" s="259">
        <f t="shared" si="10"/>
        <v>914164</v>
      </c>
      <c r="J116" s="259">
        <f t="shared" si="10"/>
        <v>0</v>
      </c>
      <c r="K116" s="259">
        <f t="shared" si="10"/>
        <v>0</v>
      </c>
      <c r="L116" s="259">
        <f t="shared" si="10"/>
        <v>0</v>
      </c>
      <c r="M116" s="259">
        <f t="shared" si="10"/>
        <v>0</v>
      </c>
      <c r="N116" s="259">
        <f t="shared" si="10"/>
        <v>0</v>
      </c>
      <c r="O116" s="259">
        <f t="shared" si="10"/>
        <v>46225</v>
      </c>
      <c r="P116" s="259">
        <f t="shared" si="10"/>
        <v>0</v>
      </c>
      <c r="Q116" s="259">
        <f t="shared" si="10"/>
        <v>0</v>
      </c>
      <c r="R116" s="259">
        <f t="shared" si="10"/>
        <v>0</v>
      </c>
      <c r="S116" s="259">
        <f t="shared" si="10"/>
        <v>0</v>
      </c>
      <c r="T116" s="259">
        <f t="shared" si="10"/>
        <v>0</v>
      </c>
      <c r="U116" s="259">
        <f t="shared" si="10"/>
        <v>0</v>
      </c>
      <c r="V116" s="259">
        <f t="shared" si="10"/>
        <v>0</v>
      </c>
      <c r="W116" s="259">
        <f t="shared" si="10"/>
        <v>0</v>
      </c>
      <c r="X116" s="259">
        <f t="shared" si="10"/>
        <v>0</v>
      </c>
      <c r="Y116" s="259">
        <f t="shared" si="10"/>
        <v>0</v>
      </c>
      <c r="Z116" s="259">
        <f t="shared" si="10"/>
        <v>0</v>
      </c>
      <c r="AA116" s="259">
        <f t="shared" si="10"/>
        <v>0</v>
      </c>
      <c r="AB116" s="260" t="s">
        <v>903</v>
      </c>
    </row>
    <row r="117" spans="1:28" ht="35.25" x14ac:dyDescent="0.5">
      <c r="A117" s="256">
        <v>1</v>
      </c>
      <c r="B117" s="179">
        <f>SUBTOTAL(103,$A$8:A117)</f>
        <v>104</v>
      </c>
      <c r="C117" s="258" t="s">
        <v>1857</v>
      </c>
      <c r="D117" s="259">
        <f t="shared" si="9"/>
        <v>228541</v>
      </c>
      <c r="E117" s="261">
        <v>0</v>
      </c>
      <c r="F117" s="261">
        <v>0</v>
      </c>
      <c r="G117" s="261">
        <v>0</v>
      </c>
      <c r="H117" s="261">
        <v>0</v>
      </c>
      <c r="I117" s="261">
        <v>228541</v>
      </c>
      <c r="J117" s="261">
        <v>0</v>
      </c>
      <c r="K117" s="262">
        <v>0</v>
      </c>
      <c r="L117" s="261">
        <v>0</v>
      </c>
      <c r="M117" s="261">
        <v>0</v>
      </c>
      <c r="N117" s="261">
        <v>0</v>
      </c>
      <c r="O117" s="261">
        <v>0</v>
      </c>
      <c r="P117" s="261">
        <v>0</v>
      </c>
      <c r="Q117" s="261">
        <v>0</v>
      </c>
      <c r="R117" s="261">
        <v>0</v>
      </c>
      <c r="S117" s="261">
        <v>0</v>
      </c>
      <c r="T117" s="261">
        <v>0</v>
      </c>
      <c r="U117" s="261">
        <v>0</v>
      </c>
      <c r="V117" s="261">
        <v>0</v>
      </c>
      <c r="W117" s="261">
        <v>0</v>
      </c>
      <c r="X117" s="261">
        <v>0</v>
      </c>
      <c r="Y117" s="261">
        <v>0</v>
      </c>
      <c r="Z117" s="261">
        <v>0</v>
      </c>
      <c r="AA117" s="261">
        <v>0</v>
      </c>
      <c r="AB117" s="263">
        <v>2020</v>
      </c>
    </row>
    <row r="118" spans="1:28" ht="35.25" x14ac:dyDescent="0.5">
      <c r="A118" s="256">
        <v>1</v>
      </c>
      <c r="B118" s="179">
        <f>SUBTOTAL(103,$A$8:A118)</f>
        <v>105</v>
      </c>
      <c r="C118" s="258" t="s">
        <v>1858</v>
      </c>
      <c r="D118" s="259">
        <f t="shared" si="9"/>
        <v>228541</v>
      </c>
      <c r="E118" s="261">
        <v>0</v>
      </c>
      <c r="F118" s="261">
        <v>0</v>
      </c>
      <c r="G118" s="261">
        <v>0</v>
      </c>
      <c r="H118" s="261">
        <v>0</v>
      </c>
      <c r="I118" s="261">
        <v>228541</v>
      </c>
      <c r="J118" s="261">
        <v>0</v>
      </c>
      <c r="K118" s="262">
        <v>0</v>
      </c>
      <c r="L118" s="261">
        <v>0</v>
      </c>
      <c r="M118" s="261">
        <v>0</v>
      </c>
      <c r="N118" s="261">
        <v>0</v>
      </c>
      <c r="O118" s="261">
        <v>0</v>
      </c>
      <c r="P118" s="261">
        <v>0</v>
      </c>
      <c r="Q118" s="261">
        <v>0</v>
      </c>
      <c r="R118" s="261">
        <v>0</v>
      </c>
      <c r="S118" s="261">
        <v>0</v>
      </c>
      <c r="T118" s="261">
        <v>0</v>
      </c>
      <c r="U118" s="261">
        <v>0</v>
      </c>
      <c r="V118" s="261">
        <v>0</v>
      </c>
      <c r="W118" s="261">
        <v>0</v>
      </c>
      <c r="X118" s="261">
        <v>0</v>
      </c>
      <c r="Y118" s="261">
        <v>0</v>
      </c>
      <c r="Z118" s="261">
        <v>0</v>
      </c>
      <c r="AA118" s="261">
        <v>0</v>
      </c>
      <c r="AB118" s="263">
        <v>2020</v>
      </c>
    </row>
    <row r="119" spans="1:28" ht="35.25" x14ac:dyDescent="0.5">
      <c r="A119" s="256">
        <v>1</v>
      </c>
      <c r="B119" s="179">
        <f>SUBTOTAL(103,$A$8:A119)</f>
        <v>106</v>
      </c>
      <c r="C119" s="258" t="s">
        <v>1859</v>
      </c>
      <c r="D119" s="259">
        <f t="shared" si="9"/>
        <v>274766</v>
      </c>
      <c r="E119" s="261">
        <v>0</v>
      </c>
      <c r="F119" s="261">
        <v>0</v>
      </c>
      <c r="G119" s="261">
        <v>0</v>
      </c>
      <c r="H119" s="261">
        <v>0</v>
      </c>
      <c r="I119" s="261">
        <v>228541</v>
      </c>
      <c r="J119" s="261">
        <v>0</v>
      </c>
      <c r="K119" s="262">
        <v>0</v>
      </c>
      <c r="L119" s="261">
        <v>0</v>
      </c>
      <c r="M119" s="261">
        <v>0</v>
      </c>
      <c r="N119" s="261">
        <v>0</v>
      </c>
      <c r="O119" s="261">
        <v>46225</v>
      </c>
      <c r="P119" s="261">
        <v>0</v>
      </c>
      <c r="Q119" s="261">
        <v>0</v>
      </c>
      <c r="R119" s="261">
        <v>0</v>
      </c>
      <c r="S119" s="261">
        <v>0</v>
      </c>
      <c r="T119" s="261">
        <v>0</v>
      </c>
      <c r="U119" s="261">
        <v>0</v>
      </c>
      <c r="V119" s="261">
        <v>0</v>
      </c>
      <c r="W119" s="261">
        <v>0</v>
      </c>
      <c r="X119" s="261">
        <v>0</v>
      </c>
      <c r="Y119" s="261">
        <v>0</v>
      </c>
      <c r="Z119" s="261">
        <v>0</v>
      </c>
      <c r="AA119" s="261">
        <v>0</v>
      </c>
      <c r="AB119" s="263">
        <v>2020</v>
      </c>
    </row>
    <row r="120" spans="1:28" ht="35.25" x14ac:dyDescent="0.5">
      <c r="A120" s="256">
        <v>1</v>
      </c>
      <c r="B120" s="179">
        <f>SUBTOTAL(103,$A$8:A120)</f>
        <v>107</v>
      </c>
      <c r="C120" s="258" t="s">
        <v>1860</v>
      </c>
      <c r="D120" s="259">
        <f t="shared" si="9"/>
        <v>228541</v>
      </c>
      <c r="E120" s="261">
        <v>0</v>
      </c>
      <c r="F120" s="261">
        <v>0</v>
      </c>
      <c r="G120" s="261">
        <v>0</v>
      </c>
      <c r="H120" s="261">
        <v>0</v>
      </c>
      <c r="I120" s="261">
        <v>228541</v>
      </c>
      <c r="J120" s="261">
        <v>0</v>
      </c>
      <c r="K120" s="262">
        <v>0</v>
      </c>
      <c r="L120" s="261">
        <v>0</v>
      </c>
      <c r="M120" s="261">
        <v>0</v>
      </c>
      <c r="N120" s="261">
        <v>0</v>
      </c>
      <c r="O120" s="261">
        <v>0</v>
      </c>
      <c r="P120" s="261">
        <v>0</v>
      </c>
      <c r="Q120" s="261">
        <v>0</v>
      </c>
      <c r="R120" s="261">
        <v>0</v>
      </c>
      <c r="S120" s="261">
        <v>0</v>
      </c>
      <c r="T120" s="261">
        <v>0</v>
      </c>
      <c r="U120" s="261">
        <v>0</v>
      </c>
      <c r="V120" s="261">
        <v>0</v>
      </c>
      <c r="W120" s="261">
        <v>0</v>
      </c>
      <c r="X120" s="261">
        <v>0</v>
      </c>
      <c r="Y120" s="261">
        <v>0</v>
      </c>
      <c r="Z120" s="261">
        <v>0</v>
      </c>
      <c r="AA120" s="261">
        <v>0</v>
      </c>
      <c r="AB120" s="263">
        <v>2020</v>
      </c>
    </row>
    <row r="121" spans="1:28" ht="35.25" x14ac:dyDescent="0.5">
      <c r="B121" s="258" t="s">
        <v>842</v>
      </c>
      <c r="C121" s="258"/>
      <c r="D121" s="259">
        <f>SUM(D122)</f>
        <v>290394.38</v>
      </c>
      <c r="E121" s="259">
        <f t="shared" ref="E121:AA121" si="11">SUM(E122)</f>
        <v>0</v>
      </c>
      <c r="F121" s="259">
        <f t="shared" si="11"/>
        <v>0</v>
      </c>
      <c r="G121" s="259">
        <f t="shared" si="11"/>
        <v>0</v>
      </c>
      <c r="H121" s="259">
        <f t="shared" si="11"/>
        <v>0</v>
      </c>
      <c r="I121" s="259">
        <f t="shared" si="11"/>
        <v>0</v>
      </c>
      <c r="J121" s="259">
        <f t="shared" si="11"/>
        <v>0</v>
      </c>
      <c r="K121" s="259">
        <f t="shared" si="11"/>
        <v>0</v>
      </c>
      <c r="L121" s="259">
        <f t="shared" si="11"/>
        <v>0</v>
      </c>
      <c r="M121" s="259">
        <f t="shared" si="11"/>
        <v>290394.38</v>
      </c>
      <c r="N121" s="259">
        <f t="shared" si="11"/>
        <v>0</v>
      </c>
      <c r="O121" s="259">
        <f t="shared" si="11"/>
        <v>0</v>
      </c>
      <c r="P121" s="259">
        <f t="shared" si="11"/>
        <v>0</v>
      </c>
      <c r="Q121" s="259">
        <f t="shared" si="11"/>
        <v>0</v>
      </c>
      <c r="R121" s="259">
        <f t="shared" si="11"/>
        <v>0</v>
      </c>
      <c r="S121" s="259">
        <f t="shared" si="11"/>
        <v>0</v>
      </c>
      <c r="T121" s="259">
        <f t="shared" si="11"/>
        <v>0</v>
      </c>
      <c r="U121" s="259">
        <f t="shared" si="11"/>
        <v>0</v>
      </c>
      <c r="V121" s="259">
        <f t="shared" si="11"/>
        <v>0</v>
      </c>
      <c r="W121" s="259">
        <f t="shared" si="11"/>
        <v>0</v>
      </c>
      <c r="X121" s="259">
        <f t="shared" si="11"/>
        <v>0</v>
      </c>
      <c r="Y121" s="259">
        <f t="shared" si="11"/>
        <v>0</v>
      </c>
      <c r="Z121" s="259">
        <f t="shared" si="11"/>
        <v>0</v>
      </c>
      <c r="AA121" s="259">
        <f t="shared" si="11"/>
        <v>0</v>
      </c>
      <c r="AB121" s="260" t="s">
        <v>903</v>
      </c>
    </row>
    <row r="122" spans="1:28" ht="35.25" x14ac:dyDescent="0.5">
      <c r="A122" s="256">
        <v>1</v>
      </c>
      <c r="B122" s="179">
        <f>SUBTOTAL(103,$A$8:A122)</f>
        <v>108</v>
      </c>
      <c r="C122" s="258" t="s">
        <v>1861</v>
      </c>
      <c r="D122" s="259">
        <f t="shared" si="9"/>
        <v>290394.38</v>
      </c>
      <c r="E122" s="261">
        <v>0</v>
      </c>
      <c r="F122" s="261">
        <v>0</v>
      </c>
      <c r="G122" s="261">
        <v>0</v>
      </c>
      <c r="H122" s="261">
        <v>0</v>
      </c>
      <c r="I122" s="261">
        <v>0</v>
      </c>
      <c r="J122" s="261">
        <v>0</v>
      </c>
      <c r="K122" s="262">
        <v>0</v>
      </c>
      <c r="L122" s="261">
        <v>0</v>
      </c>
      <c r="M122" s="261">
        <v>290394.38</v>
      </c>
      <c r="N122" s="261">
        <v>0</v>
      </c>
      <c r="O122" s="261">
        <v>0</v>
      </c>
      <c r="P122" s="261">
        <v>0</v>
      </c>
      <c r="Q122" s="261">
        <v>0</v>
      </c>
      <c r="R122" s="261">
        <v>0</v>
      </c>
      <c r="S122" s="261">
        <v>0</v>
      </c>
      <c r="T122" s="261">
        <v>0</v>
      </c>
      <c r="U122" s="261">
        <v>0</v>
      </c>
      <c r="V122" s="261">
        <v>0</v>
      </c>
      <c r="W122" s="261">
        <v>0</v>
      </c>
      <c r="X122" s="261">
        <v>0</v>
      </c>
      <c r="Y122" s="261">
        <v>0</v>
      </c>
      <c r="Z122" s="261">
        <v>0</v>
      </c>
      <c r="AA122" s="261">
        <v>0</v>
      </c>
      <c r="AB122" s="263">
        <v>2020</v>
      </c>
    </row>
    <row r="123" spans="1:28" ht="35.25" x14ac:dyDescent="0.5">
      <c r="B123" s="258" t="s">
        <v>851</v>
      </c>
      <c r="C123" s="258"/>
      <c r="D123" s="259">
        <f>SUM(D124:D137)</f>
        <v>21928666.43</v>
      </c>
      <c r="E123" s="259">
        <f t="shared" ref="E123:AA123" si="12">SUM(E124:E137)</f>
        <v>0</v>
      </c>
      <c r="F123" s="259">
        <f t="shared" si="12"/>
        <v>0</v>
      </c>
      <c r="G123" s="259">
        <f t="shared" si="12"/>
        <v>0</v>
      </c>
      <c r="H123" s="259">
        <f t="shared" si="12"/>
        <v>0</v>
      </c>
      <c r="I123" s="259">
        <f t="shared" si="12"/>
        <v>1200009.1599999999</v>
      </c>
      <c r="J123" s="259">
        <f t="shared" si="12"/>
        <v>0</v>
      </c>
      <c r="K123" s="259">
        <f t="shared" si="12"/>
        <v>10</v>
      </c>
      <c r="L123" s="259">
        <f t="shared" si="12"/>
        <v>18571829</v>
      </c>
      <c r="M123" s="259">
        <f t="shared" si="12"/>
        <v>1103428.53</v>
      </c>
      <c r="N123" s="259">
        <f t="shared" si="12"/>
        <v>0</v>
      </c>
      <c r="O123" s="259">
        <f t="shared" si="12"/>
        <v>1053399.74</v>
      </c>
      <c r="P123" s="259">
        <f t="shared" si="12"/>
        <v>0</v>
      </c>
      <c r="Q123" s="259">
        <f t="shared" si="12"/>
        <v>0</v>
      </c>
      <c r="R123" s="259">
        <f t="shared" si="12"/>
        <v>0</v>
      </c>
      <c r="S123" s="259">
        <f t="shared" si="12"/>
        <v>0</v>
      </c>
      <c r="T123" s="259">
        <f t="shared" si="12"/>
        <v>0</v>
      </c>
      <c r="U123" s="259">
        <f t="shared" si="12"/>
        <v>0</v>
      </c>
      <c r="V123" s="259">
        <f t="shared" si="12"/>
        <v>0</v>
      </c>
      <c r="W123" s="259">
        <f t="shared" si="12"/>
        <v>0</v>
      </c>
      <c r="X123" s="259">
        <f t="shared" si="12"/>
        <v>0</v>
      </c>
      <c r="Y123" s="259">
        <f t="shared" si="12"/>
        <v>0</v>
      </c>
      <c r="Z123" s="259">
        <f t="shared" si="12"/>
        <v>0</v>
      </c>
      <c r="AA123" s="259">
        <f t="shared" si="12"/>
        <v>0</v>
      </c>
      <c r="AB123" s="260" t="s">
        <v>903</v>
      </c>
    </row>
    <row r="124" spans="1:28" ht="35.25" x14ac:dyDescent="0.5">
      <c r="A124" s="256">
        <v>1</v>
      </c>
      <c r="B124" s="179">
        <f>SUBTOTAL(103,$A$8:A124)</f>
        <v>109</v>
      </c>
      <c r="C124" s="258" t="s">
        <v>1862</v>
      </c>
      <c r="D124" s="259">
        <f t="shared" si="9"/>
        <v>78900</v>
      </c>
      <c r="E124" s="261">
        <v>0</v>
      </c>
      <c r="F124" s="261">
        <v>0</v>
      </c>
      <c r="G124" s="261">
        <v>0</v>
      </c>
      <c r="H124" s="261">
        <v>0</v>
      </c>
      <c r="I124" s="261">
        <v>0</v>
      </c>
      <c r="J124" s="261">
        <v>0</v>
      </c>
      <c r="K124" s="262">
        <v>0</v>
      </c>
      <c r="L124" s="261">
        <v>0</v>
      </c>
      <c r="M124" s="261">
        <v>0</v>
      </c>
      <c r="N124" s="261">
        <v>0</v>
      </c>
      <c r="O124" s="261">
        <v>78900</v>
      </c>
      <c r="P124" s="261">
        <v>0</v>
      </c>
      <c r="Q124" s="261">
        <v>0</v>
      </c>
      <c r="R124" s="261">
        <v>0</v>
      </c>
      <c r="S124" s="261">
        <v>0</v>
      </c>
      <c r="T124" s="261">
        <v>0</v>
      </c>
      <c r="U124" s="261">
        <v>0</v>
      </c>
      <c r="V124" s="261">
        <v>0</v>
      </c>
      <c r="W124" s="261">
        <v>0</v>
      </c>
      <c r="X124" s="261">
        <v>0</v>
      </c>
      <c r="Y124" s="261">
        <v>0</v>
      </c>
      <c r="Z124" s="261">
        <v>0</v>
      </c>
      <c r="AA124" s="261">
        <v>0</v>
      </c>
      <c r="AB124" s="263">
        <v>2020</v>
      </c>
    </row>
    <row r="125" spans="1:28" ht="35.25" x14ac:dyDescent="0.5">
      <c r="A125" s="256">
        <v>1</v>
      </c>
      <c r="B125" s="179">
        <f>SUBTOTAL(103,$A$8:A125)</f>
        <v>110</v>
      </c>
      <c r="C125" s="258" t="s">
        <v>1863</v>
      </c>
      <c r="D125" s="259">
        <f t="shared" si="9"/>
        <v>196197</v>
      </c>
      <c r="E125" s="261">
        <v>0</v>
      </c>
      <c r="F125" s="261">
        <v>0</v>
      </c>
      <c r="G125" s="261">
        <v>0</v>
      </c>
      <c r="H125" s="261">
        <v>0</v>
      </c>
      <c r="I125" s="261">
        <v>0</v>
      </c>
      <c r="J125" s="261">
        <v>0</v>
      </c>
      <c r="K125" s="262">
        <v>0</v>
      </c>
      <c r="L125" s="261">
        <v>0</v>
      </c>
      <c r="M125" s="261">
        <v>0</v>
      </c>
      <c r="N125" s="261">
        <v>0</v>
      </c>
      <c r="O125" s="261">
        <v>196197</v>
      </c>
      <c r="P125" s="261">
        <v>0</v>
      </c>
      <c r="Q125" s="261">
        <v>0</v>
      </c>
      <c r="R125" s="261">
        <v>0</v>
      </c>
      <c r="S125" s="261">
        <v>0</v>
      </c>
      <c r="T125" s="261">
        <v>0</v>
      </c>
      <c r="U125" s="261">
        <v>0</v>
      </c>
      <c r="V125" s="261">
        <v>0</v>
      </c>
      <c r="W125" s="261">
        <v>0</v>
      </c>
      <c r="X125" s="261">
        <v>0</v>
      </c>
      <c r="Y125" s="261">
        <v>0</v>
      </c>
      <c r="Z125" s="261">
        <v>0</v>
      </c>
      <c r="AA125" s="261">
        <v>0</v>
      </c>
      <c r="AB125" s="263">
        <v>2020</v>
      </c>
    </row>
    <row r="126" spans="1:28" ht="35.25" x14ac:dyDescent="0.5">
      <c r="A126" s="256">
        <v>2</v>
      </c>
      <c r="B126" s="179">
        <f>SUBTOTAL(103,$A$8:A126)</f>
        <v>111</v>
      </c>
      <c r="C126" s="258" t="s">
        <v>1864</v>
      </c>
      <c r="D126" s="259">
        <f t="shared" si="9"/>
        <v>1200009.1599999999</v>
      </c>
      <c r="E126" s="261">
        <v>0</v>
      </c>
      <c r="F126" s="261">
        <v>0</v>
      </c>
      <c r="G126" s="261">
        <v>0</v>
      </c>
      <c r="H126" s="261">
        <v>0</v>
      </c>
      <c r="I126" s="261">
        <v>1200009.1599999999</v>
      </c>
      <c r="J126" s="261">
        <v>0</v>
      </c>
      <c r="K126" s="262">
        <v>0</v>
      </c>
      <c r="L126" s="261">
        <v>0</v>
      </c>
      <c r="M126" s="261">
        <v>0</v>
      </c>
      <c r="N126" s="261">
        <v>0</v>
      </c>
      <c r="O126" s="261">
        <v>0</v>
      </c>
      <c r="P126" s="261">
        <v>0</v>
      </c>
      <c r="Q126" s="261">
        <v>0</v>
      </c>
      <c r="R126" s="261">
        <v>0</v>
      </c>
      <c r="S126" s="261">
        <v>0</v>
      </c>
      <c r="T126" s="261">
        <v>0</v>
      </c>
      <c r="U126" s="261">
        <v>0</v>
      </c>
      <c r="V126" s="261">
        <v>0</v>
      </c>
      <c r="W126" s="261">
        <v>0</v>
      </c>
      <c r="X126" s="261">
        <v>0</v>
      </c>
      <c r="Y126" s="261">
        <v>0</v>
      </c>
      <c r="Z126" s="261">
        <v>0</v>
      </c>
      <c r="AA126" s="261">
        <v>0</v>
      </c>
      <c r="AB126" s="263">
        <v>2020</v>
      </c>
    </row>
    <row r="127" spans="1:28" ht="35.25" x14ac:dyDescent="0.5">
      <c r="A127" s="256">
        <v>3</v>
      </c>
      <c r="B127" s="179">
        <f>SUBTOTAL(103,$A$8:A127)</f>
        <v>112</v>
      </c>
      <c r="C127" s="258" t="s">
        <v>1865</v>
      </c>
      <c r="D127" s="259">
        <f t="shared" si="9"/>
        <v>132446</v>
      </c>
      <c r="E127" s="261">
        <v>0</v>
      </c>
      <c r="F127" s="261">
        <v>0</v>
      </c>
      <c r="G127" s="261">
        <v>0</v>
      </c>
      <c r="H127" s="261">
        <v>0</v>
      </c>
      <c r="I127" s="261">
        <v>0</v>
      </c>
      <c r="J127" s="261">
        <v>0</v>
      </c>
      <c r="K127" s="262">
        <v>0</v>
      </c>
      <c r="L127" s="261">
        <v>0</v>
      </c>
      <c r="M127" s="261">
        <v>0</v>
      </c>
      <c r="N127" s="261">
        <v>0</v>
      </c>
      <c r="O127" s="261">
        <v>132446</v>
      </c>
      <c r="P127" s="261">
        <v>0</v>
      </c>
      <c r="Q127" s="261">
        <v>0</v>
      </c>
      <c r="R127" s="261">
        <v>0</v>
      </c>
      <c r="S127" s="261">
        <v>0</v>
      </c>
      <c r="T127" s="261">
        <v>0</v>
      </c>
      <c r="U127" s="261">
        <v>0</v>
      </c>
      <c r="V127" s="261">
        <v>0</v>
      </c>
      <c r="W127" s="261">
        <v>0</v>
      </c>
      <c r="X127" s="261">
        <v>0</v>
      </c>
      <c r="Y127" s="261">
        <v>0</v>
      </c>
      <c r="Z127" s="261">
        <v>0</v>
      </c>
      <c r="AA127" s="261">
        <v>0</v>
      </c>
      <c r="AB127" s="263">
        <v>2020</v>
      </c>
    </row>
    <row r="128" spans="1:28" ht="35.25" x14ac:dyDescent="0.5">
      <c r="A128" s="256">
        <v>4</v>
      </c>
      <c r="B128" s="179">
        <f>SUBTOTAL(103,$A$8:A128)</f>
        <v>113</v>
      </c>
      <c r="C128" s="258" t="s">
        <v>1866</v>
      </c>
      <c r="D128" s="259">
        <f t="shared" si="9"/>
        <v>1103428.53</v>
      </c>
      <c r="E128" s="261">
        <v>0</v>
      </c>
      <c r="F128" s="261">
        <v>0</v>
      </c>
      <c r="G128" s="261">
        <v>0</v>
      </c>
      <c r="H128" s="261">
        <v>0</v>
      </c>
      <c r="I128" s="261">
        <v>0</v>
      </c>
      <c r="J128" s="261">
        <v>0</v>
      </c>
      <c r="K128" s="262">
        <v>0</v>
      </c>
      <c r="L128" s="261">
        <v>0</v>
      </c>
      <c r="M128" s="261">
        <v>1103428.53</v>
      </c>
      <c r="N128" s="261">
        <v>0</v>
      </c>
      <c r="O128" s="261">
        <v>0</v>
      </c>
      <c r="P128" s="261">
        <v>0</v>
      </c>
      <c r="Q128" s="261">
        <v>0</v>
      </c>
      <c r="R128" s="261">
        <v>0</v>
      </c>
      <c r="S128" s="261">
        <v>0</v>
      </c>
      <c r="T128" s="261">
        <v>0</v>
      </c>
      <c r="U128" s="261">
        <v>0</v>
      </c>
      <c r="V128" s="261">
        <v>0</v>
      </c>
      <c r="W128" s="261">
        <v>0</v>
      </c>
      <c r="X128" s="261">
        <v>0</v>
      </c>
      <c r="Y128" s="261">
        <v>0</v>
      </c>
      <c r="Z128" s="261">
        <v>0</v>
      </c>
      <c r="AA128" s="261">
        <v>0</v>
      </c>
      <c r="AB128" s="263">
        <v>2020</v>
      </c>
    </row>
    <row r="129" spans="1:28" ht="35.25" x14ac:dyDescent="0.5">
      <c r="A129" s="256">
        <v>5</v>
      </c>
      <c r="B129" s="179">
        <f>SUBTOTAL(103,$A$8:A129)</f>
        <v>114</v>
      </c>
      <c r="C129" s="258" t="s">
        <v>1867</v>
      </c>
      <c r="D129" s="259">
        <f t="shared" si="9"/>
        <v>270448.74</v>
      </c>
      <c r="E129" s="261">
        <v>0</v>
      </c>
      <c r="F129" s="261">
        <v>0</v>
      </c>
      <c r="G129" s="261">
        <v>0</v>
      </c>
      <c r="H129" s="261">
        <v>0</v>
      </c>
      <c r="I129" s="261">
        <v>0</v>
      </c>
      <c r="J129" s="261">
        <v>0</v>
      </c>
      <c r="K129" s="262">
        <v>0</v>
      </c>
      <c r="L129" s="261">
        <v>0</v>
      </c>
      <c r="M129" s="261">
        <v>0</v>
      </c>
      <c r="N129" s="261">
        <v>0</v>
      </c>
      <c r="O129" s="261">
        <v>270448.74</v>
      </c>
      <c r="P129" s="261">
        <v>0</v>
      </c>
      <c r="Q129" s="261">
        <v>0</v>
      </c>
      <c r="R129" s="261">
        <v>0</v>
      </c>
      <c r="S129" s="261">
        <v>0</v>
      </c>
      <c r="T129" s="261">
        <v>0</v>
      </c>
      <c r="U129" s="261">
        <v>0</v>
      </c>
      <c r="V129" s="261">
        <v>0</v>
      </c>
      <c r="W129" s="261">
        <v>0</v>
      </c>
      <c r="X129" s="261">
        <v>0</v>
      </c>
      <c r="Y129" s="261">
        <v>0</v>
      </c>
      <c r="Z129" s="261">
        <v>0</v>
      </c>
      <c r="AA129" s="261">
        <v>0</v>
      </c>
      <c r="AB129" s="263">
        <v>2020</v>
      </c>
    </row>
    <row r="130" spans="1:28" ht="35.25" x14ac:dyDescent="0.5">
      <c r="A130" s="256">
        <v>6</v>
      </c>
      <c r="B130" s="179">
        <f>SUBTOTAL(103,$A$8:A130)</f>
        <v>115</v>
      </c>
      <c r="C130" s="258" t="s">
        <v>1868</v>
      </c>
      <c r="D130" s="259">
        <f t="shared" si="9"/>
        <v>375408</v>
      </c>
      <c r="E130" s="261">
        <v>0</v>
      </c>
      <c r="F130" s="261">
        <v>0</v>
      </c>
      <c r="G130" s="261">
        <v>0</v>
      </c>
      <c r="H130" s="261">
        <v>0</v>
      </c>
      <c r="I130" s="261">
        <v>0</v>
      </c>
      <c r="J130" s="261">
        <v>0</v>
      </c>
      <c r="K130" s="262">
        <v>0</v>
      </c>
      <c r="L130" s="261">
        <v>0</v>
      </c>
      <c r="M130" s="261">
        <v>0</v>
      </c>
      <c r="N130" s="261">
        <v>0</v>
      </c>
      <c r="O130" s="261">
        <v>375408</v>
      </c>
      <c r="P130" s="261">
        <v>0</v>
      </c>
      <c r="Q130" s="261">
        <v>0</v>
      </c>
      <c r="R130" s="261">
        <v>0</v>
      </c>
      <c r="S130" s="261">
        <v>0</v>
      </c>
      <c r="T130" s="261">
        <v>0</v>
      </c>
      <c r="U130" s="261">
        <v>0</v>
      </c>
      <c r="V130" s="261">
        <v>0</v>
      </c>
      <c r="W130" s="261">
        <v>0</v>
      </c>
      <c r="X130" s="261">
        <v>0</v>
      </c>
      <c r="Y130" s="261">
        <v>0</v>
      </c>
      <c r="Z130" s="261">
        <v>0</v>
      </c>
      <c r="AA130" s="261">
        <v>0</v>
      </c>
      <c r="AB130" s="263">
        <v>2020</v>
      </c>
    </row>
    <row r="131" spans="1:28" ht="35.25" x14ac:dyDescent="0.5">
      <c r="A131" s="256">
        <v>6</v>
      </c>
      <c r="B131" s="179">
        <f>SUBTOTAL(103,$A$8:A131)</f>
        <v>116</v>
      </c>
      <c r="C131" s="258" t="s">
        <v>1869</v>
      </c>
      <c r="D131" s="259">
        <f t="shared" si="9"/>
        <v>2021829</v>
      </c>
      <c r="E131" s="261">
        <v>0</v>
      </c>
      <c r="F131" s="261">
        <v>0</v>
      </c>
      <c r="G131" s="261">
        <v>0</v>
      </c>
      <c r="H131" s="261">
        <v>0</v>
      </c>
      <c r="I131" s="261">
        <v>0</v>
      </c>
      <c r="J131" s="261">
        <v>0</v>
      </c>
      <c r="K131" s="262">
        <v>1</v>
      </c>
      <c r="L131" s="261">
        <v>2021829</v>
      </c>
      <c r="M131" s="261">
        <v>0</v>
      </c>
      <c r="N131" s="261">
        <v>0</v>
      </c>
      <c r="O131" s="261">
        <v>0</v>
      </c>
      <c r="P131" s="261">
        <v>0</v>
      </c>
      <c r="Q131" s="261">
        <v>0</v>
      </c>
      <c r="R131" s="261">
        <v>0</v>
      </c>
      <c r="S131" s="261">
        <v>0</v>
      </c>
      <c r="T131" s="261">
        <v>0</v>
      </c>
      <c r="U131" s="261">
        <v>0</v>
      </c>
      <c r="V131" s="261">
        <v>0</v>
      </c>
      <c r="W131" s="261">
        <v>0</v>
      </c>
      <c r="X131" s="261">
        <v>0</v>
      </c>
      <c r="Y131" s="261">
        <v>0</v>
      </c>
      <c r="Z131" s="261">
        <v>0</v>
      </c>
      <c r="AA131" s="261">
        <v>0</v>
      </c>
      <c r="AB131" s="263">
        <v>2020</v>
      </c>
    </row>
    <row r="132" spans="1:28" ht="35.25" x14ac:dyDescent="0.5">
      <c r="A132" s="256">
        <v>6</v>
      </c>
      <c r="B132" s="179">
        <f>SUBTOTAL(103,$A$8:A132)</f>
        <v>117</v>
      </c>
      <c r="C132" s="258" t="s">
        <v>1870</v>
      </c>
      <c r="D132" s="259">
        <f t="shared" si="9"/>
        <v>1870000</v>
      </c>
      <c r="E132" s="261">
        <v>0</v>
      </c>
      <c r="F132" s="261">
        <v>0</v>
      </c>
      <c r="G132" s="261">
        <v>0</v>
      </c>
      <c r="H132" s="261">
        <v>0</v>
      </c>
      <c r="I132" s="261">
        <v>0</v>
      </c>
      <c r="J132" s="261">
        <v>0</v>
      </c>
      <c r="K132" s="262">
        <v>1</v>
      </c>
      <c r="L132" s="261">
        <v>1870000</v>
      </c>
      <c r="M132" s="261">
        <v>0</v>
      </c>
      <c r="N132" s="261">
        <v>0</v>
      </c>
      <c r="O132" s="261">
        <v>0</v>
      </c>
      <c r="P132" s="261">
        <v>0</v>
      </c>
      <c r="Q132" s="261">
        <v>0</v>
      </c>
      <c r="R132" s="261">
        <v>0</v>
      </c>
      <c r="S132" s="261">
        <v>0</v>
      </c>
      <c r="T132" s="261">
        <v>0</v>
      </c>
      <c r="U132" s="261">
        <v>0</v>
      </c>
      <c r="V132" s="261">
        <v>0</v>
      </c>
      <c r="W132" s="261">
        <v>0</v>
      </c>
      <c r="X132" s="261">
        <v>0</v>
      </c>
      <c r="Y132" s="261">
        <v>0</v>
      </c>
      <c r="Z132" s="261">
        <v>0</v>
      </c>
      <c r="AA132" s="261">
        <v>0</v>
      </c>
      <c r="AB132" s="263">
        <v>2020</v>
      </c>
    </row>
    <row r="133" spans="1:28" ht="35.25" x14ac:dyDescent="0.5">
      <c r="A133" s="256">
        <v>6</v>
      </c>
      <c r="B133" s="179">
        <f>SUBTOTAL(103,$A$8:A133)</f>
        <v>118</v>
      </c>
      <c r="C133" s="258" t="s">
        <v>1871</v>
      </c>
      <c r="D133" s="259">
        <f t="shared" si="9"/>
        <v>1850000</v>
      </c>
      <c r="E133" s="261">
        <v>0</v>
      </c>
      <c r="F133" s="261">
        <v>0</v>
      </c>
      <c r="G133" s="261">
        <v>0</v>
      </c>
      <c r="H133" s="261">
        <v>0</v>
      </c>
      <c r="I133" s="261">
        <v>0</v>
      </c>
      <c r="J133" s="261">
        <v>0</v>
      </c>
      <c r="K133" s="262">
        <v>1</v>
      </c>
      <c r="L133" s="261">
        <v>1850000</v>
      </c>
      <c r="M133" s="261">
        <v>0</v>
      </c>
      <c r="N133" s="261">
        <v>0</v>
      </c>
      <c r="O133" s="261">
        <v>0</v>
      </c>
      <c r="P133" s="261">
        <v>0</v>
      </c>
      <c r="Q133" s="261">
        <v>0</v>
      </c>
      <c r="R133" s="261">
        <v>0</v>
      </c>
      <c r="S133" s="261">
        <v>0</v>
      </c>
      <c r="T133" s="261">
        <v>0</v>
      </c>
      <c r="U133" s="261">
        <v>0</v>
      </c>
      <c r="V133" s="261">
        <v>0</v>
      </c>
      <c r="W133" s="261">
        <v>0</v>
      </c>
      <c r="X133" s="261">
        <v>0</v>
      </c>
      <c r="Y133" s="261">
        <v>0</v>
      </c>
      <c r="Z133" s="261">
        <v>0</v>
      </c>
      <c r="AA133" s="261">
        <v>0</v>
      </c>
      <c r="AB133" s="263">
        <v>2020</v>
      </c>
    </row>
    <row r="134" spans="1:28" ht="35.25" x14ac:dyDescent="0.5">
      <c r="A134" s="256">
        <v>6</v>
      </c>
      <c r="B134" s="179">
        <f>SUBTOTAL(103,$A$8:A134)</f>
        <v>119</v>
      </c>
      <c r="C134" s="258" t="s">
        <v>1872</v>
      </c>
      <c r="D134" s="259">
        <f t="shared" si="9"/>
        <v>1870000</v>
      </c>
      <c r="E134" s="261">
        <v>0</v>
      </c>
      <c r="F134" s="261">
        <v>0</v>
      </c>
      <c r="G134" s="261">
        <v>0</v>
      </c>
      <c r="H134" s="261">
        <v>0</v>
      </c>
      <c r="I134" s="261">
        <v>0</v>
      </c>
      <c r="J134" s="261">
        <v>0</v>
      </c>
      <c r="K134" s="262">
        <v>1</v>
      </c>
      <c r="L134" s="261">
        <v>1870000</v>
      </c>
      <c r="M134" s="261">
        <v>0</v>
      </c>
      <c r="N134" s="261">
        <v>0</v>
      </c>
      <c r="O134" s="261">
        <v>0</v>
      </c>
      <c r="P134" s="261">
        <v>0</v>
      </c>
      <c r="Q134" s="261">
        <v>0</v>
      </c>
      <c r="R134" s="261">
        <v>0</v>
      </c>
      <c r="S134" s="261">
        <v>0</v>
      </c>
      <c r="T134" s="261">
        <v>0</v>
      </c>
      <c r="U134" s="261">
        <v>0</v>
      </c>
      <c r="V134" s="261">
        <v>0</v>
      </c>
      <c r="W134" s="261">
        <v>0</v>
      </c>
      <c r="X134" s="261">
        <v>0</v>
      </c>
      <c r="Y134" s="261">
        <v>0</v>
      </c>
      <c r="Z134" s="261">
        <v>0</v>
      </c>
      <c r="AA134" s="261">
        <v>0</v>
      </c>
      <c r="AB134" s="263">
        <v>2020</v>
      </c>
    </row>
    <row r="135" spans="1:28" ht="35.25" x14ac:dyDescent="0.5">
      <c r="A135" s="256">
        <v>6</v>
      </c>
      <c r="B135" s="179">
        <f>SUBTOTAL(103,$A$8:A135)</f>
        <v>120</v>
      </c>
      <c r="C135" s="258" t="s">
        <v>1873</v>
      </c>
      <c r="D135" s="259">
        <f t="shared" si="9"/>
        <v>1870000</v>
      </c>
      <c r="E135" s="261">
        <v>0</v>
      </c>
      <c r="F135" s="261">
        <v>0</v>
      </c>
      <c r="G135" s="261">
        <v>0</v>
      </c>
      <c r="H135" s="261">
        <v>0</v>
      </c>
      <c r="I135" s="261">
        <v>0</v>
      </c>
      <c r="J135" s="261">
        <v>0</v>
      </c>
      <c r="K135" s="262">
        <v>1</v>
      </c>
      <c r="L135" s="261">
        <v>1870000</v>
      </c>
      <c r="M135" s="261">
        <v>0</v>
      </c>
      <c r="N135" s="261">
        <v>0</v>
      </c>
      <c r="O135" s="261">
        <v>0</v>
      </c>
      <c r="P135" s="261">
        <v>0</v>
      </c>
      <c r="Q135" s="261">
        <v>0</v>
      </c>
      <c r="R135" s="261">
        <v>0</v>
      </c>
      <c r="S135" s="261">
        <v>0</v>
      </c>
      <c r="T135" s="261">
        <v>0</v>
      </c>
      <c r="U135" s="261">
        <v>0</v>
      </c>
      <c r="V135" s="261">
        <v>0</v>
      </c>
      <c r="W135" s="261">
        <v>0</v>
      </c>
      <c r="X135" s="261">
        <v>0</v>
      </c>
      <c r="Y135" s="261">
        <v>0</v>
      </c>
      <c r="Z135" s="261">
        <v>0</v>
      </c>
      <c r="AA135" s="261">
        <v>0</v>
      </c>
      <c r="AB135" s="263">
        <v>2020</v>
      </c>
    </row>
    <row r="136" spans="1:28" ht="35.25" x14ac:dyDescent="0.5">
      <c r="A136" s="256">
        <v>6</v>
      </c>
      <c r="B136" s="179">
        <f>SUBTOTAL(103,$A$8:A136)</f>
        <v>121</v>
      </c>
      <c r="C136" s="258" t="s">
        <v>1874</v>
      </c>
      <c r="D136" s="259">
        <f t="shared" si="9"/>
        <v>5250000</v>
      </c>
      <c r="E136" s="261">
        <v>0</v>
      </c>
      <c r="F136" s="261">
        <v>0</v>
      </c>
      <c r="G136" s="261">
        <v>0</v>
      </c>
      <c r="H136" s="261">
        <v>0</v>
      </c>
      <c r="I136" s="261">
        <v>0</v>
      </c>
      <c r="J136" s="261">
        <v>0</v>
      </c>
      <c r="K136" s="262">
        <v>3</v>
      </c>
      <c r="L136" s="261">
        <v>5250000</v>
      </c>
      <c r="M136" s="261">
        <v>0</v>
      </c>
      <c r="N136" s="261">
        <v>0</v>
      </c>
      <c r="O136" s="261">
        <v>0</v>
      </c>
      <c r="P136" s="261">
        <v>0</v>
      </c>
      <c r="Q136" s="261">
        <v>0</v>
      </c>
      <c r="R136" s="261">
        <v>0</v>
      </c>
      <c r="S136" s="261">
        <v>0</v>
      </c>
      <c r="T136" s="261">
        <v>0</v>
      </c>
      <c r="U136" s="261">
        <v>0</v>
      </c>
      <c r="V136" s="261">
        <v>0</v>
      </c>
      <c r="W136" s="261">
        <v>0</v>
      </c>
      <c r="X136" s="261">
        <v>0</v>
      </c>
      <c r="Y136" s="261">
        <v>0</v>
      </c>
      <c r="Z136" s="261">
        <v>0</v>
      </c>
      <c r="AA136" s="261">
        <v>0</v>
      </c>
      <c r="AB136" s="263">
        <v>2020</v>
      </c>
    </row>
    <row r="137" spans="1:28" ht="35.25" x14ac:dyDescent="0.5">
      <c r="A137" s="256">
        <v>6</v>
      </c>
      <c r="B137" s="179">
        <f>SUBTOTAL(103,$A$8:A137)</f>
        <v>122</v>
      </c>
      <c r="C137" s="258" t="s">
        <v>1875</v>
      </c>
      <c r="D137" s="259">
        <f t="shared" si="9"/>
        <v>3840000</v>
      </c>
      <c r="E137" s="261">
        <v>0</v>
      </c>
      <c r="F137" s="261">
        <v>0</v>
      </c>
      <c r="G137" s="261">
        <v>0</v>
      </c>
      <c r="H137" s="261">
        <v>0</v>
      </c>
      <c r="I137" s="261">
        <v>0</v>
      </c>
      <c r="J137" s="261">
        <v>0</v>
      </c>
      <c r="K137" s="262">
        <v>2</v>
      </c>
      <c r="L137" s="261">
        <v>3840000</v>
      </c>
      <c r="M137" s="261">
        <v>0</v>
      </c>
      <c r="N137" s="261">
        <v>0</v>
      </c>
      <c r="O137" s="261">
        <v>0</v>
      </c>
      <c r="P137" s="261">
        <v>0</v>
      </c>
      <c r="Q137" s="261">
        <v>0</v>
      </c>
      <c r="R137" s="261">
        <v>0</v>
      </c>
      <c r="S137" s="261">
        <v>0</v>
      </c>
      <c r="T137" s="261">
        <v>0</v>
      </c>
      <c r="U137" s="261">
        <v>0</v>
      </c>
      <c r="V137" s="261">
        <v>0</v>
      </c>
      <c r="W137" s="261">
        <v>0</v>
      </c>
      <c r="X137" s="261">
        <v>0</v>
      </c>
      <c r="Y137" s="261">
        <v>0</v>
      </c>
      <c r="Z137" s="261">
        <v>0</v>
      </c>
      <c r="AA137" s="261">
        <v>0</v>
      </c>
      <c r="AB137" s="263">
        <v>2020</v>
      </c>
    </row>
    <row r="138" spans="1:28" ht="35.25" x14ac:dyDescent="0.5">
      <c r="B138" s="258" t="s">
        <v>1062</v>
      </c>
      <c r="C138" s="258"/>
      <c r="D138" s="259">
        <f>SUM(D139:D156)</f>
        <v>11519946.109999999</v>
      </c>
      <c r="E138" s="259">
        <f t="shared" ref="E138:Z138" si="13">SUM(E139:E156)</f>
        <v>0</v>
      </c>
      <c r="F138" s="259">
        <f t="shared" si="13"/>
        <v>446839.2</v>
      </c>
      <c r="G138" s="259">
        <f t="shared" si="13"/>
        <v>513659.9</v>
      </c>
      <c r="H138" s="259">
        <f t="shared" si="13"/>
        <v>281393.73</v>
      </c>
      <c r="I138" s="259">
        <f t="shared" si="13"/>
        <v>347354</v>
      </c>
      <c r="J138" s="259">
        <f t="shared" si="13"/>
        <v>0</v>
      </c>
      <c r="K138" s="259">
        <f t="shared" si="13"/>
        <v>4</v>
      </c>
      <c r="L138" s="259">
        <f t="shared" si="13"/>
        <v>5497028</v>
      </c>
      <c r="M138" s="259">
        <f t="shared" si="13"/>
        <v>3624256.18</v>
      </c>
      <c r="N138" s="259">
        <f t="shared" si="13"/>
        <v>258344.1</v>
      </c>
      <c r="O138" s="259">
        <f t="shared" si="13"/>
        <v>551071</v>
      </c>
      <c r="P138" s="259">
        <f t="shared" si="13"/>
        <v>0</v>
      </c>
      <c r="Q138" s="259">
        <f t="shared" si="13"/>
        <v>0</v>
      </c>
      <c r="R138" s="259">
        <f t="shared" si="13"/>
        <v>0</v>
      </c>
      <c r="S138" s="259">
        <f t="shared" si="13"/>
        <v>0</v>
      </c>
      <c r="T138" s="259">
        <f t="shared" si="13"/>
        <v>0</v>
      </c>
      <c r="U138" s="259">
        <f t="shared" si="13"/>
        <v>0</v>
      </c>
      <c r="V138" s="259">
        <f t="shared" si="13"/>
        <v>0</v>
      </c>
      <c r="W138" s="259">
        <f t="shared" si="13"/>
        <v>0</v>
      </c>
      <c r="X138" s="259">
        <f t="shared" si="13"/>
        <v>0</v>
      </c>
      <c r="Y138" s="259">
        <f t="shared" si="13"/>
        <v>0</v>
      </c>
      <c r="Z138" s="259">
        <f t="shared" si="13"/>
        <v>0</v>
      </c>
      <c r="AA138" s="259">
        <f>SUM(AA139:AA156)</f>
        <v>0</v>
      </c>
      <c r="AB138" s="260" t="s">
        <v>903</v>
      </c>
    </row>
    <row r="139" spans="1:28" ht="35.25" x14ac:dyDescent="0.5">
      <c r="A139" s="256">
        <v>1</v>
      </c>
      <c r="B139" s="179">
        <f>SUBTOTAL(103,$A$8:A139)</f>
        <v>123</v>
      </c>
      <c r="C139" s="258" t="s">
        <v>1876</v>
      </c>
      <c r="D139" s="259">
        <f t="shared" si="9"/>
        <v>446839.2</v>
      </c>
      <c r="E139" s="261">
        <v>0</v>
      </c>
      <c r="F139" s="261">
        <v>446839.2</v>
      </c>
      <c r="G139" s="261">
        <v>0</v>
      </c>
      <c r="H139" s="261">
        <v>0</v>
      </c>
      <c r="I139" s="261">
        <v>0</v>
      </c>
      <c r="J139" s="261">
        <v>0</v>
      </c>
      <c r="K139" s="262">
        <v>0</v>
      </c>
      <c r="L139" s="261">
        <v>0</v>
      </c>
      <c r="M139" s="261">
        <v>0</v>
      </c>
      <c r="N139" s="261">
        <v>0</v>
      </c>
      <c r="O139" s="261">
        <v>0</v>
      </c>
      <c r="P139" s="261">
        <v>0</v>
      </c>
      <c r="Q139" s="261">
        <v>0</v>
      </c>
      <c r="R139" s="261">
        <v>0</v>
      </c>
      <c r="S139" s="261">
        <v>0</v>
      </c>
      <c r="T139" s="261">
        <v>0</v>
      </c>
      <c r="U139" s="261">
        <v>0</v>
      </c>
      <c r="V139" s="261">
        <v>0</v>
      </c>
      <c r="W139" s="261">
        <v>0</v>
      </c>
      <c r="X139" s="261">
        <v>0</v>
      </c>
      <c r="Y139" s="261">
        <v>0</v>
      </c>
      <c r="Z139" s="261">
        <v>0</v>
      </c>
      <c r="AA139" s="261">
        <v>0</v>
      </c>
      <c r="AB139" s="263">
        <v>2020</v>
      </c>
    </row>
    <row r="140" spans="1:28" ht="35.25" x14ac:dyDescent="0.5">
      <c r="A140" s="256">
        <v>1</v>
      </c>
      <c r="B140" s="179">
        <f>SUBTOTAL(103,$A$8:A140)</f>
        <v>124</v>
      </c>
      <c r="C140" s="258" t="s">
        <v>1877</v>
      </c>
      <c r="D140" s="259">
        <f t="shared" si="9"/>
        <v>721387.08</v>
      </c>
      <c r="E140" s="261">
        <v>0</v>
      </c>
      <c r="F140" s="261">
        <v>0</v>
      </c>
      <c r="G140" s="261">
        <v>0</v>
      </c>
      <c r="H140" s="261">
        <v>0</v>
      </c>
      <c r="I140" s="261">
        <v>0</v>
      </c>
      <c r="J140" s="261">
        <v>0</v>
      </c>
      <c r="K140" s="262">
        <v>0</v>
      </c>
      <c r="L140" s="261">
        <v>0</v>
      </c>
      <c r="M140" s="261">
        <v>721387.08</v>
      </c>
      <c r="N140" s="261">
        <v>0</v>
      </c>
      <c r="O140" s="261">
        <v>0</v>
      </c>
      <c r="P140" s="261">
        <v>0</v>
      </c>
      <c r="Q140" s="261">
        <v>0</v>
      </c>
      <c r="R140" s="261">
        <v>0</v>
      </c>
      <c r="S140" s="261">
        <v>0</v>
      </c>
      <c r="T140" s="261">
        <v>0</v>
      </c>
      <c r="U140" s="261">
        <v>0</v>
      </c>
      <c r="V140" s="261">
        <v>0</v>
      </c>
      <c r="W140" s="261">
        <v>0</v>
      </c>
      <c r="X140" s="261">
        <v>0</v>
      </c>
      <c r="Y140" s="261">
        <v>0</v>
      </c>
      <c r="Z140" s="261">
        <v>0</v>
      </c>
      <c r="AA140" s="261">
        <v>0</v>
      </c>
      <c r="AB140" s="263">
        <v>2020</v>
      </c>
    </row>
    <row r="141" spans="1:28" ht="35.25" x14ac:dyDescent="0.5">
      <c r="A141" s="256">
        <v>1</v>
      </c>
      <c r="B141" s="179">
        <f>SUBTOTAL(103,$A$8:A141)</f>
        <v>125</v>
      </c>
      <c r="C141" s="258" t="s">
        <v>1878</v>
      </c>
      <c r="D141" s="259">
        <f t="shared" si="9"/>
        <v>93813.3</v>
      </c>
      <c r="E141" s="261">
        <v>0</v>
      </c>
      <c r="F141" s="261">
        <v>0</v>
      </c>
      <c r="G141" s="261">
        <v>93813.3</v>
      </c>
      <c r="H141" s="261">
        <v>0</v>
      </c>
      <c r="I141" s="261">
        <v>0</v>
      </c>
      <c r="J141" s="261">
        <v>0</v>
      </c>
      <c r="K141" s="262">
        <v>0</v>
      </c>
      <c r="L141" s="261">
        <v>0</v>
      </c>
      <c r="M141" s="261">
        <v>0</v>
      </c>
      <c r="N141" s="261">
        <v>0</v>
      </c>
      <c r="O141" s="261">
        <v>0</v>
      </c>
      <c r="P141" s="261">
        <v>0</v>
      </c>
      <c r="Q141" s="261">
        <v>0</v>
      </c>
      <c r="R141" s="261">
        <v>0</v>
      </c>
      <c r="S141" s="261">
        <v>0</v>
      </c>
      <c r="T141" s="261">
        <v>0</v>
      </c>
      <c r="U141" s="261">
        <v>0</v>
      </c>
      <c r="V141" s="261">
        <v>0</v>
      </c>
      <c r="W141" s="261">
        <v>0</v>
      </c>
      <c r="X141" s="261">
        <v>0</v>
      </c>
      <c r="Y141" s="261">
        <v>0</v>
      </c>
      <c r="Z141" s="261">
        <v>0</v>
      </c>
      <c r="AA141" s="261">
        <v>0</v>
      </c>
      <c r="AB141" s="263">
        <v>2020</v>
      </c>
    </row>
    <row r="142" spans="1:28" ht="35.25" x14ac:dyDescent="0.5">
      <c r="A142" s="256">
        <v>1</v>
      </c>
      <c r="B142" s="179">
        <f>SUBTOTAL(103,$A$8:A142)</f>
        <v>126</v>
      </c>
      <c r="C142" s="258" t="s">
        <v>1879</v>
      </c>
      <c r="D142" s="259">
        <f t="shared" si="9"/>
        <v>1750000</v>
      </c>
      <c r="E142" s="261">
        <v>0</v>
      </c>
      <c r="F142" s="261">
        <v>0</v>
      </c>
      <c r="G142" s="261">
        <v>0</v>
      </c>
      <c r="H142" s="261">
        <v>0</v>
      </c>
      <c r="I142" s="261">
        <v>0</v>
      </c>
      <c r="J142" s="261">
        <v>0</v>
      </c>
      <c r="K142" s="262">
        <v>1</v>
      </c>
      <c r="L142" s="261">
        <v>1750000</v>
      </c>
      <c r="M142" s="261">
        <v>0</v>
      </c>
      <c r="N142" s="261">
        <v>0</v>
      </c>
      <c r="O142" s="261">
        <v>0</v>
      </c>
      <c r="P142" s="261">
        <v>0</v>
      </c>
      <c r="Q142" s="261">
        <v>0</v>
      </c>
      <c r="R142" s="261">
        <v>0</v>
      </c>
      <c r="S142" s="261">
        <v>0</v>
      </c>
      <c r="T142" s="261">
        <v>0</v>
      </c>
      <c r="U142" s="261">
        <v>0</v>
      </c>
      <c r="V142" s="261">
        <v>0</v>
      </c>
      <c r="W142" s="261">
        <v>0</v>
      </c>
      <c r="X142" s="261">
        <v>0</v>
      </c>
      <c r="Y142" s="261">
        <v>0</v>
      </c>
      <c r="Z142" s="261">
        <v>0</v>
      </c>
      <c r="AA142" s="261">
        <v>0</v>
      </c>
      <c r="AB142" s="263">
        <v>2020</v>
      </c>
    </row>
    <row r="143" spans="1:28" ht="35.25" x14ac:dyDescent="0.5">
      <c r="A143" s="256">
        <v>1</v>
      </c>
      <c r="B143" s="179">
        <f>SUBTOTAL(103,$A$8:A143)</f>
        <v>127</v>
      </c>
      <c r="C143" s="258" t="s">
        <v>1880</v>
      </c>
      <c r="D143" s="259">
        <f>E143+F143+G143+H143+I143+J143+L143+M143+N143+O143+P143+Q143+R143+S143+T143+U143+V143+W143+X143+Y143+Z143+AA143</f>
        <v>1832116</v>
      </c>
      <c r="E143" s="261">
        <v>0</v>
      </c>
      <c r="F143" s="261">
        <v>0</v>
      </c>
      <c r="G143" s="261">
        <v>0</v>
      </c>
      <c r="H143" s="261">
        <v>0</v>
      </c>
      <c r="I143" s="261">
        <v>0</v>
      </c>
      <c r="J143" s="261">
        <v>0</v>
      </c>
      <c r="K143" s="262">
        <v>1</v>
      </c>
      <c r="L143" s="261">
        <v>1832116</v>
      </c>
      <c r="M143" s="261">
        <v>0</v>
      </c>
      <c r="N143" s="261">
        <v>0</v>
      </c>
      <c r="O143" s="261">
        <v>0</v>
      </c>
      <c r="P143" s="261">
        <v>0</v>
      </c>
      <c r="Q143" s="261">
        <v>0</v>
      </c>
      <c r="R143" s="261">
        <v>0</v>
      </c>
      <c r="S143" s="261">
        <v>0</v>
      </c>
      <c r="T143" s="261">
        <v>0</v>
      </c>
      <c r="U143" s="261">
        <v>0</v>
      </c>
      <c r="V143" s="261">
        <v>0</v>
      </c>
      <c r="W143" s="261">
        <v>0</v>
      </c>
      <c r="X143" s="261">
        <v>0</v>
      </c>
      <c r="Y143" s="261">
        <v>0</v>
      </c>
      <c r="Z143" s="261">
        <v>0</v>
      </c>
      <c r="AA143" s="261">
        <v>0</v>
      </c>
      <c r="AB143" s="263">
        <v>2020</v>
      </c>
    </row>
    <row r="144" spans="1:28" ht="35.25" x14ac:dyDescent="0.5">
      <c r="A144" s="256">
        <v>1</v>
      </c>
      <c r="B144" s="179">
        <f>SUBTOTAL(103,$A$8:A144)</f>
        <v>128</v>
      </c>
      <c r="C144" s="258" t="s">
        <v>1881</v>
      </c>
      <c r="D144" s="259">
        <f t="shared" si="9"/>
        <v>310860</v>
      </c>
      <c r="E144" s="261">
        <v>0</v>
      </c>
      <c r="F144" s="261">
        <v>0</v>
      </c>
      <c r="G144" s="261">
        <v>0</v>
      </c>
      <c r="H144" s="261">
        <v>0</v>
      </c>
      <c r="I144" s="261">
        <v>0</v>
      </c>
      <c r="J144" s="261">
        <v>0</v>
      </c>
      <c r="K144" s="262">
        <v>0</v>
      </c>
      <c r="L144" s="261">
        <v>0</v>
      </c>
      <c r="M144" s="261">
        <v>0</v>
      </c>
      <c r="N144" s="261">
        <v>0</v>
      </c>
      <c r="O144" s="261">
        <v>310860</v>
      </c>
      <c r="P144" s="261">
        <v>0</v>
      </c>
      <c r="Q144" s="261">
        <v>0</v>
      </c>
      <c r="R144" s="261">
        <v>0</v>
      </c>
      <c r="S144" s="261">
        <v>0</v>
      </c>
      <c r="T144" s="261">
        <v>0</v>
      </c>
      <c r="U144" s="261">
        <v>0</v>
      </c>
      <c r="V144" s="261">
        <v>0</v>
      </c>
      <c r="W144" s="261">
        <v>0</v>
      </c>
      <c r="X144" s="261">
        <v>0</v>
      </c>
      <c r="Y144" s="261">
        <v>0</v>
      </c>
      <c r="Z144" s="261">
        <v>0</v>
      </c>
      <c r="AA144" s="261">
        <v>0</v>
      </c>
      <c r="AB144" s="263">
        <v>2020</v>
      </c>
    </row>
    <row r="145" spans="1:28" ht="35.25" x14ac:dyDescent="0.5">
      <c r="A145" s="256">
        <v>1</v>
      </c>
      <c r="B145" s="179">
        <f>SUBTOTAL(103,$A$8:A145)</f>
        <v>129</v>
      </c>
      <c r="C145" s="258" t="s">
        <v>1882</v>
      </c>
      <c r="D145" s="259">
        <f t="shared" si="9"/>
        <v>89760.6</v>
      </c>
      <c r="E145" s="261">
        <v>0</v>
      </c>
      <c r="F145" s="261">
        <v>0</v>
      </c>
      <c r="G145" s="261">
        <v>89760.6</v>
      </c>
      <c r="H145" s="261">
        <v>0</v>
      </c>
      <c r="I145" s="261">
        <v>0</v>
      </c>
      <c r="J145" s="261">
        <v>0</v>
      </c>
      <c r="K145" s="262">
        <v>0</v>
      </c>
      <c r="L145" s="261">
        <v>0</v>
      </c>
      <c r="M145" s="261">
        <v>0</v>
      </c>
      <c r="N145" s="261">
        <v>0</v>
      </c>
      <c r="O145" s="261">
        <v>0</v>
      </c>
      <c r="P145" s="261">
        <v>0</v>
      </c>
      <c r="Q145" s="261">
        <v>0</v>
      </c>
      <c r="R145" s="261">
        <v>0</v>
      </c>
      <c r="S145" s="261">
        <v>0</v>
      </c>
      <c r="T145" s="261">
        <v>0</v>
      </c>
      <c r="U145" s="261">
        <v>0</v>
      </c>
      <c r="V145" s="261">
        <v>0</v>
      </c>
      <c r="W145" s="261">
        <v>0</v>
      </c>
      <c r="X145" s="261">
        <v>0</v>
      </c>
      <c r="Y145" s="261">
        <v>0</v>
      </c>
      <c r="Z145" s="261">
        <v>0</v>
      </c>
      <c r="AA145" s="261">
        <v>0</v>
      </c>
      <c r="AB145" s="263">
        <v>2020</v>
      </c>
    </row>
    <row r="146" spans="1:28" ht="35.25" x14ac:dyDescent="0.5">
      <c r="A146" s="256">
        <v>1</v>
      </c>
      <c r="B146" s="179">
        <f>SUBTOTAL(103,$A$8:A146)</f>
        <v>130</v>
      </c>
      <c r="C146" s="258" t="s">
        <v>1883</v>
      </c>
      <c r="D146" s="259">
        <f t="shared" si="9"/>
        <v>858000</v>
      </c>
      <c r="E146" s="261">
        <v>0</v>
      </c>
      <c r="F146" s="261">
        <v>0</v>
      </c>
      <c r="G146" s="261">
        <v>0</v>
      </c>
      <c r="H146" s="261">
        <v>0</v>
      </c>
      <c r="I146" s="261">
        <v>0</v>
      </c>
      <c r="J146" s="261">
        <v>0</v>
      </c>
      <c r="K146" s="262">
        <v>0</v>
      </c>
      <c r="L146" s="261">
        <v>0</v>
      </c>
      <c r="M146" s="261">
        <v>858000</v>
      </c>
      <c r="N146" s="261">
        <v>0</v>
      </c>
      <c r="O146" s="261">
        <v>0</v>
      </c>
      <c r="P146" s="261">
        <v>0</v>
      </c>
      <c r="Q146" s="261">
        <v>0</v>
      </c>
      <c r="R146" s="261">
        <v>0</v>
      </c>
      <c r="S146" s="261">
        <v>0</v>
      </c>
      <c r="T146" s="261">
        <v>0</v>
      </c>
      <c r="U146" s="261">
        <v>0</v>
      </c>
      <c r="V146" s="261">
        <v>0</v>
      </c>
      <c r="W146" s="261">
        <v>0</v>
      </c>
      <c r="X146" s="261">
        <v>0</v>
      </c>
      <c r="Y146" s="261">
        <v>0</v>
      </c>
      <c r="Z146" s="261">
        <v>0</v>
      </c>
      <c r="AA146" s="261">
        <v>0</v>
      </c>
      <c r="AB146" s="263">
        <v>2020</v>
      </c>
    </row>
    <row r="147" spans="1:28" ht="35.25" x14ac:dyDescent="0.5">
      <c r="A147" s="256">
        <v>1</v>
      </c>
      <c r="B147" s="179">
        <f>SUBTOTAL(103,$A$8:A147)</f>
        <v>131</v>
      </c>
      <c r="C147" s="258" t="s">
        <v>1884</v>
      </c>
      <c r="D147" s="259">
        <f t="shared" si="9"/>
        <v>258344.1</v>
      </c>
      <c r="E147" s="261">
        <v>0</v>
      </c>
      <c r="F147" s="261">
        <v>0</v>
      </c>
      <c r="G147" s="261">
        <v>0</v>
      </c>
      <c r="H147" s="261">
        <v>0</v>
      </c>
      <c r="I147" s="261">
        <v>0</v>
      </c>
      <c r="J147" s="261">
        <v>0</v>
      </c>
      <c r="K147" s="262">
        <v>0</v>
      </c>
      <c r="L147" s="261">
        <v>0</v>
      </c>
      <c r="M147" s="261">
        <v>0</v>
      </c>
      <c r="N147" s="261">
        <v>258344.1</v>
      </c>
      <c r="O147" s="261">
        <v>0</v>
      </c>
      <c r="P147" s="261">
        <v>0</v>
      </c>
      <c r="Q147" s="261">
        <v>0</v>
      </c>
      <c r="R147" s="261">
        <v>0</v>
      </c>
      <c r="S147" s="261">
        <v>0</v>
      </c>
      <c r="T147" s="261">
        <v>0</v>
      </c>
      <c r="U147" s="261">
        <v>0</v>
      </c>
      <c r="V147" s="261">
        <v>0</v>
      </c>
      <c r="W147" s="261">
        <v>0</v>
      </c>
      <c r="X147" s="261">
        <v>0</v>
      </c>
      <c r="Y147" s="261">
        <v>0</v>
      </c>
      <c r="Z147" s="261">
        <v>0</v>
      </c>
      <c r="AA147" s="261">
        <v>0</v>
      </c>
      <c r="AB147" s="263">
        <v>2020</v>
      </c>
    </row>
    <row r="148" spans="1:28" ht="35.25" x14ac:dyDescent="0.5">
      <c r="A148" s="256">
        <v>1</v>
      </c>
      <c r="B148" s="179">
        <f>SUBTOTAL(103,$A$8:A148)</f>
        <v>132</v>
      </c>
      <c r="C148" s="258" t="s">
        <v>1885</v>
      </c>
      <c r="D148" s="259">
        <f t="shared" si="9"/>
        <v>543814</v>
      </c>
      <c r="E148" s="261">
        <v>0</v>
      </c>
      <c r="F148" s="261">
        <v>0</v>
      </c>
      <c r="G148" s="261">
        <v>0</v>
      </c>
      <c r="H148" s="261">
        <v>0</v>
      </c>
      <c r="I148" s="261">
        <v>0</v>
      </c>
      <c r="J148" s="261">
        <v>0</v>
      </c>
      <c r="K148" s="262">
        <v>0</v>
      </c>
      <c r="L148" s="261">
        <v>0</v>
      </c>
      <c r="M148" s="261">
        <v>543814</v>
      </c>
      <c r="N148" s="261">
        <v>0</v>
      </c>
      <c r="O148" s="261">
        <v>0</v>
      </c>
      <c r="P148" s="261">
        <v>0</v>
      </c>
      <c r="Q148" s="261">
        <v>0</v>
      </c>
      <c r="R148" s="261">
        <v>0</v>
      </c>
      <c r="S148" s="261">
        <v>0</v>
      </c>
      <c r="T148" s="261">
        <v>0</v>
      </c>
      <c r="U148" s="261">
        <v>0</v>
      </c>
      <c r="V148" s="261">
        <v>0</v>
      </c>
      <c r="W148" s="261">
        <v>0</v>
      </c>
      <c r="X148" s="261">
        <v>0</v>
      </c>
      <c r="Y148" s="261">
        <v>0</v>
      </c>
      <c r="Z148" s="261">
        <v>0</v>
      </c>
      <c r="AA148" s="261">
        <v>0</v>
      </c>
      <c r="AB148" s="263">
        <v>2020</v>
      </c>
    </row>
    <row r="149" spans="1:28" ht="35.25" x14ac:dyDescent="0.5">
      <c r="A149" s="256">
        <v>1</v>
      </c>
      <c r="B149" s="179">
        <f>SUBTOTAL(103,$A$8:A149)</f>
        <v>133</v>
      </c>
      <c r="C149" s="258" t="s">
        <v>1886</v>
      </c>
      <c r="D149" s="259">
        <f t="shared" si="9"/>
        <v>417029.1</v>
      </c>
      <c r="E149" s="261">
        <v>0</v>
      </c>
      <c r="F149" s="261">
        <v>0</v>
      </c>
      <c r="G149" s="261">
        <v>0</v>
      </c>
      <c r="H149" s="261">
        <v>0</v>
      </c>
      <c r="I149" s="261">
        <v>0</v>
      </c>
      <c r="J149" s="261">
        <v>0</v>
      </c>
      <c r="K149" s="262">
        <v>0</v>
      </c>
      <c r="L149" s="261">
        <v>0</v>
      </c>
      <c r="M149" s="261">
        <v>417029.1</v>
      </c>
      <c r="N149" s="261">
        <v>0</v>
      </c>
      <c r="O149" s="261">
        <v>0</v>
      </c>
      <c r="P149" s="261">
        <v>0</v>
      </c>
      <c r="Q149" s="261">
        <v>0</v>
      </c>
      <c r="R149" s="261">
        <v>0</v>
      </c>
      <c r="S149" s="261">
        <v>0</v>
      </c>
      <c r="T149" s="261">
        <v>0</v>
      </c>
      <c r="U149" s="261">
        <v>0</v>
      </c>
      <c r="V149" s="261">
        <v>0</v>
      </c>
      <c r="W149" s="261">
        <v>0</v>
      </c>
      <c r="X149" s="261">
        <v>0</v>
      </c>
      <c r="Y149" s="261">
        <v>0</v>
      </c>
      <c r="Z149" s="261">
        <v>0</v>
      </c>
      <c r="AA149" s="261">
        <v>0</v>
      </c>
      <c r="AB149" s="263">
        <v>2020</v>
      </c>
    </row>
    <row r="150" spans="1:28" ht="35.25" x14ac:dyDescent="0.5">
      <c r="A150" s="256">
        <v>1</v>
      </c>
      <c r="B150" s="179">
        <f>SUBTOTAL(103,$A$8:A150)</f>
        <v>134</v>
      </c>
      <c r="C150" s="258" t="s">
        <v>1887</v>
      </c>
      <c r="D150" s="259">
        <f t="shared" si="9"/>
        <v>599108</v>
      </c>
      <c r="E150" s="261">
        <v>0</v>
      </c>
      <c r="F150" s="261">
        <v>0</v>
      </c>
      <c r="G150" s="261">
        <v>0</v>
      </c>
      <c r="H150" s="261">
        <v>125812</v>
      </c>
      <c r="I150" s="261">
        <v>0</v>
      </c>
      <c r="J150" s="261">
        <v>0</v>
      </c>
      <c r="K150" s="262">
        <v>1</v>
      </c>
      <c r="L150" s="261">
        <v>82796</v>
      </c>
      <c r="M150" s="261">
        <v>390500</v>
      </c>
      <c r="N150" s="261">
        <v>0</v>
      </c>
      <c r="O150" s="261">
        <v>0</v>
      </c>
      <c r="P150" s="261">
        <v>0</v>
      </c>
      <c r="Q150" s="261">
        <v>0</v>
      </c>
      <c r="R150" s="261">
        <v>0</v>
      </c>
      <c r="S150" s="261">
        <v>0</v>
      </c>
      <c r="T150" s="261">
        <v>0</v>
      </c>
      <c r="U150" s="261">
        <v>0</v>
      </c>
      <c r="V150" s="261">
        <v>0</v>
      </c>
      <c r="W150" s="261">
        <v>0</v>
      </c>
      <c r="X150" s="261">
        <v>0</v>
      </c>
      <c r="Y150" s="261">
        <v>0</v>
      </c>
      <c r="Z150" s="261">
        <v>0</v>
      </c>
      <c r="AA150" s="261">
        <v>0</v>
      </c>
      <c r="AB150" s="263">
        <v>2020</v>
      </c>
    </row>
    <row r="151" spans="1:28" ht="35.25" x14ac:dyDescent="0.5">
      <c r="A151" s="256">
        <v>1</v>
      </c>
      <c r="B151" s="179">
        <f>SUBTOTAL(103,$A$8:A151)</f>
        <v>135</v>
      </c>
      <c r="C151" s="258" t="s">
        <v>1888</v>
      </c>
      <c r="D151" s="259">
        <f t="shared" si="9"/>
        <v>330086</v>
      </c>
      <c r="E151" s="261">
        <v>0</v>
      </c>
      <c r="F151" s="261">
        <v>0</v>
      </c>
      <c r="G151" s="261">
        <v>330086</v>
      </c>
      <c r="H151" s="261">
        <v>0</v>
      </c>
      <c r="I151" s="261">
        <v>0</v>
      </c>
      <c r="J151" s="261">
        <v>0</v>
      </c>
      <c r="K151" s="262">
        <v>0</v>
      </c>
      <c r="L151" s="261">
        <v>0</v>
      </c>
      <c r="M151" s="261">
        <v>0</v>
      </c>
      <c r="N151" s="261">
        <v>0</v>
      </c>
      <c r="O151" s="261">
        <v>0</v>
      </c>
      <c r="P151" s="261">
        <v>0</v>
      </c>
      <c r="Q151" s="261">
        <v>0</v>
      </c>
      <c r="R151" s="261">
        <v>0</v>
      </c>
      <c r="S151" s="261">
        <v>0</v>
      </c>
      <c r="T151" s="261">
        <v>0</v>
      </c>
      <c r="U151" s="261">
        <v>0</v>
      </c>
      <c r="V151" s="261">
        <v>0</v>
      </c>
      <c r="W151" s="261">
        <v>0</v>
      </c>
      <c r="X151" s="261">
        <v>0</v>
      </c>
      <c r="Y151" s="261">
        <v>0</v>
      </c>
      <c r="Z151" s="261">
        <v>0</v>
      </c>
      <c r="AA151" s="261">
        <v>0</v>
      </c>
      <c r="AB151" s="263">
        <v>2020</v>
      </c>
    </row>
    <row r="152" spans="1:28" ht="35.25" x14ac:dyDescent="0.5">
      <c r="A152" s="256">
        <v>1</v>
      </c>
      <c r="B152" s="179">
        <f>SUBTOTAL(103,$A$8:A152)</f>
        <v>136</v>
      </c>
      <c r="C152" s="258" t="s">
        <v>1889</v>
      </c>
      <c r="D152" s="259">
        <f t="shared" si="9"/>
        <v>693526</v>
      </c>
      <c r="E152" s="261">
        <v>0</v>
      </c>
      <c r="F152" s="261">
        <v>0</v>
      </c>
      <c r="G152" s="261">
        <v>0</v>
      </c>
      <c r="H152" s="261">
        <v>0</v>
      </c>
      <c r="I152" s="261">
        <v>0</v>
      </c>
      <c r="J152" s="261">
        <v>0</v>
      </c>
      <c r="K152" s="262">
        <v>0</v>
      </c>
      <c r="L152" s="261">
        <v>0</v>
      </c>
      <c r="M152" s="261">
        <v>693526</v>
      </c>
      <c r="N152" s="261">
        <v>0</v>
      </c>
      <c r="O152" s="261">
        <v>0</v>
      </c>
      <c r="P152" s="261">
        <v>0</v>
      </c>
      <c r="Q152" s="261">
        <v>0</v>
      </c>
      <c r="R152" s="261">
        <v>0</v>
      </c>
      <c r="S152" s="261">
        <v>0</v>
      </c>
      <c r="T152" s="261">
        <v>0</v>
      </c>
      <c r="U152" s="261">
        <v>0</v>
      </c>
      <c r="V152" s="261">
        <v>0</v>
      </c>
      <c r="W152" s="261">
        <v>0</v>
      </c>
      <c r="X152" s="261">
        <v>0</v>
      </c>
      <c r="Y152" s="261">
        <v>0</v>
      </c>
      <c r="Z152" s="261">
        <v>0</v>
      </c>
      <c r="AA152" s="261">
        <v>0</v>
      </c>
      <c r="AB152" s="263">
        <v>2020</v>
      </c>
    </row>
    <row r="153" spans="1:28" ht="35.25" x14ac:dyDescent="0.5">
      <c r="A153" s="256">
        <v>2</v>
      </c>
      <c r="B153" s="179">
        <f>SUBTOTAL(103,$A$8:A153)</f>
        <v>137</v>
      </c>
      <c r="C153" s="258" t="s">
        <v>1890</v>
      </c>
      <c r="D153" s="259">
        <f>E153+F153+G153+H153+I153+J153+L153+M153+N153+O153+P153+Q153+R153+S153+T153+U153+V153+W153+X153+Y153+Z153+AA153</f>
        <v>347354</v>
      </c>
      <c r="E153" s="261">
        <v>0</v>
      </c>
      <c r="F153" s="261">
        <v>0</v>
      </c>
      <c r="G153" s="261">
        <v>0</v>
      </c>
      <c r="H153" s="261">
        <v>0</v>
      </c>
      <c r="I153" s="261">
        <v>347354</v>
      </c>
      <c r="J153" s="261">
        <v>0</v>
      </c>
      <c r="K153" s="262">
        <v>0</v>
      </c>
      <c r="L153" s="261">
        <v>0</v>
      </c>
      <c r="M153" s="261">
        <v>0</v>
      </c>
      <c r="N153" s="261">
        <v>0</v>
      </c>
      <c r="O153" s="261">
        <v>0</v>
      </c>
      <c r="P153" s="261">
        <v>0</v>
      </c>
      <c r="Q153" s="261">
        <v>0</v>
      </c>
      <c r="R153" s="261">
        <v>0</v>
      </c>
      <c r="S153" s="261">
        <v>0</v>
      </c>
      <c r="T153" s="261">
        <v>0</v>
      </c>
      <c r="U153" s="261">
        <v>0</v>
      </c>
      <c r="V153" s="261">
        <v>0</v>
      </c>
      <c r="W153" s="261">
        <v>0</v>
      </c>
      <c r="X153" s="261">
        <v>0</v>
      </c>
      <c r="Y153" s="261">
        <v>0</v>
      </c>
      <c r="Z153" s="261">
        <v>0</v>
      </c>
      <c r="AA153" s="261">
        <v>0</v>
      </c>
      <c r="AB153" s="263">
        <v>2020</v>
      </c>
    </row>
    <row r="154" spans="1:28" ht="35.25" x14ac:dyDescent="0.5">
      <c r="A154" s="256">
        <v>3</v>
      </c>
      <c r="B154" s="179">
        <f>SUBTOTAL(103,$A$8:A154)</f>
        <v>138</v>
      </c>
      <c r="C154" s="258" t="s">
        <v>1891</v>
      </c>
      <c r="D154" s="259">
        <f>E154+F154+G154+H154+I154+J154+L154+M154+N154+O154+P154+Q154+R154+S154+T154+U154+V154+W154+X154+Y154+Z154+AA154</f>
        <v>1832116</v>
      </c>
      <c r="E154" s="261">
        <v>0</v>
      </c>
      <c r="F154" s="261">
        <v>0</v>
      </c>
      <c r="G154" s="261">
        <v>0</v>
      </c>
      <c r="H154" s="261">
        <v>0</v>
      </c>
      <c r="I154" s="261">
        <v>0</v>
      </c>
      <c r="J154" s="261">
        <v>0</v>
      </c>
      <c r="K154" s="262">
        <v>1</v>
      </c>
      <c r="L154" s="261">
        <v>1832116</v>
      </c>
      <c r="M154" s="261">
        <v>0</v>
      </c>
      <c r="N154" s="261">
        <v>0</v>
      </c>
      <c r="O154" s="261">
        <v>0</v>
      </c>
      <c r="P154" s="261">
        <v>0</v>
      </c>
      <c r="Q154" s="261">
        <v>0</v>
      </c>
      <c r="R154" s="261">
        <v>0</v>
      </c>
      <c r="S154" s="261">
        <v>0</v>
      </c>
      <c r="T154" s="261">
        <v>0</v>
      </c>
      <c r="U154" s="261">
        <v>0</v>
      </c>
      <c r="V154" s="261">
        <v>0</v>
      </c>
      <c r="W154" s="261">
        <v>0</v>
      </c>
      <c r="X154" s="261">
        <v>0</v>
      </c>
      <c r="Y154" s="261">
        <v>0</v>
      </c>
      <c r="Z154" s="261">
        <v>0</v>
      </c>
      <c r="AA154" s="261">
        <v>0</v>
      </c>
      <c r="AB154" s="263">
        <v>2020</v>
      </c>
    </row>
    <row r="155" spans="1:28" ht="35.25" x14ac:dyDescent="0.5">
      <c r="A155" s="256">
        <v>3</v>
      </c>
      <c r="B155" s="179">
        <f>SUBTOTAL(103,$A$8:A155)</f>
        <v>139</v>
      </c>
      <c r="C155" s="258" t="s">
        <v>1892</v>
      </c>
      <c r="D155" s="259">
        <f>E155+F155+G155+H155+I155+J155+L155+M155+N155+O155+P155+Q155+R155+S155+T155+U155+V155+W155+X155+Y155+Z155+AA155</f>
        <v>240211</v>
      </c>
      <c r="E155" s="261">
        <v>0</v>
      </c>
      <c r="F155" s="261">
        <v>0</v>
      </c>
      <c r="G155" s="261">
        <v>0</v>
      </c>
      <c r="H155" s="261">
        <v>0</v>
      </c>
      <c r="I155" s="261">
        <v>0</v>
      </c>
      <c r="J155" s="261">
        <v>0</v>
      </c>
      <c r="K155" s="262">
        <v>0</v>
      </c>
      <c r="L155" s="261">
        <v>0</v>
      </c>
      <c r="M155" s="261">
        <v>0</v>
      </c>
      <c r="N155" s="261">
        <v>0</v>
      </c>
      <c r="O155" s="261">
        <v>240211</v>
      </c>
      <c r="P155" s="261">
        <v>0</v>
      </c>
      <c r="Q155" s="261">
        <v>0</v>
      </c>
      <c r="R155" s="261">
        <v>0</v>
      </c>
      <c r="S155" s="261">
        <v>0</v>
      </c>
      <c r="T155" s="261">
        <v>0</v>
      </c>
      <c r="U155" s="261">
        <v>0</v>
      </c>
      <c r="V155" s="261">
        <v>0</v>
      </c>
      <c r="W155" s="261">
        <v>0</v>
      </c>
      <c r="X155" s="261">
        <v>0</v>
      </c>
      <c r="Y155" s="261">
        <v>0</v>
      </c>
      <c r="Z155" s="261">
        <v>0</v>
      </c>
      <c r="AA155" s="261">
        <v>0</v>
      </c>
      <c r="AB155" s="263">
        <v>2020</v>
      </c>
    </row>
    <row r="156" spans="1:28" ht="35.25" x14ac:dyDescent="0.5">
      <c r="A156" s="256">
        <v>4</v>
      </c>
      <c r="B156" s="179">
        <f>SUBTOTAL(103,$A$8:A156)</f>
        <v>140</v>
      </c>
      <c r="C156" s="258" t="s">
        <v>1893</v>
      </c>
      <c r="D156" s="259">
        <f>E156+F156+G156+H156+I156+J156+L156+M156+N156+O156+P156+Q156+R156+S156+T156+U156+V156+W156+X156+Y156+Z156+AA156</f>
        <v>155581.73000000001</v>
      </c>
      <c r="E156" s="261">
        <v>0</v>
      </c>
      <c r="F156" s="261">
        <v>0</v>
      </c>
      <c r="G156" s="261">
        <v>0</v>
      </c>
      <c r="H156" s="261">
        <v>155581.73000000001</v>
      </c>
      <c r="I156" s="261">
        <v>0</v>
      </c>
      <c r="J156" s="261">
        <v>0</v>
      </c>
      <c r="K156" s="262">
        <v>0</v>
      </c>
      <c r="L156" s="261">
        <v>0</v>
      </c>
      <c r="M156" s="261">
        <v>0</v>
      </c>
      <c r="N156" s="261">
        <v>0</v>
      </c>
      <c r="O156" s="261">
        <v>0</v>
      </c>
      <c r="P156" s="261">
        <v>0</v>
      </c>
      <c r="Q156" s="261">
        <v>0</v>
      </c>
      <c r="R156" s="261">
        <v>0</v>
      </c>
      <c r="S156" s="261">
        <v>0</v>
      </c>
      <c r="T156" s="261">
        <v>0</v>
      </c>
      <c r="U156" s="261">
        <v>0</v>
      </c>
      <c r="V156" s="261">
        <v>0</v>
      </c>
      <c r="W156" s="261">
        <v>0</v>
      </c>
      <c r="X156" s="261">
        <v>0</v>
      </c>
      <c r="Y156" s="261">
        <v>0</v>
      </c>
      <c r="Z156" s="261">
        <v>0</v>
      </c>
      <c r="AA156" s="261">
        <v>0</v>
      </c>
      <c r="AB156" s="263">
        <v>2020</v>
      </c>
    </row>
    <row r="157" spans="1:28" ht="35.25" x14ac:dyDescent="0.5">
      <c r="B157" s="258" t="s">
        <v>866</v>
      </c>
      <c r="C157" s="258"/>
      <c r="D157" s="259">
        <f>SUM(D158:D160)</f>
        <v>104300</v>
      </c>
      <c r="E157" s="259">
        <f t="shared" ref="E157:AA157" si="14">SUM(E158:E160)</f>
        <v>0</v>
      </c>
      <c r="F157" s="259">
        <f t="shared" si="14"/>
        <v>0</v>
      </c>
      <c r="G157" s="259">
        <f t="shared" si="14"/>
        <v>0</v>
      </c>
      <c r="H157" s="259">
        <f t="shared" si="14"/>
        <v>0</v>
      </c>
      <c r="I157" s="259">
        <f t="shared" si="14"/>
        <v>0</v>
      </c>
      <c r="J157" s="259">
        <f t="shared" si="14"/>
        <v>0</v>
      </c>
      <c r="K157" s="259">
        <f t="shared" si="14"/>
        <v>0</v>
      </c>
      <c r="L157" s="259">
        <f t="shared" si="14"/>
        <v>0</v>
      </c>
      <c r="M157" s="259">
        <f t="shared" si="14"/>
        <v>0</v>
      </c>
      <c r="N157" s="259">
        <f t="shared" si="14"/>
        <v>0</v>
      </c>
      <c r="O157" s="259">
        <f t="shared" si="14"/>
        <v>104300</v>
      </c>
      <c r="P157" s="259">
        <f t="shared" si="14"/>
        <v>0</v>
      </c>
      <c r="Q157" s="259">
        <f t="shared" si="14"/>
        <v>0</v>
      </c>
      <c r="R157" s="259">
        <f t="shared" si="14"/>
        <v>0</v>
      </c>
      <c r="S157" s="259">
        <f t="shared" si="14"/>
        <v>0</v>
      </c>
      <c r="T157" s="259">
        <f t="shared" si="14"/>
        <v>0</v>
      </c>
      <c r="U157" s="259">
        <f t="shared" si="14"/>
        <v>0</v>
      </c>
      <c r="V157" s="259">
        <f t="shared" si="14"/>
        <v>0</v>
      </c>
      <c r="W157" s="259">
        <f t="shared" si="14"/>
        <v>0</v>
      </c>
      <c r="X157" s="259">
        <f t="shared" si="14"/>
        <v>0</v>
      </c>
      <c r="Y157" s="259">
        <f t="shared" si="14"/>
        <v>0</v>
      </c>
      <c r="Z157" s="259">
        <f t="shared" si="14"/>
        <v>0</v>
      </c>
      <c r="AA157" s="259">
        <f t="shared" si="14"/>
        <v>0</v>
      </c>
      <c r="AB157" s="260" t="s">
        <v>903</v>
      </c>
    </row>
    <row r="158" spans="1:28" ht="35.25" x14ac:dyDescent="0.5">
      <c r="A158" s="256">
        <v>1</v>
      </c>
      <c r="B158" s="179">
        <f>SUBTOTAL(103,$A$8:A158)</f>
        <v>141</v>
      </c>
      <c r="C158" s="258" t="s">
        <v>1894</v>
      </c>
      <c r="D158" s="259">
        <f t="shared" si="9"/>
        <v>42700</v>
      </c>
      <c r="E158" s="261">
        <v>0</v>
      </c>
      <c r="F158" s="261">
        <v>0</v>
      </c>
      <c r="G158" s="261">
        <v>0</v>
      </c>
      <c r="H158" s="261">
        <v>0</v>
      </c>
      <c r="I158" s="261">
        <v>0</v>
      </c>
      <c r="J158" s="261">
        <v>0</v>
      </c>
      <c r="K158" s="262">
        <v>0</v>
      </c>
      <c r="L158" s="261">
        <v>0</v>
      </c>
      <c r="M158" s="261">
        <v>0</v>
      </c>
      <c r="N158" s="261">
        <v>0</v>
      </c>
      <c r="O158" s="261">
        <v>42700</v>
      </c>
      <c r="P158" s="261">
        <v>0</v>
      </c>
      <c r="Q158" s="261">
        <v>0</v>
      </c>
      <c r="R158" s="261">
        <v>0</v>
      </c>
      <c r="S158" s="261">
        <v>0</v>
      </c>
      <c r="T158" s="261">
        <v>0</v>
      </c>
      <c r="U158" s="261">
        <v>0</v>
      </c>
      <c r="V158" s="261">
        <v>0</v>
      </c>
      <c r="W158" s="261">
        <v>0</v>
      </c>
      <c r="X158" s="261">
        <v>0</v>
      </c>
      <c r="Y158" s="261">
        <v>0</v>
      </c>
      <c r="Z158" s="261">
        <v>0</v>
      </c>
      <c r="AA158" s="261">
        <v>0</v>
      </c>
      <c r="AB158" s="263">
        <v>2020</v>
      </c>
    </row>
    <row r="159" spans="1:28" ht="35.25" x14ac:dyDescent="0.5">
      <c r="A159" s="256">
        <v>1</v>
      </c>
      <c r="B159" s="179">
        <f>SUBTOTAL(103,$A$8:A159)</f>
        <v>142</v>
      </c>
      <c r="C159" s="258" t="s">
        <v>1895</v>
      </c>
      <c r="D159" s="259">
        <f t="shared" si="9"/>
        <v>30800</v>
      </c>
      <c r="E159" s="261">
        <v>0</v>
      </c>
      <c r="F159" s="261">
        <v>0</v>
      </c>
      <c r="G159" s="261">
        <v>0</v>
      </c>
      <c r="H159" s="261">
        <v>0</v>
      </c>
      <c r="I159" s="261">
        <v>0</v>
      </c>
      <c r="J159" s="261">
        <v>0</v>
      </c>
      <c r="K159" s="262">
        <v>0</v>
      </c>
      <c r="L159" s="261">
        <v>0</v>
      </c>
      <c r="M159" s="261">
        <v>0</v>
      </c>
      <c r="N159" s="261">
        <v>0</v>
      </c>
      <c r="O159" s="261">
        <v>30800</v>
      </c>
      <c r="P159" s="261">
        <v>0</v>
      </c>
      <c r="Q159" s="261">
        <v>0</v>
      </c>
      <c r="R159" s="261">
        <v>0</v>
      </c>
      <c r="S159" s="261">
        <v>0</v>
      </c>
      <c r="T159" s="261">
        <v>0</v>
      </c>
      <c r="U159" s="261">
        <v>0</v>
      </c>
      <c r="V159" s="261">
        <v>0</v>
      </c>
      <c r="W159" s="261">
        <v>0</v>
      </c>
      <c r="X159" s="261">
        <v>0</v>
      </c>
      <c r="Y159" s="261">
        <v>0</v>
      </c>
      <c r="Z159" s="261">
        <v>0</v>
      </c>
      <c r="AA159" s="261">
        <v>0</v>
      </c>
      <c r="AB159" s="263">
        <v>2020</v>
      </c>
    </row>
    <row r="160" spans="1:28" ht="35.25" x14ac:dyDescent="0.5">
      <c r="A160" s="256">
        <v>1</v>
      </c>
      <c r="B160" s="179">
        <f>SUBTOTAL(103,$A$8:A160)</f>
        <v>143</v>
      </c>
      <c r="C160" s="258" t="s">
        <v>1896</v>
      </c>
      <c r="D160" s="259">
        <f t="shared" si="9"/>
        <v>30800</v>
      </c>
      <c r="E160" s="261">
        <v>0</v>
      </c>
      <c r="F160" s="261">
        <v>0</v>
      </c>
      <c r="G160" s="261">
        <v>0</v>
      </c>
      <c r="H160" s="261">
        <v>0</v>
      </c>
      <c r="I160" s="261">
        <v>0</v>
      </c>
      <c r="J160" s="261">
        <v>0</v>
      </c>
      <c r="K160" s="262">
        <v>0</v>
      </c>
      <c r="L160" s="261">
        <v>0</v>
      </c>
      <c r="M160" s="261">
        <v>0</v>
      </c>
      <c r="N160" s="261">
        <v>0</v>
      </c>
      <c r="O160" s="261">
        <v>30800</v>
      </c>
      <c r="P160" s="261">
        <v>0</v>
      </c>
      <c r="Q160" s="261">
        <v>0</v>
      </c>
      <c r="R160" s="261">
        <v>0</v>
      </c>
      <c r="S160" s="261">
        <v>0</v>
      </c>
      <c r="T160" s="261">
        <v>0</v>
      </c>
      <c r="U160" s="261">
        <v>0</v>
      </c>
      <c r="V160" s="261">
        <v>0</v>
      </c>
      <c r="W160" s="261">
        <v>0</v>
      </c>
      <c r="X160" s="261">
        <v>0</v>
      </c>
      <c r="Y160" s="261">
        <v>0</v>
      </c>
      <c r="Z160" s="261">
        <v>0</v>
      </c>
      <c r="AA160" s="261">
        <v>0</v>
      </c>
      <c r="AB160" s="263">
        <v>2020</v>
      </c>
    </row>
    <row r="161" spans="1:28" ht="35.25" x14ac:dyDescent="0.5">
      <c r="B161" s="258" t="s">
        <v>865</v>
      </c>
      <c r="C161" s="258"/>
      <c r="D161" s="259">
        <f t="shared" ref="D161:AA161" si="15">SUM(D162:D162)</f>
        <v>85000</v>
      </c>
      <c r="E161" s="259">
        <f t="shared" si="15"/>
        <v>0</v>
      </c>
      <c r="F161" s="259">
        <f t="shared" si="15"/>
        <v>0</v>
      </c>
      <c r="G161" s="259">
        <f t="shared" si="15"/>
        <v>0</v>
      </c>
      <c r="H161" s="259">
        <f t="shared" si="15"/>
        <v>0</v>
      </c>
      <c r="I161" s="259">
        <f t="shared" si="15"/>
        <v>0</v>
      </c>
      <c r="J161" s="259">
        <f t="shared" si="15"/>
        <v>0</v>
      </c>
      <c r="K161" s="259">
        <f t="shared" si="15"/>
        <v>0</v>
      </c>
      <c r="L161" s="259">
        <f t="shared" si="15"/>
        <v>0</v>
      </c>
      <c r="M161" s="259">
        <f t="shared" si="15"/>
        <v>0</v>
      </c>
      <c r="N161" s="259">
        <f t="shared" si="15"/>
        <v>0</v>
      </c>
      <c r="O161" s="259">
        <f t="shared" si="15"/>
        <v>85000</v>
      </c>
      <c r="P161" s="259">
        <f t="shared" si="15"/>
        <v>0</v>
      </c>
      <c r="Q161" s="259">
        <f t="shared" si="15"/>
        <v>0</v>
      </c>
      <c r="R161" s="259">
        <f t="shared" si="15"/>
        <v>0</v>
      </c>
      <c r="S161" s="259">
        <f t="shared" si="15"/>
        <v>0</v>
      </c>
      <c r="T161" s="259">
        <f t="shared" si="15"/>
        <v>0</v>
      </c>
      <c r="U161" s="259">
        <f t="shared" si="15"/>
        <v>0</v>
      </c>
      <c r="V161" s="259">
        <f t="shared" si="15"/>
        <v>0</v>
      </c>
      <c r="W161" s="259">
        <f t="shared" si="15"/>
        <v>0</v>
      </c>
      <c r="X161" s="259">
        <f t="shared" si="15"/>
        <v>0</v>
      </c>
      <c r="Y161" s="259">
        <f t="shared" si="15"/>
        <v>0</v>
      </c>
      <c r="Z161" s="259">
        <f t="shared" si="15"/>
        <v>0</v>
      </c>
      <c r="AA161" s="259">
        <f t="shared" si="15"/>
        <v>0</v>
      </c>
      <c r="AB161" s="260" t="s">
        <v>903</v>
      </c>
    </row>
    <row r="162" spans="1:28" ht="35.25" x14ac:dyDescent="0.5">
      <c r="A162" s="256">
        <v>1</v>
      </c>
      <c r="B162" s="179">
        <f>SUBTOTAL(103,$A$8:A162)</f>
        <v>144</v>
      </c>
      <c r="C162" s="258" t="s">
        <v>1897</v>
      </c>
      <c r="D162" s="259">
        <f t="shared" si="9"/>
        <v>85000</v>
      </c>
      <c r="E162" s="261">
        <v>0</v>
      </c>
      <c r="F162" s="261">
        <v>0</v>
      </c>
      <c r="G162" s="261">
        <v>0</v>
      </c>
      <c r="H162" s="261">
        <v>0</v>
      </c>
      <c r="I162" s="261">
        <v>0</v>
      </c>
      <c r="J162" s="261">
        <v>0</v>
      </c>
      <c r="K162" s="262">
        <v>0</v>
      </c>
      <c r="L162" s="261">
        <v>0</v>
      </c>
      <c r="M162" s="261">
        <v>0</v>
      </c>
      <c r="N162" s="261">
        <v>0</v>
      </c>
      <c r="O162" s="261">
        <v>85000</v>
      </c>
      <c r="P162" s="261">
        <v>0</v>
      </c>
      <c r="Q162" s="261">
        <v>0</v>
      </c>
      <c r="R162" s="261">
        <v>0</v>
      </c>
      <c r="S162" s="261">
        <v>0</v>
      </c>
      <c r="T162" s="261">
        <v>0</v>
      </c>
      <c r="U162" s="261">
        <v>0</v>
      </c>
      <c r="V162" s="261">
        <v>0</v>
      </c>
      <c r="W162" s="261">
        <v>0</v>
      </c>
      <c r="X162" s="261">
        <v>0</v>
      </c>
      <c r="Y162" s="261">
        <v>0</v>
      </c>
      <c r="Z162" s="261">
        <v>0</v>
      </c>
      <c r="AA162" s="261">
        <v>0</v>
      </c>
      <c r="AB162" s="263">
        <v>2020</v>
      </c>
    </row>
    <row r="163" spans="1:28" ht="35.25" x14ac:dyDescent="0.5">
      <c r="B163" s="258" t="s">
        <v>893</v>
      </c>
      <c r="C163" s="258"/>
      <c r="D163" s="259">
        <f>SUM(D164:D165)</f>
        <v>855755</v>
      </c>
      <c r="E163" s="259">
        <f t="shared" ref="E163:AA163" si="16">SUM(E164:E165)</f>
        <v>0</v>
      </c>
      <c r="F163" s="259">
        <f t="shared" si="16"/>
        <v>0</v>
      </c>
      <c r="G163" s="259">
        <f t="shared" si="16"/>
        <v>0</v>
      </c>
      <c r="H163" s="259">
        <f t="shared" si="16"/>
        <v>0</v>
      </c>
      <c r="I163" s="259">
        <f t="shared" si="16"/>
        <v>0</v>
      </c>
      <c r="J163" s="259">
        <f t="shared" si="16"/>
        <v>0</v>
      </c>
      <c r="K163" s="259">
        <f t="shared" si="16"/>
        <v>0</v>
      </c>
      <c r="L163" s="259">
        <f t="shared" si="16"/>
        <v>0</v>
      </c>
      <c r="M163" s="259">
        <f t="shared" si="16"/>
        <v>0</v>
      </c>
      <c r="N163" s="259">
        <f t="shared" si="16"/>
        <v>855755</v>
      </c>
      <c r="O163" s="259">
        <f t="shared" si="16"/>
        <v>0</v>
      </c>
      <c r="P163" s="259">
        <f t="shared" si="16"/>
        <v>0</v>
      </c>
      <c r="Q163" s="259">
        <f t="shared" si="16"/>
        <v>0</v>
      </c>
      <c r="R163" s="259">
        <f t="shared" si="16"/>
        <v>0</v>
      </c>
      <c r="S163" s="259">
        <f t="shared" si="16"/>
        <v>0</v>
      </c>
      <c r="T163" s="259">
        <f t="shared" si="16"/>
        <v>0</v>
      </c>
      <c r="U163" s="259">
        <f t="shared" si="16"/>
        <v>0</v>
      </c>
      <c r="V163" s="259">
        <f t="shared" si="16"/>
        <v>0</v>
      </c>
      <c r="W163" s="259">
        <f t="shared" si="16"/>
        <v>0</v>
      </c>
      <c r="X163" s="259">
        <f t="shared" si="16"/>
        <v>0</v>
      </c>
      <c r="Y163" s="259">
        <f t="shared" si="16"/>
        <v>0</v>
      </c>
      <c r="Z163" s="259">
        <f t="shared" si="16"/>
        <v>0</v>
      </c>
      <c r="AA163" s="259">
        <f t="shared" si="16"/>
        <v>0</v>
      </c>
      <c r="AB163" s="260" t="s">
        <v>903</v>
      </c>
    </row>
    <row r="164" spans="1:28" ht="35.25" x14ac:dyDescent="0.5">
      <c r="A164" s="256">
        <v>1</v>
      </c>
      <c r="B164" s="179">
        <f>SUBTOTAL(103,$A$8:A164)</f>
        <v>145</v>
      </c>
      <c r="C164" s="258" t="s">
        <v>1898</v>
      </c>
      <c r="D164" s="259">
        <f>E164+F164+G164+H164+I164+J164+L164+M164+N164+O164+P164+Q164+R164+S164+T164+U164+V164+W164+X164+Y164+Z164+AA164</f>
        <v>488555</v>
      </c>
      <c r="E164" s="261">
        <v>0</v>
      </c>
      <c r="F164" s="261">
        <v>0</v>
      </c>
      <c r="G164" s="261">
        <v>0</v>
      </c>
      <c r="H164" s="261">
        <v>0</v>
      </c>
      <c r="I164" s="261">
        <v>0</v>
      </c>
      <c r="J164" s="261">
        <v>0</v>
      </c>
      <c r="K164" s="262">
        <v>0</v>
      </c>
      <c r="L164" s="261">
        <v>0</v>
      </c>
      <c r="M164" s="261">
        <v>0</v>
      </c>
      <c r="N164" s="261">
        <v>488555</v>
      </c>
      <c r="O164" s="261">
        <v>0</v>
      </c>
      <c r="P164" s="261">
        <v>0</v>
      </c>
      <c r="Q164" s="261">
        <v>0</v>
      </c>
      <c r="R164" s="261">
        <v>0</v>
      </c>
      <c r="S164" s="261">
        <v>0</v>
      </c>
      <c r="T164" s="261">
        <v>0</v>
      </c>
      <c r="U164" s="261">
        <v>0</v>
      </c>
      <c r="V164" s="261">
        <v>0</v>
      </c>
      <c r="W164" s="261">
        <v>0</v>
      </c>
      <c r="X164" s="261">
        <v>0</v>
      </c>
      <c r="Y164" s="261">
        <v>0</v>
      </c>
      <c r="Z164" s="261">
        <v>0</v>
      </c>
      <c r="AA164" s="261">
        <v>0</v>
      </c>
      <c r="AB164" s="263">
        <v>2020</v>
      </c>
    </row>
    <row r="165" spans="1:28" ht="35.25" x14ac:dyDescent="0.5">
      <c r="A165" s="256">
        <v>1</v>
      </c>
      <c r="B165" s="179">
        <f>SUBTOTAL(103,$A$8:A165)</f>
        <v>146</v>
      </c>
      <c r="C165" s="258" t="s">
        <v>1899</v>
      </c>
      <c r="D165" s="259">
        <f>E165+F165+G165+H165+I165+J165+L165+M165+N165+O165+P165+Q165+R165+S165+T165+U165+V165+W165+X165+Y165+Z165+AA165</f>
        <v>367200</v>
      </c>
      <c r="E165" s="261">
        <v>0</v>
      </c>
      <c r="F165" s="261">
        <v>0</v>
      </c>
      <c r="G165" s="261">
        <v>0</v>
      </c>
      <c r="H165" s="261">
        <v>0</v>
      </c>
      <c r="I165" s="261">
        <v>0</v>
      </c>
      <c r="J165" s="261">
        <v>0</v>
      </c>
      <c r="K165" s="262">
        <v>0</v>
      </c>
      <c r="L165" s="261">
        <v>0</v>
      </c>
      <c r="M165" s="261">
        <v>0</v>
      </c>
      <c r="N165" s="261">
        <v>367200</v>
      </c>
      <c r="O165" s="261">
        <v>0</v>
      </c>
      <c r="P165" s="261">
        <v>0</v>
      </c>
      <c r="Q165" s="261">
        <v>0</v>
      </c>
      <c r="R165" s="261">
        <v>0</v>
      </c>
      <c r="S165" s="261">
        <v>0</v>
      </c>
      <c r="T165" s="261">
        <v>0</v>
      </c>
      <c r="U165" s="261">
        <v>0</v>
      </c>
      <c r="V165" s="261">
        <v>0</v>
      </c>
      <c r="W165" s="261">
        <v>0</v>
      </c>
      <c r="X165" s="261">
        <v>0</v>
      </c>
      <c r="Y165" s="261">
        <v>0</v>
      </c>
      <c r="Z165" s="261">
        <v>0</v>
      </c>
      <c r="AA165" s="261">
        <v>0</v>
      </c>
      <c r="AB165" s="263">
        <v>2020</v>
      </c>
    </row>
  </sheetData>
  <autoFilter ref="A7:AB7"/>
  <mergeCells count="24">
    <mergeCell ref="S3:S4"/>
    <mergeCell ref="A1:AB1"/>
    <mergeCell ref="B2:B5"/>
    <mergeCell ref="C2:C5"/>
    <mergeCell ref="D2:D4"/>
    <mergeCell ref="E2:P2"/>
    <mergeCell ref="Q2:AA2"/>
    <mergeCell ref="AB2:AB5"/>
    <mergeCell ref="E3:J3"/>
    <mergeCell ref="K3:L4"/>
    <mergeCell ref="M3:M4"/>
    <mergeCell ref="N3:N4"/>
    <mergeCell ref="O3:O4"/>
    <mergeCell ref="P3:P4"/>
    <mergeCell ref="Q3:Q4"/>
    <mergeCell ref="R3:R4"/>
    <mergeCell ref="Z3:Z4"/>
    <mergeCell ref="AA3:AA4"/>
    <mergeCell ref="T3:T4"/>
    <mergeCell ref="U3:U4"/>
    <mergeCell ref="V3:V4"/>
    <mergeCell ref="W3:W4"/>
    <mergeCell ref="X3:X4"/>
    <mergeCell ref="Y3:Y4"/>
  </mergeCells>
  <conditionalFormatting sqref="C138:C142 C7:C20 C102 C104 C113:C129 C106:C111 C144:C153 C155:C65537 C26:C27 C47:C100 C29 C31:C32 C34:C38 C40:C43 C45 C22:C24">
    <cfRule type="duplicateValues" dxfId="21" priority="22" stopIfTrue="1"/>
  </conditionalFormatting>
  <conditionalFormatting sqref="C130">
    <cfRule type="duplicateValues" dxfId="20" priority="21" stopIfTrue="1"/>
  </conditionalFormatting>
  <conditionalFormatting sqref="C136">
    <cfRule type="duplicateValues" dxfId="19" priority="20" stopIfTrue="1"/>
  </conditionalFormatting>
  <conditionalFormatting sqref="C135">
    <cfRule type="duplicateValues" dxfId="18" priority="19" stopIfTrue="1"/>
  </conditionalFormatting>
  <conditionalFormatting sqref="C134">
    <cfRule type="duplicateValues" dxfId="17" priority="18" stopIfTrue="1"/>
  </conditionalFormatting>
  <conditionalFormatting sqref="C133">
    <cfRule type="duplicateValues" dxfId="16" priority="17" stopIfTrue="1"/>
  </conditionalFormatting>
  <conditionalFormatting sqref="C132">
    <cfRule type="duplicateValues" dxfId="15" priority="16" stopIfTrue="1"/>
  </conditionalFormatting>
  <conditionalFormatting sqref="C131">
    <cfRule type="duplicateValues" dxfId="14" priority="15" stopIfTrue="1"/>
  </conditionalFormatting>
  <conditionalFormatting sqref="C101">
    <cfRule type="duplicateValues" dxfId="13" priority="14" stopIfTrue="1"/>
  </conditionalFormatting>
  <conditionalFormatting sqref="C103">
    <cfRule type="duplicateValues" dxfId="12" priority="13" stopIfTrue="1"/>
  </conditionalFormatting>
  <conditionalFormatting sqref="C112">
    <cfRule type="duplicateValues" dxfId="11" priority="12" stopIfTrue="1"/>
  </conditionalFormatting>
  <conditionalFormatting sqref="C105">
    <cfRule type="duplicateValues" dxfId="10" priority="11" stopIfTrue="1"/>
  </conditionalFormatting>
  <conditionalFormatting sqref="C143">
    <cfRule type="duplicateValues" dxfId="9" priority="10" stopIfTrue="1"/>
  </conditionalFormatting>
  <conditionalFormatting sqref="C154">
    <cfRule type="duplicateValues" dxfId="8" priority="9" stopIfTrue="1"/>
  </conditionalFormatting>
  <conditionalFormatting sqref="C25">
    <cfRule type="duplicateValues" dxfId="7" priority="8" stopIfTrue="1"/>
  </conditionalFormatting>
  <conditionalFormatting sqref="C46">
    <cfRule type="duplicateValues" dxfId="6" priority="7" stopIfTrue="1"/>
  </conditionalFormatting>
  <conditionalFormatting sqref="C28">
    <cfRule type="duplicateValues" dxfId="5" priority="6" stopIfTrue="1"/>
  </conditionalFormatting>
  <conditionalFormatting sqref="C30">
    <cfRule type="duplicateValues" dxfId="4" priority="5" stopIfTrue="1"/>
  </conditionalFormatting>
  <conditionalFormatting sqref="C33">
    <cfRule type="duplicateValues" dxfId="3" priority="4" stopIfTrue="1"/>
  </conditionalFormatting>
  <conditionalFormatting sqref="C39">
    <cfRule type="duplicateValues" dxfId="2" priority="3" stopIfTrue="1"/>
  </conditionalFormatting>
  <conditionalFormatting sqref="C44">
    <cfRule type="duplicateValues" dxfId="1" priority="2" stopIfTrue="1"/>
  </conditionalFormatting>
  <conditionalFormatting sqref="C21">
    <cfRule type="duplicateValues" dxfId="0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"/>
  <sheetViews>
    <sheetView view="pageBreakPreview" topLeftCell="C1" zoomScale="30" zoomScaleNormal="55" zoomScaleSheetLayoutView="30" workbookViewId="0">
      <selection activeCell="I14" sqref="I14"/>
    </sheetView>
  </sheetViews>
  <sheetFormatPr defaultRowHeight="15" x14ac:dyDescent="0.25"/>
  <cols>
    <col min="1" max="2" width="0" style="230" hidden="1" customWidth="1"/>
    <col min="3" max="3" width="15.7109375" style="230" customWidth="1"/>
    <col min="4" max="4" width="106.85546875" style="230" customWidth="1"/>
    <col min="5" max="5" width="32.28515625" style="230" customWidth="1"/>
    <col min="6" max="6" width="23.7109375" style="230" customWidth="1"/>
    <col min="7" max="7" width="26.42578125" style="230" customWidth="1"/>
    <col min="8" max="8" width="26.5703125" style="230" customWidth="1"/>
    <col min="9" max="9" width="27.85546875" style="230" customWidth="1"/>
    <col min="10" max="10" width="28.140625" style="230" customWidth="1"/>
    <col min="11" max="11" width="24.28515625" style="230" customWidth="1"/>
    <col min="12" max="12" width="13.140625" style="230" customWidth="1"/>
    <col min="13" max="13" width="19.85546875" style="230" customWidth="1"/>
    <col min="14" max="14" width="34.42578125" style="230" customWidth="1"/>
    <col min="15" max="15" width="18.140625" style="230" customWidth="1"/>
    <col min="16" max="16" width="24.7109375" style="230" customWidth="1"/>
    <col min="17" max="17" width="23.28515625" style="230" customWidth="1"/>
    <col min="18" max="18" width="18.42578125" style="230" customWidth="1"/>
    <col min="19" max="19" width="27.85546875" style="230" customWidth="1"/>
    <col min="20" max="20" width="49.42578125" style="230" customWidth="1"/>
    <col min="21" max="21" width="32.140625" style="230" customWidth="1"/>
    <col min="22" max="22" width="22.42578125" style="230" customWidth="1"/>
    <col min="23" max="23" width="33" style="230" customWidth="1"/>
    <col min="24" max="24" width="58.85546875" style="230" customWidth="1"/>
    <col min="25" max="25" width="37.85546875" style="230" customWidth="1"/>
    <col min="26" max="26" width="17.5703125" style="230" customWidth="1"/>
    <col min="27" max="27" width="16.5703125" style="230" customWidth="1"/>
    <col min="28" max="28" width="28.7109375" style="230" customWidth="1"/>
    <col min="29" max="29" width="23.85546875" style="230" customWidth="1"/>
    <col min="30" max="256" width="9.140625" style="230"/>
    <col min="257" max="258" width="0" style="230" hidden="1" customWidth="1"/>
    <col min="259" max="259" width="15.7109375" style="230" customWidth="1"/>
    <col min="260" max="260" width="93.42578125" style="230" customWidth="1"/>
    <col min="261" max="261" width="32.28515625" style="230" customWidth="1"/>
    <col min="262" max="262" width="23.7109375" style="230" customWidth="1"/>
    <col min="263" max="263" width="26.42578125" style="230" customWidth="1"/>
    <col min="264" max="264" width="26.5703125" style="230" customWidth="1"/>
    <col min="265" max="265" width="27.85546875" style="230" customWidth="1"/>
    <col min="266" max="266" width="28.140625" style="230" customWidth="1"/>
    <col min="267" max="267" width="24.28515625" style="230" customWidth="1"/>
    <col min="268" max="268" width="13.140625" style="230" customWidth="1"/>
    <col min="269" max="269" width="19.85546875" style="230" customWidth="1"/>
    <col min="270" max="270" width="34.42578125" style="230" customWidth="1"/>
    <col min="271" max="271" width="18.140625" style="230" customWidth="1"/>
    <col min="272" max="272" width="24.7109375" style="230" customWidth="1"/>
    <col min="273" max="273" width="23.28515625" style="230" customWidth="1"/>
    <col min="274" max="274" width="18.42578125" style="230" customWidth="1"/>
    <col min="275" max="275" width="27.85546875" style="230" customWidth="1"/>
    <col min="276" max="276" width="49.42578125" style="230" customWidth="1"/>
    <col min="277" max="277" width="32.140625" style="230" customWidth="1"/>
    <col min="278" max="278" width="22.42578125" style="230" customWidth="1"/>
    <col min="279" max="279" width="33" style="230" customWidth="1"/>
    <col min="280" max="280" width="58.85546875" style="230" customWidth="1"/>
    <col min="281" max="281" width="37.85546875" style="230" customWidth="1"/>
    <col min="282" max="282" width="17.5703125" style="230" customWidth="1"/>
    <col min="283" max="283" width="16.5703125" style="230" customWidth="1"/>
    <col min="284" max="284" width="28.7109375" style="230" customWidth="1"/>
    <col min="285" max="285" width="23.85546875" style="230" customWidth="1"/>
    <col min="286" max="512" width="9.140625" style="230"/>
    <col min="513" max="514" width="0" style="230" hidden="1" customWidth="1"/>
    <col min="515" max="515" width="15.7109375" style="230" customWidth="1"/>
    <col min="516" max="516" width="93.42578125" style="230" customWidth="1"/>
    <col min="517" max="517" width="32.28515625" style="230" customWidth="1"/>
    <col min="518" max="518" width="23.7109375" style="230" customWidth="1"/>
    <col min="519" max="519" width="26.42578125" style="230" customWidth="1"/>
    <col min="520" max="520" width="26.5703125" style="230" customWidth="1"/>
    <col min="521" max="521" width="27.85546875" style="230" customWidth="1"/>
    <col min="522" max="522" width="28.140625" style="230" customWidth="1"/>
    <col min="523" max="523" width="24.28515625" style="230" customWidth="1"/>
    <col min="524" max="524" width="13.140625" style="230" customWidth="1"/>
    <col min="525" max="525" width="19.85546875" style="230" customWidth="1"/>
    <col min="526" max="526" width="34.42578125" style="230" customWidth="1"/>
    <col min="527" max="527" width="18.140625" style="230" customWidth="1"/>
    <col min="528" max="528" width="24.7109375" style="230" customWidth="1"/>
    <col min="529" max="529" width="23.28515625" style="230" customWidth="1"/>
    <col min="530" max="530" width="18.42578125" style="230" customWidth="1"/>
    <col min="531" max="531" width="27.85546875" style="230" customWidth="1"/>
    <col min="532" max="532" width="49.42578125" style="230" customWidth="1"/>
    <col min="533" max="533" width="32.140625" style="230" customWidth="1"/>
    <col min="534" max="534" width="22.42578125" style="230" customWidth="1"/>
    <col min="535" max="535" width="33" style="230" customWidth="1"/>
    <col min="536" max="536" width="58.85546875" style="230" customWidth="1"/>
    <col min="537" max="537" width="37.85546875" style="230" customWidth="1"/>
    <col min="538" max="538" width="17.5703125" style="230" customWidth="1"/>
    <col min="539" max="539" width="16.5703125" style="230" customWidth="1"/>
    <col min="540" max="540" width="28.7109375" style="230" customWidth="1"/>
    <col min="541" max="541" width="23.85546875" style="230" customWidth="1"/>
    <col min="542" max="768" width="9.140625" style="230"/>
    <col min="769" max="770" width="0" style="230" hidden="1" customWidth="1"/>
    <col min="771" max="771" width="15.7109375" style="230" customWidth="1"/>
    <col min="772" max="772" width="93.42578125" style="230" customWidth="1"/>
    <col min="773" max="773" width="32.28515625" style="230" customWidth="1"/>
    <col min="774" max="774" width="23.7109375" style="230" customWidth="1"/>
    <col min="775" max="775" width="26.42578125" style="230" customWidth="1"/>
    <col min="776" max="776" width="26.5703125" style="230" customWidth="1"/>
    <col min="777" max="777" width="27.85546875" style="230" customWidth="1"/>
    <col min="778" max="778" width="28.140625" style="230" customWidth="1"/>
    <col min="779" max="779" width="24.28515625" style="230" customWidth="1"/>
    <col min="780" max="780" width="13.140625" style="230" customWidth="1"/>
    <col min="781" max="781" width="19.85546875" style="230" customWidth="1"/>
    <col min="782" max="782" width="34.42578125" style="230" customWidth="1"/>
    <col min="783" max="783" width="18.140625" style="230" customWidth="1"/>
    <col min="784" max="784" width="24.7109375" style="230" customWidth="1"/>
    <col min="785" max="785" width="23.28515625" style="230" customWidth="1"/>
    <col min="786" max="786" width="18.42578125" style="230" customWidth="1"/>
    <col min="787" max="787" width="27.85546875" style="230" customWidth="1"/>
    <col min="788" max="788" width="49.42578125" style="230" customWidth="1"/>
    <col min="789" max="789" width="32.140625" style="230" customWidth="1"/>
    <col min="790" max="790" width="22.42578125" style="230" customWidth="1"/>
    <col min="791" max="791" width="33" style="230" customWidth="1"/>
    <col min="792" max="792" width="58.85546875" style="230" customWidth="1"/>
    <col min="793" max="793" width="37.85546875" style="230" customWidth="1"/>
    <col min="794" max="794" width="17.5703125" style="230" customWidth="1"/>
    <col min="795" max="795" width="16.5703125" style="230" customWidth="1"/>
    <col min="796" max="796" width="28.7109375" style="230" customWidth="1"/>
    <col min="797" max="797" width="23.85546875" style="230" customWidth="1"/>
    <col min="798" max="1024" width="9.140625" style="230"/>
    <col min="1025" max="1026" width="0" style="230" hidden="1" customWidth="1"/>
    <col min="1027" max="1027" width="15.7109375" style="230" customWidth="1"/>
    <col min="1028" max="1028" width="93.42578125" style="230" customWidth="1"/>
    <col min="1029" max="1029" width="32.28515625" style="230" customWidth="1"/>
    <col min="1030" max="1030" width="23.7109375" style="230" customWidth="1"/>
    <col min="1031" max="1031" width="26.42578125" style="230" customWidth="1"/>
    <col min="1032" max="1032" width="26.5703125" style="230" customWidth="1"/>
    <col min="1033" max="1033" width="27.85546875" style="230" customWidth="1"/>
    <col min="1034" max="1034" width="28.140625" style="230" customWidth="1"/>
    <col min="1035" max="1035" width="24.28515625" style="230" customWidth="1"/>
    <col min="1036" max="1036" width="13.140625" style="230" customWidth="1"/>
    <col min="1037" max="1037" width="19.85546875" style="230" customWidth="1"/>
    <col min="1038" max="1038" width="34.42578125" style="230" customWidth="1"/>
    <col min="1039" max="1039" width="18.140625" style="230" customWidth="1"/>
    <col min="1040" max="1040" width="24.7109375" style="230" customWidth="1"/>
    <col min="1041" max="1041" width="23.28515625" style="230" customWidth="1"/>
    <col min="1042" max="1042" width="18.42578125" style="230" customWidth="1"/>
    <col min="1043" max="1043" width="27.85546875" style="230" customWidth="1"/>
    <col min="1044" max="1044" width="49.42578125" style="230" customWidth="1"/>
    <col min="1045" max="1045" width="32.140625" style="230" customWidth="1"/>
    <col min="1046" max="1046" width="22.42578125" style="230" customWidth="1"/>
    <col min="1047" max="1047" width="33" style="230" customWidth="1"/>
    <col min="1048" max="1048" width="58.85546875" style="230" customWidth="1"/>
    <col min="1049" max="1049" width="37.85546875" style="230" customWidth="1"/>
    <col min="1050" max="1050" width="17.5703125" style="230" customWidth="1"/>
    <col min="1051" max="1051" width="16.5703125" style="230" customWidth="1"/>
    <col min="1052" max="1052" width="28.7109375" style="230" customWidth="1"/>
    <col min="1053" max="1053" width="23.85546875" style="230" customWidth="1"/>
    <col min="1054" max="1280" width="9.140625" style="230"/>
    <col min="1281" max="1282" width="0" style="230" hidden="1" customWidth="1"/>
    <col min="1283" max="1283" width="15.7109375" style="230" customWidth="1"/>
    <col min="1284" max="1284" width="93.42578125" style="230" customWidth="1"/>
    <col min="1285" max="1285" width="32.28515625" style="230" customWidth="1"/>
    <col min="1286" max="1286" width="23.7109375" style="230" customWidth="1"/>
    <col min="1287" max="1287" width="26.42578125" style="230" customWidth="1"/>
    <col min="1288" max="1288" width="26.5703125" style="230" customWidth="1"/>
    <col min="1289" max="1289" width="27.85546875" style="230" customWidth="1"/>
    <col min="1290" max="1290" width="28.140625" style="230" customWidth="1"/>
    <col min="1291" max="1291" width="24.28515625" style="230" customWidth="1"/>
    <col min="1292" max="1292" width="13.140625" style="230" customWidth="1"/>
    <col min="1293" max="1293" width="19.85546875" style="230" customWidth="1"/>
    <col min="1294" max="1294" width="34.42578125" style="230" customWidth="1"/>
    <col min="1295" max="1295" width="18.140625" style="230" customWidth="1"/>
    <col min="1296" max="1296" width="24.7109375" style="230" customWidth="1"/>
    <col min="1297" max="1297" width="23.28515625" style="230" customWidth="1"/>
    <col min="1298" max="1298" width="18.42578125" style="230" customWidth="1"/>
    <col min="1299" max="1299" width="27.85546875" style="230" customWidth="1"/>
    <col min="1300" max="1300" width="49.42578125" style="230" customWidth="1"/>
    <col min="1301" max="1301" width="32.140625" style="230" customWidth="1"/>
    <col min="1302" max="1302" width="22.42578125" style="230" customWidth="1"/>
    <col min="1303" max="1303" width="33" style="230" customWidth="1"/>
    <col min="1304" max="1304" width="58.85546875" style="230" customWidth="1"/>
    <col min="1305" max="1305" width="37.85546875" style="230" customWidth="1"/>
    <col min="1306" max="1306" width="17.5703125" style="230" customWidth="1"/>
    <col min="1307" max="1307" width="16.5703125" style="230" customWidth="1"/>
    <col min="1308" max="1308" width="28.7109375" style="230" customWidth="1"/>
    <col min="1309" max="1309" width="23.85546875" style="230" customWidth="1"/>
    <col min="1310" max="1536" width="9.140625" style="230"/>
    <col min="1537" max="1538" width="0" style="230" hidden="1" customWidth="1"/>
    <col min="1539" max="1539" width="15.7109375" style="230" customWidth="1"/>
    <col min="1540" max="1540" width="93.42578125" style="230" customWidth="1"/>
    <col min="1541" max="1541" width="32.28515625" style="230" customWidth="1"/>
    <col min="1542" max="1542" width="23.7109375" style="230" customWidth="1"/>
    <col min="1543" max="1543" width="26.42578125" style="230" customWidth="1"/>
    <col min="1544" max="1544" width="26.5703125" style="230" customWidth="1"/>
    <col min="1545" max="1545" width="27.85546875" style="230" customWidth="1"/>
    <col min="1546" max="1546" width="28.140625" style="230" customWidth="1"/>
    <col min="1547" max="1547" width="24.28515625" style="230" customWidth="1"/>
    <col min="1548" max="1548" width="13.140625" style="230" customWidth="1"/>
    <col min="1549" max="1549" width="19.85546875" style="230" customWidth="1"/>
    <col min="1550" max="1550" width="34.42578125" style="230" customWidth="1"/>
    <col min="1551" max="1551" width="18.140625" style="230" customWidth="1"/>
    <col min="1552" max="1552" width="24.7109375" style="230" customWidth="1"/>
    <col min="1553" max="1553" width="23.28515625" style="230" customWidth="1"/>
    <col min="1554" max="1554" width="18.42578125" style="230" customWidth="1"/>
    <col min="1555" max="1555" width="27.85546875" style="230" customWidth="1"/>
    <col min="1556" max="1556" width="49.42578125" style="230" customWidth="1"/>
    <col min="1557" max="1557" width="32.140625" style="230" customWidth="1"/>
    <col min="1558" max="1558" width="22.42578125" style="230" customWidth="1"/>
    <col min="1559" max="1559" width="33" style="230" customWidth="1"/>
    <col min="1560" max="1560" width="58.85546875" style="230" customWidth="1"/>
    <col min="1561" max="1561" width="37.85546875" style="230" customWidth="1"/>
    <col min="1562" max="1562" width="17.5703125" style="230" customWidth="1"/>
    <col min="1563" max="1563" width="16.5703125" style="230" customWidth="1"/>
    <col min="1564" max="1564" width="28.7109375" style="230" customWidth="1"/>
    <col min="1565" max="1565" width="23.85546875" style="230" customWidth="1"/>
    <col min="1566" max="1792" width="9.140625" style="230"/>
    <col min="1793" max="1794" width="0" style="230" hidden="1" customWidth="1"/>
    <col min="1795" max="1795" width="15.7109375" style="230" customWidth="1"/>
    <col min="1796" max="1796" width="93.42578125" style="230" customWidth="1"/>
    <col min="1797" max="1797" width="32.28515625" style="230" customWidth="1"/>
    <col min="1798" max="1798" width="23.7109375" style="230" customWidth="1"/>
    <col min="1799" max="1799" width="26.42578125" style="230" customWidth="1"/>
    <col min="1800" max="1800" width="26.5703125" style="230" customWidth="1"/>
    <col min="1801" max="1801" width="27.85546875" style="230" customWidth="1"/>
    <col min="1802" max="1802" width="28.140625" style="230" customWidth="1"/>
    <col min="1803" max="1803" width="24.28515625" style="230" customWidth="1"/>
    <col min="1804" max="1804" width="13.140625" style="230" customWidth="1"/>
    <col min="1805" max="1805" width="19.85546875" style="230" customWidth="1"/>
    <col min="1806" max="1806" width="34.42578125" style="230" customWidth="1"/>
    <col min="1807" max="1807" width="18.140625" style="230" customWidth="1"/>
    <col min="1808" max="1808" width="24.7109375" style="230" customWidth="1"/>
    <col min="1809" max="1809" width="23.28515625" style="230" customWidth="1"/>
    <col min="1810" max="1810" width="18.42578125" style="230" customWidth="1"/>
    <col min="1811" max="1811" width="27.85546875" style="230" customWidth="1"/>
    <col min="1812" max="1812" width="49.42578125" style="230" customWidth="1"/>
    <col min="1813" max="1813" width="32.140625" style="230" customWidth="1"/>
    <col min="1814" max="1814" width="22.42578125" style="230" customWidth="1"/>
    <col min="1815" max="1815" width="33" style="230" customWidth="1"/>
    <col min="1816" max="1816" width="58.85546875" style="230" customWidth="1"/>
    <col min="1817" max="1817" width="37.85546875" style="230" customWidth="1"/>
    <col min="1818" max="1818" width="17.5703125" style="230" customWidth="1"/>
    <col min="1819" max="1819" width="16.5703125" style="230" customWidth="1"/>
    <col min="1820" max="1820" width="28.7109375" style="230" customWidth="1"/>
    <col min="1821" max="1821" width="23.85546875" style="230" customWidth="1"/>
    <col min="1822" max="2048" width="9.140625" style="230"/>
    <col min="2049" max="2050" width="0" style="230" hidden="1" customWidth="1"/>
    <col min="2051" max="2051" width="15.7109375" style="230" customWidth="1"/>
    <col min="2052" max="2052" width="93.42578125" style="230" customWidth="1"/>
    <col min="2053" max="2053" width="32.28515625" style="230" customWidth="1"/>
    <col min="2054" max="2054" width="23.7109375" style="230" customWidth="1"/>
    <col min="2055" max="2055" width="26.42578125" style="230" customWidth="1"/>
    <col min="2056" max="2056" width="26.5703125" style="230" customWidth="1"/>
    <col min="2057" max="2057" width="27.85546875" style="230" customWidth="1"/>
    <col min="2058" max="2058" width="28.140625" style="230" customWidth="1"/>
    <col min="2059" max="2059" width="24.28515625" style="230" customWidth="1"/>
    <col min="2060" max="2060" width="13.140625" style="230" customWidth="1"/>
    <col min="2061" max="2061" width="19.85546875" style="230" customWidth="1"/>
    <col min="2062" max="2062" width="34.42578125" style="230" customWidth="1"/>
    <col min="2063" max="2063" width="18.140625" style="230" customWidth="1"/>
    <col min="2064" max="2064" width="24.7109375" style="230" customWidth="1"/>
    <col min="2065" max="2065" width="23.28515625" style="230" customWidth="1"/>
    <col min="2066" max="2066" width="18.42578125" style="230" customWidth="1"/>
    <col min="2067" max="2067" width="27.85546875" style="230" customWidth="1"/>
    <col min="2068" max="2068" width="49.42578125" style="230" customWidth="1"/>
    <col min="2069" max="2069" width="32.140625" style="230" customWidth="1"/>
    <col min="2070" max="2070" width="22.42578125" style="230" customWidth="1"/>
    <col min="2071" max="2071" width="33" style="230" customWidth="1"/>
    <col min="2072" max="2072" width="58.85546875" style="230" customWidth="1"/>
    <col min="2073" max="2073" width="37.85546875" style="230" customWidth="1"/>
    <col min="2074" max="2074" width="17.5703125" style="230" customWidth="1"/>
    <col min="2075" max="2075" width="16.5703125" style="230" customWidth="1"/>
    <col min="2076" max="2076" width="28.7109375" style="230" customWidth="1"/>
    <col min="2077" max="2077" width="23.85546875" style="230" customWidth="1"/>
    <col min="2078" max="2304" width="9.140625" style="230"/>
    <col min="2305" max="2306" width="0" style="230" hidden="1" customWidth="1"/>
    <col min="2307" max="2307" width="15.7109375" style="230" customWidth="1"/>
    <col min="2308" max="2308" width="93.42578125" style="230" customWidth="1"/>
    <col min="2309" max="2309" width="32.28515625" style="230" customWidth="1"/>
    <col min="2310" max="2310" width="23.7109375" style="230" customWidth="1"/>
    <col min="2311" max="2311" width="26.42578125" style="230" customWidth="1"/>
    <col min="2312" max="2312" width="26.5703125" style="230" customWidth="1"/>
    <col min="2313" max="2313" width="27.85546875" style="230" customWidth="1"/>
    <col min="2314" max="2314" width="28.140625" style="230" customWidth="1"/>
    <col min="2315" max="2315" width="24.28515625" style="230" customWidth="1"/>
    <col min="2316" max="2316" width="13.140625" style="230" customWidth="1"/>
    <col min="2317" max="2317" width="19.85546875" style="230" customWidth="1"/>
    <col min="2318" max="2318" width="34.42578125" style="230" customWidth="1"/>
    <col min="2319" max="2319" width="18.140625" style="230" customWidth="1"/>
    <col min="2320" max="2320" width="24.7109375" style="230" customWidth="1"/>
    <col min="2321" max="2321" width="23.28515625" style="230" customWidth="1"/>
    <col min="2322" max="2322" width="18.42578125" style="230" customWidth="1"/>
    <col min="2323" max="2323" width="27.85546875" style="230" customWidth="1"/>
    <col min="2324" max="2324" width="49.42578125" style="230" customWidth="1"/>
    <col min="2325" max="2325" width="32.140625" style="230" customWidth="1"/>
    <col min="2326" max="2326" width="22.42578125" style="230" customWidth="1"/>
    <col min="2327" max="2327" width="33" style="230" customWidth="1"/>
    <col min="2328" max="2328" width="58.85546875" style="230" customWidth="1"/>
    <col min="2329" max="2329" width="37.85546875" style="230" customWidth="1"/>
    <col min="2330" max="2330" width="17.5703125" style="230" customWidth="1"/>
    <col min="2331" max="2331" width="16.5703125" style="230" customWidth="1"/>
    <col min="2332" max="2332" width="28.7109375" style="230" customWidth="1"/>
    <col min="2333" max="2333" width="23.85546875" style="230" customWidth="1"/>
    <col min="2334" max="2560" width="9.140625" style="230"/>
    <col min="2561" max="2562" width="0" style="230" hidden="1" customWidth="1"/>
    <col min="2563" max="2563" width="15.7109375" style="230" customWidth="1"/>
    <col min="2564" max="2564" width="93.42578125" style="230" customWidth="1"/>
    <col min="2565" max="2565" width="32.28515625" style="230" customWidth="1"/>
    <col min="2566" max="2566" width="23.7109375" style="230" customWidth="1"/>
    <col min="2567" max="2567" width="26.42578125" style="230" customWidth="1"/>
    <col min="2568" max="2568" width="26.5703125" style="230" customWidth="1"/>
    <col min="2569" max="2569" width="27.85546875" style="230" customWidth="1"/>
    <col min="2570" max="2570" width="28.140625" style="230" customWidth="1"/>
    <col min="2571" max="2571" width="24.28515625" style="230" customWidth="1"/>
    <col min="2572" max="2572" width="13.140625" style="230" customWidth="1"/>
    <col min="2573" max="2573" width="19.85546875" style="230" customWidth="1"/>
    <col min="2574" max="2574" width="34.42578125" style="230" customWidth="1"/>
    <col min="2575" max="2575" width="18.140625" style="230" customWidth="1"/>
    <col min="2576" max="2576" width="24.7109375" style="230" customWidth="1"/>
    <col min="2577" max="2577" width="23.28515625" style="230" customWidth="1"/>
    <col min="2578" max="2578" width="18.42578125" style="230" customWidth="1"/>
    <col min="2579" max="2579" width="27.85546875" style="230" customWidth="1"/>
    <col min="2580" max="2580" width="49.42578125" style="230" customWidth="1"/>
    <col min="2581" max="2581" width="32.140625" style="230" customWidth="1"/>
    <col min="2582" max="2582" width="22.42578125" style="230" customWidth="1"/>
    <col min="2583" max="2583" width="33" style="230" customWidth="1"/>
    <col min="2584" max="2584" width="58.85546875" style="230" customWidth="1"/>
    <col min="2585" max="2585" width="37.85546875" style="230" customWidth="1"/>
    <col min="2586" max="2586" width="17.5703125" style="230" customWidth="1"/>
    <col min="2587" max="2587" width="16.5703125" style="230" customWidth="1"/>
    <col min="2588" max="2588" width="28.7109375" style="230" customWidth="1"/>
    <col min="2589" max="2589" width="23.85546875" style="230" customWidth="1"/>
    <col min="2590" max="2816" width="9.140625" style="230"/>
    <col min="2817" max="2818" width="0" style="230" hidden="1" customWidth="1"/>
    <col min="2819" max="2819" width="15.7109375" style="230" customWidth="1"/>
    <col min="2820" max="2820" width="93.42578125" style="230" customWidth="1"/>
    <col min="2821" max="2821" width="32.28515625" style="230" customWidth="1"/>
    <col min="2822" max="2822" width="23.7109375" style="230" customWidth="1"/>
    <col min="2823" max="2823" width="26.42578125" style="230" customWidth="1"/>
    <col min="2824" max="2824" width="26.5703125" style="230" customWidth="1"/>
    <col min="2825" max="2825" width="27.85546875" style="230" customWidth="1"/>
    <col min="2826" max="2826" width="28.140625" style="230" customWidth="1"/>
    <col min="2827" max="2827" width="24.28515625" style="230" customWidth="1"/>
    <col min="2828" max="2828" width="13.140625" style="230" customWidth="1"/>
    <col min="2829" max="2829" width="19.85546875" style="230" customWidth="1"/>
    <col min="2830" max="2830" width="34.42578125" style="230" customWidth="1"/>
    <col min="2831" max="2831" width="18.140625" style="230" customWidth="1"/>
    <col min="2832" max="2832" width="24.7109375" style="230" customWidth="1"/>
    <col min="2833" max="2833" width="23.28515625" style="230" customWidth="1"/>
    <col min="2834" max="2834" width="18.42578125" style="230" customWidth="1"/>
    <col min="2835" max="2835" width="27.85546875" style="230" customWidth="1"/>
    <col min="2836" max="2836" width="49.42578125" style="230" customWidth="1"/>
    <col min="2837" max="2837" width="32.140625" style="230" customWidth="1"/>
    <col min="2838" max="2838" width="22.42578125" style="230" customWidth="1"/>
    <col min="2839" max="2839" width="33" style="230" customWidth="1"/>
    <col min="2840" max="2840" width="58.85546875" style="230" customWidth="1"/>
    <col min="2841" max="2841" width="37.85546875" style="230" customWidth="1"/>
    <col min="2842" max="2842" width="17.5703125" style="230" customWidth="1"/>
    <col min="2843" max="2843" width="16.5703125" style="230" customWidth="1"/>
    <col min="2844" max="2844" width="28.7109375" style="230" customWidth="1"/>
    <col min="2845" max="2845" width="23.85546875" style="230" customWidth="1"/>
    <col min="2846" max="3072" width="9.140625" style="230"/>
    <col min="3073" max="3074" width="0" style="230" hidden="1" customWidth="1"/>
    <col min="3075" max="3075" width="15.7109375" style="230" customWidth="1"/>
    <col min="3076" max="3076" width="93.42578125" style="230" customWidth="1"/>
    <col min="3077" max="3077" width="32.28515625" style="230" customWidth="1"/>
    <col min="3078" max="3078" width="23.7109375" style="230" customWidth="1"/>
    <col min="3079" max="3079" width="26.42578125" style="230" customWidth="1"/>
    <col min="3080" max="3080" width="26.5703125" style="230" customWidth="1"/>
    <col min="3081" max="3081" width="27.85546875" style="230" customWidth="1"/>
    <col min="3082" max="3082" width="28.140625" style="230" customWidth="1"/>
    <col min="3083" max="3083" width="24.28515625" style="230" customWidth="1"/>
    <col min="3084" max="3084" width="13.140625" style="230" customWidth="1"/>
    <col min="3085" max="3085" width="19.85546875" style="230" customWidth="1"/>
    <col min="3086" max="3086" width="34.42578125" style="230" customWidth="1"/>
    <col min="3087" max="3087" width="18.140625" style="230" customWidth="1"/>
    <col min="3088" max="3088" width="24.7109375" style="230" customWidth="1"/>
    <col min="3089" max="3089" width="23.28515625" style="230" customWidth="1"/>
    <col min="3090" max="3090" width="18.42578125" style="230" customWidth="1"/>
    <col min="3091" max="3091" width="27.85546875" style="230" customWidth="1"/>
    <col min="3092" max="3092" width="49.42578125" style="230" customWidth="1"/>
    <col min="3093" max="3093" width="32.140625" style="230" customWidth="1"/>
    <col min="3094" max="3094" width="22.42578125" style="230" customWidth="1"/>
    <col min="3095" max="3095" width="33" style="230" customWidth="1"/>
    <col min="3096" max="3096" width="58.85546875" style="230" customWidth="1"/>
    <col min="3097" max="3097" width="37.85546875" style="230" customWidth="1"/>
    <col min="3098" max="3098" width="17.5703125" style="230" customWidth="1"/>
    <col min="3099" max="3099" width="16.5703125" style="230" customWidth="1"/>
    <col min="3100" max="3100" width="28.7109375" style="230" customWidth="1"/>
    <col min="3101" max="3101" width="23.85546875" style="230" customWidth="1"/>
    <col min="3102" max="3328" width="9.140625" style="230"/>
    <col min="3329" max="3330" width="0" style="230" hidden="1" customWidth="1"/>
    <col min="3331" max="3331" width="15.7109375" style="230" customWidth="1"/>
    <col min="3332" max="3332" width="93.42578125" style="230" customWidth="1"/>
    <col min="3333" max="3333" width="32.28515625" style="230" customWidth="1"/>
    <col min="3334" max="3334" width="23.7109375" style="230" customWidth="1"/>
    <col min="3335" max="3335" width="26.42578125" style="230" customWidth="1"/>
    <col min="3336" max="3336" width="26.5703125" style="230" customWidth="1"/>
    <col min="3337" max="3337" width="27.85546875" style="230" customWidth="1"/>
    <col min="3338" max="3338" width="28.140625" style="230" customWidth="1"/>
    <col min="3339" max="3339" width="24.28515625" style="230" customWidth="1"/>
    <col min="3340" max="3340" width="13.140625" style="230" customWidth="1"/>
    <col min="3341" max="3341" width="19.85546875" style="230" customWidth="1"/>
    <col min="3342" max="3342" width="34.42578125" style="230" customWidth="1"/>
    <col min="3343" max="3343" width="18.140625" style="230" customWidth="1"/>
    <col min="3344" max="3344" width="24.7109375" style="230" customWidth="1"/>
    <col min="3345" max="3345" width="23.28515625" style="230" customWidth="1"/>
    <col min="3346" max="3346" width="18.42578125" style="230" customWidth="1"/>
    <col min="3347" max="3347" width="27.85546875" style="230" customWidth="1"/>
    <col min="3348" max="3348" width="49.42578125" style="230" customWidth="1"/>
    <col min="3349" max="3349" width="32.140625" style="230" customWidth="1"/>
    <col min="3350" max="3350" width="22.42578125" style="230" customWidth="1"/>
    <col min="3351" max="3351" width="33" style="230" customWidth="1"/>
    <col min="3352" max="3352" width="58.85546875" style="230" customWidth="1"/>
    <col min="3353" max="3353" width="37.85546875" style="230" customWidth="1"/>
    <col min="3354" max="3354" width="17.5703125" style="230" customWidth="1"/>
    <col min="3355" max="3355" width="16.5703125" style="230" customWidth="1"/>
    <col min="3356" max="3356" width="28.7109375" style="230" customWidth="1"/>
    <col min="3357" max="3357" width="23.85546875" style="230" customWidth="1"/>
    <col min="3358" max="3584" width="9.140625" style="230"/>
    <col min="3585" max="3586" width="0" style="230" hidden="1" customWidth="1"/>
    <col min="3587" max="3587" width="15.7109375" style="230" customWidth="1"/>
    <col min="3588" max="3588" width="93.42578125" style="230" customWidth="1"/>
    <col min="3589" max="3589" width="32.28515625" style="230" customWidth="1"/>
    <col min="3590" max="3590" width="23.7109375" style="230" customWidth="1"/>
    <col min="3591" max="3591" width="26.42578125" style="230" customWidth="1"/>
    <col min="3592" max="3592" width="26.5703125" style="230" customWidth="1"/>
    <col min="3593" max="3593" width="27.85546875" style="230" customWidth="1"/>
    <col min="3594" max="3594" width="28.140625" style="230" customWidth="1"/>
    <col min="3595" max="3595" width="24.28515625" style="230" customWidth="1"/>
    <col min="3596" max="3596" width="13.140625" style="230" customWidth="1"/>
    <col min="3597" max="3597" width="19.85546875" style="230" customWidth="1"/>
    <col min="3598" max="3598" width="34.42578125" style="230" customWidth="1"/>
    <col min="3599" max="3599" width="18.140625" style="230" customWidth="1"/>
    <col min="3600" max="3600" width="24.7109375" style="230" customWidth="1"/>
    <col min="3601" max="3601" width="23.28515625" style="230" customWidth="1"/>
    <col min="3602" max="3602" width="18.42578125" style="230" customWidth="1"/>
    <col min="3603" max="3603" width="27.85546875" style="230" customWidth="1"/>
    <col min="3604" max="3604" width="49.42578125" style="230" customWidth="1"/>
    <col min="3605" max="3605" width="32.140625" style="230" customWidth="1"/>
    <col min="3606" max="3606" width="22.42578125" style="230" customWidth="1"/>
    <col min="3607" max="3607" width="33" style="230" customWidth="1"/>
    <col min="3608" max="3608" width="58.85546875" style="230" customWidth="1"/>
    <col min="3609" max="3609" width="37.85546875" style="230" customWidth="1"/>
    <col min="3610" max="3610" width="17.5703125" style="230" customWidth="1"/>
    <col min="3611" max="3611" width="16.5703125" style="230" customWidth="1"/>
    <col min="3612" max="3612" width="28.7109375" style="230" customWidth="1"/>
    <col min="3613" max="3613" width="23.85546875" style="230" customWidth="1"/>
    <col min="3614" max="3840" width="9.140625" style="230"/>
    <col min="3841" max="3842" width="0" style="230" hidden="1" customWidth="1"/>
    <col min="3843" max="3843" width="15.7109375" style="230" customWidth="1"/>
    <col min="3844" max="3844" width="93.42578125" style="230" customWidth="1"/>
    <col min="3845" max="3845" width="32.28515625" style="230" customWidth="1"/>
    <col min="3846" max="3846" width="23.7109375" style="230" customWidth="1"/>
    <col min="3847" max="3847" width="26.42578125" style="230" customWidth="1"/>
    <col min="3848" max="3848" width="26.5703125" style="230" customWidth="1"/>
    <col min="3849" max="3849" width="27.85546875" style="230" customWidth="1"/>
    <col min="3850" max="3850" width="28.140625" style="230" customWidth="1"/>
    <col min="3851" max="3851" width="24.28515625" style="230" customWidth="1"/>
    <col min="3852" max="3852" width="13.140625" style="230" customWidth="1"/>
    <col min="3853" max="3853" width="19.85546875" style="230" customWidth="1"/>
    <col min="3854" max="3854" width="34.42578125" style="230" customWidth="1"/>
    <col min="3855" max="3855" width="18.140625" style="230" customWidth="1"/>
    <col min="3856" max="3856" width="24.7109375" style="230" customWidth="1"/>
    <col min="3857" max="3857" width="23.28515625" style="230" customWidth="1"/>
    <col min="3858" max="3858" width="18.42578125" style="230" customWidth="1"/>
    <col min="3859" max="3859" width="27.85546875" style="230" customWidth="1"/>
    <col min="3860" max="3860" width="49.42578125" style="230" customWidth="1"/>
    <col min="3861" max="3861" width="32.140625" style="230" customWidth="1"/>
    <col min="3862" max="3862" width="22.42578125" style="230" customWidth="1"/>
    <col min="3863" max="3863" width="33" style="230" customWidth="1"/>
    <col min="3864" max="3864" width="58.85546875" style="230" customWidth="1"/>
    <col min="3865" max="3865" width="37.85546875" style="230" customWidth="1"/>
    <col min="3866" max="3866" width="17.5703125" style="230" customWidth="1"/>
    <col min="3867" max="3867" width="16.5703125" style="230" customWidth="1"/>
    <col min="3868" max="3868" width="28.7109375" style="230" customWidth="1"/>
    <col min="3869" max="3869" width="23.85546875" style="230" customWidth="1"/>
    <col min="3870" max="4096" width="9.140625" style="230"/>
    <col min="4097" max="4098" width="0" style="230" hidden="1" customWidth="1"/>
    <col min="4099" max="4099" width="15.7109375" style="230" customWidth="1"/>
    <col min="4100" max="4100" width="93.42578125" style="230" customWidth="1"/>
    <col min="4101" max="4101" width="32.28515625" style="230" customWidth="1"/>
    <col min="4102" max="4102" width="23.7109375" style="230" customWidth="1"/>
    <col min="4103" max="4103" width="26.42578125" style="230" customWidth="1"/>
    <col min="4104" max="4104" width="26.5703125" style="230" customWidth="1"/>
    <col min="4105" max="4105" width="27.85546875" style="230" customWidth="1"/>
    <col min="4106" max="4106" width="28.140625" style="230" customWidth="1"/>
    <col min="4107" max="4107" width="24.28515625" style="230" customWidth="1"/>
    <col min="4108" max="4108" width="13.140625" style="230" customWidth="1"/>
    <col min="4109" max="4109" width="19.85546875" style="230" customWidth="1"/>
    <col min="4110" max="4110" width="34.42578125" style="230" customWidth="1"/>
    <col min="4111" max="4111" width="18.140625" style="230" customWidth="1"/>
    <col min="4112" max="4112" width="24.7109375" style="230" customWidth="1"/>
    <col min="4113" max="4113" width="23.28515625" style="230" customWidth="1"/>
    <col min="4114" max="4114" width="18.42578125" style="230" customWidth="1"/>
    <col min="4115" max="4115" width="27.85546875" style="230" customWidth="1"/>
    <col min="4116" max="4116" width="49.42578125" style="230" customWidth="1"/>
    <col min="4117" max="4117" width="32.140625" style="230" customWidth="1"/>
    <col min="4118" max="4118" width="22.42578125" style="230" customWidth="1"/>
    <col min="4119" max="4119" width="33" style="230" customWidth="1"/>
    <col min="4120" max="4120" width="58.85546875" style="230" customWidth="1"/>
    <col min="4121" max="4121" width="37.85546875" style="230" customWidth="1"/>
    <col min="4122" max="4122" width="17.5703125" style="230" customWidth="1"/>
    <col min="4123" max="4123" width="16.5703125" style="230" customWidth="1"/>
    <col min="4124" max="4124" width="28.7109375" style="230" customWidth="1"/>
    <col min="4125" max="4125" width="23.85546875" style="230" customWidth="1"/>
    <col min="4126" max="4352" width="9.140625" style="230"/>
    <col min="4353" max="4354" width="0" style="230" hidden="1" customWidth="1"/>
    <col min="4355" max="4355" width="15.7109375" style="230" customWidth="1"/>
    <col min="4356" max="4356" width="93.42578125" style="230" customWidth="1"/>
    <col min="4357" max="4357" width="32.28515625" style="230" customWidth="1"/>
    <col min="4358" max="4358" width="23.7109375" style="230" customWidth="1"/>
    <col min="4359" max="4359" width="26.42578125" style="230" customWidth="1"/>
    <col min="4360" max="4360" width="26.5703125" style="230" customWidth="1"/>
    <col min="4361" max="4361" width="27.85546875" style="230" customWidth="1"/>
    <col min="4362" max="4362" width="28.140625" style="230" customWidth="1"/>
    <col min="4363" max="4363" width="24.28515625" style="230" customWidth="1"/>
    <col min="4364" max="4364" width="13.140625" style="230" customWidth="1"/>
    <col min="4365" max="4365" width="19.85546875" style="230" customWidth="1"/>
    <col min="4366" max="4366" width="34.42578125" style="230" customWidth="1"/>
    <col min="4367" max="4367" width="18.140625" style="230" customWidth="1"/>
    <col min="4368" max="4368" width="24.7109375" style="230" customWidth="1"/>
    <col min="4369" max="4369" width="23.28515625" style="230" customWidth="1"/>
    <col min="4370" max="4370" width="18.42578125" style="230" customWidth="1"/>
    <col min="4371" max="4371" width="27.85546875" style="230" customWidth="1"/>
    <col min="4372" max="4372" width="49.42578125" style="230" customWidth="1"/>
    <col min="4373" max="4373" width="32.140625" style="230" customWidth="1"/>
    <col min="4374" max="4374" width="22.42578125" style="230" customWidth="1"/>
    <col min="4375" max="4375" width="33" style="230" customWidth="1"/>
    <col min="4376" max="4376" width="58.85546875" style="230" customWidth="1"/>
    <col min="4377" max="4377" width="37.85546875" style="230" customWidth="1"/>
    <col min="4378" max="4378" width="17.5703125" style="230" customWidth="1"/>
    <col min="4379" max="4379" width="16.5703125" style="230" customWidth="1"/>
    <col min="4380" max="4380" width="28.7109375" style="230" customWidth="1"/>
    <col min="4381" max="4381" width="23.85546875" style="230" customWidth="1"/>
    <col min="4382" max="4608" width="9.140625" style="230"/>
    <col min="4609" max="4610" width="0" style="230" hidden="1" customWidth="1"/>
    <col min="4611" max="4611" width="15.7109375" style="230" customWidth="1"/>
    <col min="4612" max="4612" width="93.42578125" style="230" customWidth="1"/>
    <col min="4613" max="4613" width="32.28515625" style="230" customWidth="1"/>
    <col min="4614" max="4614" width="23.7109375" style="230" customWidth="1"/>
    <col min="4615" max="4615" width="26.42578125" style="230" customWidth="1"/>
    <col min="4616" max="4616" width="26.5703125" style="230" customWidth="1"/>
    <col min="4617" max="4617" width="27.85546875" style="230" customWidth="1"/>
    <col min="4618" max="4618" width="28.140625" style="230" customWidth="1"/>
    <col min="4619" max="4619" width="24.28515625" style="230" customWidth="1"/>
    <col min="4620" max="4620" width="13.140625" style="230" customWidth="1"/>
    <col min="4621" max="4621" width="19.85546875" style="230" customWidth="1"/>
    <col min="4622" max="4622" width="34.42578125" style="230" customWidth="1"/>
    <col min="4623" max="4623" width="18.140625" style="230" customWidth="1"/>
    <col min="4624" max="4624" width="24.7109375" style="230" customWidth="1"/>
    <col min="4625" max="4625" width="23.28515625" style="230" customWidth="1"/>
    <col min="4626" max="4626" width="18.42578125" style="230" customWidth="1"/>
    <col min="4627" max="4627" width="27.85546875" style="230" customWidth="1"/>
    <col min="4628" max="4628" width="49.42578125" style="230" customWidth="1"/>
    <col min="4629" max="4629" width="32.140625" style="230" customWidth="1"/>
    <col min="4630" max="4630" width="22.42578125" style="230" customWidth="1"/>
    <col min="4631" max="4631" width="33" style="230" customWidth="1"/>
    <col min="4632" max="4632" width="58.85546875" style="230" customWidth="1"/>
    <col min="4633" max="4633" width="37.85546875" style="230" customWidth="1"/>
    <col min="4634" max="4634" width="17.5703125" style="230" customWidth="1"/>
    <col min="4635" max="4635" width="16.5703125" style="230" customWidth="1"/>
    <col min="4636" max="4636" width="28.7109375" style="230" customWidth="1"/>
    <col min="4637" max="4637" width="23.85546875" style="230" customWidth="1"/>
    <col min="4638" max="4864" width="9.140625" style="230"/>
    <col min="4865" max="4866" width="0" style="230" hidden="1" customWidth="1"/>
    <col min="4867" max="4867" width="15.7109375" style="230" customWidth="1"/>
    <col min="4868" max="4868" width="93.42578125" style="230" customWidth="1"/>
    <col min="4869" max="4869" width="32.28515625" style="230" customWidth="1"/>
    <col min="4870" max="4870" width="23.7109375" style="230" customWidth="1"/>
    <col min="4871" max="4871" width="26.42578125" style="230" customWidth="1"/>
    <col min="4872" max="4872" width="26.5703125" style="230" customWidth="1"/>
    <col min="4873" max="4873" width="27.85546875" style="230" customWidth="1"/>
    <col min="4874" max="4874" width="28.140625" style="230" customWidth="1"/>
    <col min="4875" max="4875" width="24.28515625" style="230" customWidth="1"/>
    <col min="4876" max="4876" width="13.140625" style="230" customWidth="1"/>
    <col min="4877" max="4877" width="19.85546875" style="230" customWidth="1"/>
    <col min="4878" max="4878" width="34.42578125" style="230" customWidth="1"/>
    <col min="4879" max="4879" width="18.140625" style="230" customWidth="1"/>
    <col min="4880" max="4880" width="24.7109375" style="230" customWidth="1"/>
    <col min="4881" max="4881" width="23.28515625" style="230" customWidth="1"/>
    <col min="4882" max="4882" width="18.42578125" style="230" customWidth="1"/>
    <col min="4883" max="4883" width="27.85546875" style="230" customWidth="1"/>
    <col min="4884" max="4884" width="49.42578125" style="230" customWidth="1"/>
    <col min="4885" max="4885" width="32.140625" style="230" customWidth="1"/>
    <col min="4886" max="4886" width="22.42578125" style="230" customWidth="1"/>
    <col min="4887" max="4887" width="33" style="230" customWidth="1"/>
    <col min="4888" max="4888" width="58.85546875" style="230" customWidth="1"/>
    <col min="4889" max="4889" width="37.85546875" style="230" customWidth="1"/>
    <col min="4890" max="4890" width="17.5703125" style="230" customWidth="1"/>
    <col min="4891" max="4891" width="16.5703125" style="230" customWidth="1"/>
    <col min="4892" max="4892" width="28.7109375" style="230" customWidth="1"/>
    <col min="4893" max="4893" width="23.85546875" style="230" customWidth="1"/>
    <col min="4894" max="5120" width="9.140625" style="230"/>
    <col min="5121" max="5122" width="0" style="230" hidden="1" customWidth="1"/>
    <col min="5123" max="5123" width="15.7109375" style="230" customWidth="1"/>
    <col min="5124" max="5124" width="93.42578125" style="230" customWidth="1"/>
    <col min="5125" max="5125" width="32.28515625" style="230" customWidth="1"/>
    <col min="5126" max="5126" width="23.7109375" style="230" customWidth="1"/>
    <col min="5127" max="5127" width="26.42578125" style="230" customWidth="1"/>
    <col min="5128" max="5128" width="26.5703125" style="230" customWidth="1"/>
    <col min="5129" max="5129" width="27.85546875" style="230" customWidth="1"/>
    <col min="5130" max="5130" width="28.140625" style="230" customWidth="1"/>
    <col min="5131" max="5131" width="24.28515625" style="230" customWidth="1"/>
    <col min="5132" max="5132" width="13.140625" style="230" customWidth="1"/>
    <col min="5133" max="5133" width="19.85546875" style="230" customWidth="1"/>
    <col min="5134" max="5134" width="34.42578125" style="230" customWidth="1"/>
    <col min="5135" max="5135" width="18.140625" style="230" customWidth="1"/>
    <col min="5136" max="5136" width="24.7109375" style="230" customWidth="1"/>
    <col min="5137" max="5137" width="23.28515625" style="230" customWidth="1"/>
    <col min="5138" max="5138" width="18.42578125" style="230" customWidth="1"/>
    <col min="5139" max="5139" width="27.85546875" style="230" customWidth="1"/>
    <col min="5140" max="5140" width="49.42578125" style="230" customWidth="1"/>
    <col min="5141" max="5141" width="32.140625" style="230" customWidth="1"/>
    <col min="5142" max="5142" width="22.42578125" style="230" customWidth="1"/>
    <col min="5143" max="5143" width="33" style="230" customWidth="1"/>
    <col min="5144" max="5144" width="58.85546875" style="230" customWidth="1"/>
    <col min="5145" max="5145" width="37.85546875" style="230" customWidth="1"/>
    <col min="5146" max="5146" width="17.5703125" style="230" customWidth="1"/>
    <col min="5147" max="5147" width="16.5703125" style="230" customWidth="1"/>
    <col min="5148" max="5148" width="28.7109375" style="230" customWidth="1"/>
    <col min="5149" max="5149" width="23.85546875" style="230" customWidth="1"/>
    <col min="5150" max="5376" width="9.140625" style="230"/>
    <col min="5377" max="5378" width="0" style="230" hidden="1" customWidth="1"/>
    <col min="5379" max="5379" width="15.7109375" style="230" customWidth="1"/>
    <col min="5380" max="5380" width="93.42578125" style="230" customWidth="1"/>
    <col min="5381" max="5381" width="32.28515625" style="230" customWidth="1"/>
    <col min="5382" max="5382" width="23.7109375" style="230" customWidth="1"/>
    <col min="5383" max="5383" width="26.42578125" style="230" customWidth="1"/>
    <col min="5384" max="5384" width="26.5703125" style="230" customWidth="1"/>
    <col min="5385" max="5385" width="27.85546875" style="230" customWidth="1"/>
    <col min="5386" max="5386" width="28.140625" style="230" customWidth="1"/>
    <col min="5387" max="5387" width="24.28515625" style="230" customWidth="1"/>
    <col min="5388" max="5388" width="13.140625" style="230" customWidth="1"/>
    <col min="5389" max="5389" width="19.85546875" style="230" customWidth="1"/>
    <col min="5390" max="5390" width="34.42578125" style="230" customWidth="1"/>
    <col min="5391" max="5391" width="18.140625" style="230" customWidth="1"/>
    <col min="5392" max="5392" width="24.7109375" style="230" customWidth="1"/>
    <col min="5393" max="5393" width="23.28515625" style="230" customWidth="1"/>
    <col min="5394" max="5394" width="18.42578125" style="230" customWidth="1"/>
    <col min="5395" max="5395" width="27.85546875" style="230" customWidth="1"/>
    <col min="5396" max="5396" width="49.42578125" style="230" customWidth="1"/>
    <col min="5397" max="5397" width="32.140625" style="230" customWidth="1"/>
    <col min="5398" max="5398" width="22.42578125" style="230" customWidth="1"/>
    <col min="5399" max="5399" width="33" style="230" customWidth="1"/>
    <col min="5400" max="5400" width="58.85546875" style="230" customWidth="1"/>
    <col min="5401" max="5401" width="37.85546875" style="230" customWidth="1"/>
    <col min="5402" max="5402" width="17.5703125" style="230" customWidth="1"/>
    <col min="5403" max="5403" width="16.5703125" style="230" customWidth="1"/>
    <col min="5404" max="5404" width="28.7109375" style="230" customWidth="1"/>
    <col min="5405" max="5405" width="23.85546875" style="230" customWidth="1"/>
    <col min="5406" max="5632" width="9.140625" style="230"/>
    <col min="5633" max="5634" width="0" style="230" hidden="1" customWidth="1"/>
    <col min="5635" max="5635" width="15.7109375" style="230" customWidth="1"/>
    <col min="5636" max="5636" width="93.42578125" style="230" customWidth="1"/>
    <col min="5637" max="5637" width="32.28515625" style="230" customWidth="1"/>
    <col min="5638" max="5638" width="23.7109375" style="230" customWidth="1"/>
    <col min="5639" max="5639" width="26.42578125" style="230" customWidth="1"/>
    <col min="5640" max="5640" width="26.5703125" style="230" customWidth="1"/>
    <col min="5641" max="5641" width="27.85546875" style="230" customWidth="1"/>
    <col min="5642" max="5642" width="28.140625" style="230" customWidth="1"/>
    <col min="5643" max="5643" width="24.28515625" style="230" customWidth="1"/>
    <col min="5644" max="5644" width="13.140625" style="230" customWidth="1"/>
    <col min="5645" max="5645" width="19.85546875" style="230" customWidth="1"/>
    <col min="5646" max="5646" width="34.42578125" style="230" customWidth="1"/>
    <col min="5647" max="5647" width="18.140625" style="230" customWidth="1"/>
    <col min="5648" max="5648" width="24.7109375" style="230" customWidth="1"/>
    <col min="5649" max="5649" width="23.28515625" style="230" customWidth="1"/>
    <col min="5650" max="5650" width="18.42578125" style="230" customWidth="1"/>
    <col min="5651" max="5651" width="27.85546875" style="230" customWidth="1"/>
    <col min="5652" max="5652" width="49.42578125" style="230" customWidth="1"/>
    <col min="5653" max="5653" width="32.140625" style="230" customWidth="1"/>
    <col min="5654" max="5654" width="22.42578125" style="230" customWidth="1"/>
    <col min="5655" max="5655" width="33" style="230" customWidth="1"/>
    <col min="5656" max="5656" width="58.85546875" style="230" customWidth="1"/>
    <col min="5657" max="5657" width="37.85546875" style="230" customWidth="1"/>
    <col min="5658" max="5658" width="17.5703125" style="230" customWidth="1"/>
    <col min="5659" max="5659" width="16.5703125" style="230" customWidth="1"/>
    <col min="5660" max="5660" width="28.7109375" style="230" customWidth="1"/>
    <col min="5661" max="5661" width="23.85546875" style="230" customWidth="1"/>
    <col min="5662" max="5888" width="9.140625" style="230"/>
    <col min="5889" max="5890" width="0" style="230" hidden="1" customWidth="1"/>
    <col min="5891" max="5891" width="15.7109375" style="230" customWidth="1"/>
    <col min="5892" max="5892" width="93.42578125" style="230" customWidth="1"/>
    <col min="5893" max="5893" width="32.28515625" style="230" customWidth="1"/>
    <col min="5894" max="5894" width="23.7109375" style="230" customWidth="1"/>
    <col min="5895" max="5895" width="26.42578125" style="230" customWidth="1"/>
    <col min="5896" max="5896" width="26.5703125" style="230" customWidth="1"/>
    <col min="5897" max="5897" width="27.85546875" style="230" customWidth="1"/>
    <col min="5898" max="5898" width="28.140625" style="230" customWidth="1"/>
    <col min="5899" max="5899" width="24.28515625" style="230" customWidth="1"/>
    <col min="5900" max="5900" width="13.140625" style="230" customWidth="1"/>
    <col min="5901" max="5901" width="19.85546875" style="230" customWidth="1"/>
    <col min="5902" max="5902" width="34.42578125" style="230" customWidth="1"/>
    <col min="5903" max="5903" width="18.140625" style="230" customWidth="1"/>
    <col min="5904" max="5904" width="24.7109375" style="230" customWidth="1"/>
    <col min="5905" max="5905" width="23.28515625" style="230" customWidth="1"/>
    <col min="5906" max="5906" width="18.42578125" style="230" customWidth="1"/>
    <col min="5907" max="5907" width="27.85546875" style="230" customWidth="1"/>
    <col min="5908" max="5908" width="49.42578125" style="230" customWidth="1"/>
    <col min="5909" max="5909" width="32.140625" style="230" customWidth="1"/>
    <col min="5910" max="5910" width="22.42578125" style="230" customWidth="1"/>
    <col min="5911" max="5911" width="33" style="230" customWidth="1"/>
    <col min="5912" max="5912" width="58.85546875" style="230" customWidth="1"/>
    <col min="5913" max="5913" width="37.85546875" style="230" customWidth="1"/>
    <col min="5914" max="5914" width="17.5703125" style="230" customWidth="1"/>
    <col min="5915" max="5915" width="16.5703125" style="230" customWidth="1"/>
    <col min="5916" max="5916" width="28.7109375" style="230" customWidth="1"/>
    <col min="5917" max="5917" width="23.85546875" style="230" customWidth="1"/>
    <col min="5918" max="6144" width="9.140625" style="230"/>
    <col min="6145" max="6146" width="0" style="230" hidden="1" customWidth="1"/>
    <col min="6147" max="6147" width="15.7109375" style="230" customWidth="1"/>
    <col min="6148" max="6148" width="93.42578125" style="230" customWidth="1"/>
    <col min="6149" max="6149" width="32.28515625" style="230" customWidth="1"/>
    <col min="6150" max="6150" width="23.7109375" style="230" customWidth="1"/>
    <col min="6151" max="6151" width="26.42578125" style="230" customWidth="1"/>
    <col min="6152" max="6152" width="26.5703125" style="230" customWidth="1"/>
    <col min="6153" max="6153" width="27.85546875" style="230" customWidth="1"/>
    <col min="6154" max="6154" width="28.140625" style="230" customWidth="1"/>
    <col min="6155" max="6155" width="24.28515625" style="230" customWidth="1"/>
    <col min="6156" max="6156" width="13.140625" style="230" customWidth="1"/>
    <col min="6157" max="6157" width="19.85546875" style="230" customWidth="1"/>
    <col min="6158" max="6158" width="34.42578125" style="230" customWidth="1"/>
    <col min="6159" max="6159" width="18.140625" style="230" customWidth="1"/>
    <col min="6160" max="6160" width="24.7109375" style="230" customWidth="1"/>
    <col min="6161" max="6161" width="23.28515625" style="230" customWidth="1"/>
    <col min="6162" max="6162" width="18.42578125" style="230" customWidth="1"/>
    <col min="6163" max="6163" width="27.85546875" style="230" customWidth="1"/>
    <col min="6164" max="6164" width="49.42578125" style="230" customWidth="1"/>
    <col min="6165" max="6165" width="32.140625" style="230" customWidth="1"/>
    <col min="6166" max="6166" width="22.42578125" style="230" customWidth="1"/>
    <col min="6167" max="6167" width="33" style="230" customWidth="1"/>
    <col min="6168" max="6168" width="58.85546875" style="230" customWidth="1"/>
    <col min="6169" max="6169" width="37.85546875" style="230" customWidth="1"/>
    <col min="6170" max="6170" width="17.5703125" style="230" customWidth="1"/>
    <col min="6171" max="6171" width="16.5703125" style="230" customWidth="1"/>
    <col min="6172" max="6172" width="28.7109375" style="230" customWidth="1"/>
    <col min="6173" max="6173" width="23.85546875" style="230" customWidth="1"/>
    <col min="6174" max="6400" width="9.140625" style="230"/>
    <col min="6401" max="6402" width="0" style="230" hidden="1" customWidth="1"/>
    <col min="6403" max="6403" width="15.7109375" style="230" customWidth="1"/>
    <col min="6404" max="6404" width="93.42578125" style="230" customWidth="1"/>
    <col min="6405" max="6405" width="32.28515625" style="230" customWidth="1"/>
    <col min="6406" max="6406" width="23.7109375" style="230" customWidth="1"/>
    <col min="6407" max="6407" width="26.42578125" style="230" customWidth="1"/>
    <col min="6408" max="6408" width="26.5703125" style="230" customWidth="1"/>
    <col min="6409" max="6409" width="27.85546875" style="230" customWidth="1"/>
    <col min="6410" max="6410" width="28.140625" style="230" customWidth="1"/>
    <col min="6411" max="6411" width="24.28515625" style="230" customWidth="1"/>
    <col min="6412" max="6412" width="13.140625" style="230" customWidth="1"/>
    <col min="6413" max="6413" width="19.85546875" style="230" customWidth="1"/>
    <col min="6414" max="6414" width="34.42578125" style="230" customWidth="1"/>
    <col min="6415" max="6415" width="18.140625" style="230" customWidth="1"/>
    <col min="6416" max="6416" width="24.7109375" style="230" customWidth="1"/>
    <col min="6417" max="6417" width="23.28515625" style="230" customWidth="1"/>
    <col min="6418" max="6418" width="18.42578125" style="230" customWidth="1"/>
    <col min="6419" max="6419" width="27.85546875" style="230" customWidth="1"/>
    <col min="6420" max="6420" width="49.42578125" style="230" customWidth="1"/>
    <col min="6421" max="6421" width="32.140625" style="230" customWidth="1"/>
    <col min="6422" max="6422" width="22.42578125" style="230" customWidth="1"/>
    <col min="6423" max="6423" width="33" style="230" customWidth="1"/>
    <col min="6424" max="6424" width="58.85546875" style="230" customWidth="1"/>
    <col min="6425" max="6425" width="37.85546875" style="230" customWidth="1"/>
    <col min="6426" max="6426" width="17.5703125" style="230" customWidth="1"/>
    <col min="6427" max="6427" width="16.5703125" style="230" customWidth="1"/>
    <col min="6428" max="6428" width="28.7109375" style="230" customWidth="1"/>
    <col min="6429" max="6429" width="23.85546875" style="230" customWidth="1"/>
    <col min="6430" max="6656" width="9.140625" style="230"/>
    <col min="6657" max="6658" width="0" style="230" hidden="1" customWidth="1"/>
    <col min="6659" max="6659" width="15.7109375" style="230" customWidth="1"/>
    <col min="6660" max="6660" width="93.42578125" style="230" customWidth="1"/>
    <col min="6661" max="6661" width="32.28515625" style="230" customWidth="1"/>
    <col min="6662" max="6662" width="23.7109375" style="230" customWidth="1"/>
    <col min="6663" max="6663" width="26.42578125" style="230" customWidth="1"/>
    <col min="6664" max="6664" width="26.5703125" style="230" customWidth="1"/>
    <col min="6665" max="6665" width="27.85546875" style="230" customWidth="1"/>
    <col min="6666" max="6666" width="28.140625" style="230" customWidth="1"/>
    <col min="6667" max="6667" width="24.28515625" style="230" customWidth="1"/>
    <col min="6668" max="6668" width="13.140625" style="230" customWidth="1"/>
    <col min="6669" max="6669" width="19.85546875" style="230" customWidth="1"/>
    <col min="6670" max="6670" width="34.42578125" style="230" customWidth="1"/>
    <col min="6671" max="6671" width="18.140625" style="230" customWidth="1"/>
    <col min="6672" max="6672" width="24.7109375" style="230" customWidth="1"/>
    <col min="6673" max="6673" width="23.28515625" style="230" customWidth="1"/>
    <col min="6674" max="6674" width="18.42578125" style="230" customWidth="1"/>
    <col min="6675" max="6675" width="27.85546875" style="230" customWidth="1"/>
    <col min="6676" max="6676" width="49.42578125" style="230" customWidth="1"/>
    <col min="6677" max="6677" width="32.140625" style="230" customWidth="1"/>
    <col min="6678" max="6678" width="22.42578125" style="230" customWidth="1"/>
    <col min="6679" max="6679" width="33" style="230" customWidth="1"/>
    <col min="6680" max="6680" width="58.85546875" style="230" customWidth="1"/>
    <col min="6681" max="6681" width="37.85546875" style="230" customWidth="1"/>
    <col min="6682" max="6682" width="17.5703125" style="230" customWidth="1"/>
    <col min="6683" max="6683" width="16.5703125" style="230" customWidth="1"/>
    <col min="6684" max="6684" width="28.7109375" style="230" customWidth="1"/>
    <col min="6685" max="6685" width="23.85546875" style="230" customWidth="1"/>
    <col min="6686" max="6912" width="9.140625" style="230"/>
    <col min="6913" max="6914" width="0" style="230" hidden="1" customWidth="1"/>
    <col min="6915" max="6915" width="15.7109375" style="230" customWidth="1"/>
    <col min="6916" max="6916" width="93.42578125" style="230" customWidth="1"/>
    <col min="6917" max="6917" width="32.28515625" style="230" customWidth="1"/>
    <col min="6918" max="6918" width="23.7109375" style="230" customWidth="1"/>
    <col min="6919" max="6919" width="26.42578125" style="230" customWidth="1"/>
    <col min="6920" max="6920" width="26.5703125" style="230" customWidth="1"/>
    <col min="6921" max="6921" width="27.85546875" style="230" customWidth="1"/>
    <col min="6922" max="6922" width="28.140625" style="230" customWidth="1"/>
    <col min="6923" max="6923" width="24.28515625" style="230" customWidth="1"/>
    <col min="6924" max="6924" width="13.140625" style="230" customWidth="1"/>
    <col min="6925" max="6925" width="19.85546875" style="230" customWidth="1"/>
    <col min="6926" max="6926" width="34.42578125" style="230" customWidth="1"/>
    <col min="6927" max="6927" width="18.140625" style="230" customWidth="1"/>
    <col min="6928" max="6928" width="24.7109375" style="230" customWidth="1"/>
    <col min="6929" max="6929" width="23.28515625" style="230" customWidth="1"/>
    <col min="6930" max="6930" width="18.42578125" style="230" customWidth="1"/>
    <col min="6931" max="6931" width="27.85546875" style="230" customWidth="1"/>
    <col min="6932" max="6932" width="49.42578125" style="230" customWidth="1"/>
    <col min="6933" max="6933" width="32.140625" style="230" customWidth="1"/>
    <col min="6934" max="6934" width="22.42578125" style="230" customWidth="1"/>
    <col min="6935" max="6935" width="33" style="230" customWidth="1"/>
    <col min="6936" max="6936" width="58.85546875" style="230" customWidth="1"/>
    <col min="6937" max="6937" width="37.85546875" style="230" customWidth="1"/>
    <col min="6938" max="6938" width="17.5703125" style="230" customWidth="1"/>
    <col min="6939" max="6939" width="16.5703125" style="230" customWidth="1"/>
    <col min="6940" max="6940" width="28.7109375" style="230" customWidth="1"/>
    <col min="6941" max="6941" width="23.85546875" style="230" customWidth="1"/>
    <col min="6942" max="7168" width="9.140625" style="230"/>
    <col min="7169" max="7170" width="0" style="230" hidden="1" customWidth="1"/>
    <col min="7171" max="7171" width="15.7109375" style="230" customWidth="1"/>
    <col min="7172" max="7172" width="93.42578125" style="230" customWidth="1"/>
    <col min="7173" max="7173" width="32.28515625" style="230" customWidth="1"/>
    <col min="7174" max="7174" width="23.7109375" style="230" customWidth="1"/>
    <col min="7175" max="7175" width="26.42578125" style="230" customWidth="1"/>
    <col min="7176" max="7176" width="26.5703125" style="230" customWidth="1"/>
    <col min="7177" max="7177" width="27.85546875" style="230" customWidth="1"/>
    <col min="7178" max="7178" width="28.140625" style="230" customWidth="1"/>
    <col min="7179" max="7179" width="24.28515625" style="230" customWidth="1"/>
    <col min="7180" max="7180" width="13.140625" style="230" customWidth="1"/>
    <col min="7181" max="7181" width="19.85546875" style="230" customWidth="1"/>
    <col min="7182" max="7182" width="34.42578125" style="230" customWidth="1"/>
    <col min="7183" max="7183" width="18.140625" style="230" customWidth="1"/>
    <col min="7184" max="7184" width="24.7109375" style="230" customWidth="1"/>
    <col min="7185" max="7185" width="23.28515625" style="230" customWidth="1"/>
    <col min="7186" max="7186" width="18.42578125" style="230" customWidth="1"/>
    <col min="7187" max="7187" width="27.85546875" style="230" customWidth="1"/>
    <col min="7188" max="7188" width="49.42578125" style="230" customWidth="1"/>
    <col min="7189" max="7189" width="32.140625" style="230" customWidth="1"/>
    <col min="7190" max="7190" width="22.42578125" style="230" customWidth="1"/>
    <col min="7191" max="7191" width="33" style="230" customWidth="1"/>
    <col min="7192" max="7192" width="58.85546875" style="230" customWidth="1"/>
    <col min="7193" max="7193" width="37.85546875" style="230" customWidth="1"/>
    <col min="7194" max="7194" width="17.5703125" style="230" customWidth="1"/>
    <col min="7195" max="7195" width="16.5703125" style="230" customWidth="1"/>
    <col min="7196" max="7196" width="28.7109375" style="230" customWidth="1"/>
    <col min="7197" max="7197" width="23.85546875" style="230" customWidth="1"/>
    <col min="7198" max="7424" width="9.140625" style="230"/>
    <col min="7425" max="7426" width="0" style="230" hidden="1" customWidth="1"/>
    <col min="7427" max="7427" width="15.7109375" style="230" customWidth="1"/>
    <col min="7428" max="7428" width="93.42578125" style="230" customWidth="1"/>
    <col min="7429" max="7429" width="32.28515625" style="230" customWidth="1"/>
    <col min="7430" max="7430" width="23.7109375" style="230" customWidth="1"/>
    <col min="7431" max="7431" width="26.42578125" style="230" customWidth="1"/>
    <col min="7432" max="7432" width="26.5703125" style="230" customWidth="1"/>
    <col min="7433" max="7433" width="27.85546875" style="230" customWidth="1"/>
    <col min="7434" max="7434" width="28.140625" style="230" customWidth="1"/>
    <col min="7435" max="7435" width="24.28515625" style="230" customWidth="1"/>
    <col min="7436" max="7436" width="13.140625" style="230" customWidth="1"/>
    <col min="7437" max="7437" width="19.85546875" style="230" customWidth="1"/>
    <col min="7438" max="7438" width="34.42578125" style="230" customWidth="1"/>
    <col min="7439" max="7439" width="18.140625" style="230" customWidth="1"/>
    <col min="7440" max="7440" width="24.7109375" style="230" customWidth="1"/>
    <col min="7441" max="7441" width="23.28515625" style="230" customWidth="1"/>
    <col min="7442" max="7442" width="18.42578125" style="230" customWidth="1"/>
    <col min="7443" max="7443" width="27.85546875" style="230" customWidth="1"/>
    <col min="7444" max="7444" width="49.42578125" style="230" customWidth="1"/>
    <col min="7445" max="7445" width="32.140625" style="230" customWidth="1"/>
    <col min="7446" max="7446" width="22.42578125" style="230" customWidth="1"/>
    <col min="7447" max="7447" width="33" style="230" customWidth="1"/>
    <col min="7448" max="7448" width="58.85546875" style="230" customWidth="1"/>
    <col min="7449" max="7449" width="37.85546875" style="230" customWidth="1"/>
    <col min="7450" max="7450" width="17.5703125" style="230" customWidth="1"/>
    <col min="7451" max="7451" width="16.5703125" style="230" customWidth="1"/>
    <col min="7452" max="7452" width="28.7109375" style="230" customWidth="1"/>
    <col min="7453" max="7453" width="23.85546875" style="230" customWidth="1"/>
    <col min="7454" max="7680" width="9.140625" style="230"/>
    <col min="7681" max="7682" width="0" style="230" hidden="1" customWidth="1"/>
    <col min="7683" max="7683" width="15.7109375" style="230" customWidth="1"/>
    <col min="7684" max="7684" width="93.42578125" style="230" customWidth="1"/>
    <col min="7685" max="7685" width="32.28515625" style="230" customWidth="1"/>
    <col min="7686" max="7686" width="23.7109375" style="230" customWidth="1"/>
    <col min="7687" max="7687" width="26.42578125" style="230" customWidth="1"/>
    <col min="7688" max="7688" width="26.5703125" style="230" customWidth="1"/>
    <col min="7689" max="7689" width="27.85546875" style="230" customWidth="1"/>
    <col min="7690" max="7690" width="28.140625" style="230" customWidth="1"/>
    <col min="7691" max="7691" width="24.28515625" style="230" customWidth="1"/>
    <col min="7692" max="7692" width="13.140625" style="230" customWidth="1"/>
    <col min="7693" max="7693" width="19.85546875" style="230" customWidth="1"/>
    <col min="7694" max="7694" width="34.42578125" style="230" customWidth="1"/>
    <col min="7695" max="7695" width="18.140625" style="230" customWidth="1"/>
    <col min="7696" max="7696" width="24.7109375" style="230" customWidth="1"/>
    <col min="7697" max="7697" width="23.28515625" style="230" customWidth="1"/>
    <col min="7698" max="7698" width="18.42578125" style="230" customWidth="1"/>
    <col min="7699" max="7699" width="27.85546875" style="230" customWidth="1"/>
    <col min="7700" max="7700" width="49.42578125" style="230" customWidth="1"/>
    <col min="7701" max="7701" width="32.140625" style="230" customWidth="1"/>
    <col min="7702" max="7702" width="22.42578125" style="230" customWidth="1"/>
    <col min="7703" max="7703" width="33" style="230" customWidth="1"/>
    <col min="7704" max="7704" width="58.85546875" style="230" customWidth="1"/>
    <col min="7705" max="7705" width="37.85546875" style="230" customWidth="1"/>
    <col min="7706" max="7706" width="17.5703125" style="230" customWidth="1"/>
    <col min="7707" max="7707" width="16.5703125" style="230" customWidth="1"/>
    <col min="7708" max="7708" width="28.7109375" style="230" customWidth="1"/>
    <col min="7709" max="7709" width="23.85546875" style="230" customWidth="1"/>
    <col min="7710" max="7936" width="9.140625" style="230"/>
    <col min="7937" max="7938" width="0" style="230" hidden="1" customWidth="1"/>
    <col min="7939" max="7939" width="15.7109375" style="230" customWidth="1"/>
    <col min="7940" max="7940" width="93.42578125" style="230" customWidth="1"/>
    <col min="7941" max="7941" width="32.28515625" style="230" customWidth="1"/>
    <col min="7942" max="7942" width="23.7109375" style="230" customWidth="1"/>
    <col min="7943" max="7943" width="26.42578125" style="230" customWidth="1"/>
    <col min="7944" max="7944" width="26.5703125" style="230" customWidth="1"/>
    <col min="7945" max="7945" width="27.85546875" style="230" customWidth="1"/>
    <col min="7946" max="7946" width="28.140625" style="230" customWidth="1"/>
    <col min="7947" max="7947" width="24.28515625" style="230" customWidth="1"/>
    <col min="7948" max="7948" width="13.140625" style="230" customWidth="1"/>
    <col min="7949" max="7949" width="19.85546875" style="230" customWidth="1"/>
    <col min="7950" max="7950" width="34.42578125" style="230" customWidth="1"/>
    <col min="7951" max="7951" width="18.140625" style="230" customWidth="1"/>
    <col min="7952" max="7952" width="24.7109375" style="230" customWidth="1"/>
    <col min="7953" max="7953" width="23.28515625" style="230" customWidth="1"/>
    <col min="7954" max="7954" width="18.42578125" style="230" customWidth="1"/>
    <col min="7955" max="7955" width="27.85546875" style="230" customWidth="1"/>
    <col min="7956" max="7956" width="49.42578125" style="230" customWidth="1"/>
    <col min="7957" max="7957" width="32.140625" style="230" customWidth="1"/>
    <col min="7958" max="7958" width="22.42578125" style="230" customWidth="1"/>
    <col min="7959" max="7959" width="33" style="230" customWidth="1"/>
    <col min="7960" max="7960" width="58.85546875" style="230" customWidth="1"/>
    <col min="7961" max="7961" width="37.85546875" style="230" customWidth="1"/>
    <col min="7962" max="7962" width="17.5703125" style="230" customWidth="1"/>
    <col min="7963" max="7963" width="16.5703125" style="230" customWidth="1"/>
    <col min="7964" max="7964" width="28.7109375" style="230" customWidth="1"/>
    <col min="7965" max="7965" width="23.85546875" style="230" customWidth="1"/>
    <col min="7966" max="8192" width="9.140625" style="230"/>
    <col min="8193" max="8194" width="0" style="230" hidden="1" customWidth="1"/>
    <col min="8195" max="8195" width="15.7109375" style="230" customWidth="1"/>
    <col min="8196" max="8196" width="93.42578125" style="230" customWidth="1"/>
    <col min="8197" max="8197" width="32.28515625" style="230" customWidth="1"/>
    <col min="8198" max="8198" width="23.7109375" style="230" customWidth="1"/>
    <col min="8199" max="8199" width="26.42578125" style="230" customWidth="1"/>
    <col min="8200" max="8200" width="26.5703125" style="230" customWidth="1"/>
    <col min="8201" max="8201" width="27.85546875" style="230" customWidth="1"/>
    <col min="8202" max="8202" width="28.140625" style="230" customWidth="1"/>
    <col min="8203" max="8203" width="24.28515625" style="230" customWidth="1"/>
    <col min="8204" max="8204" width="13.140625" style="230" customWidth="1"/>
    <col min="8205" max="8205" width="19.85546875" style="230" customWidth="1"/>
    <col min="8206" max="8206" width="34.42578125" style="230" customWidth="1"/>
    <col min="8207" max="8207" width="18.140625" style="230" customWidth="1"/>
    <col min="8208" max="8208" width="24.7109375" style="230" customWidth="1"/>
    <col min="8209" max="8209" width="23.28515625" style="230" customWidth="1"/>
    <col min="8210" max="8210" width="18.42578125" style="230" customWidth="1"/>
    <col min="8211" max="8211" width="27.85546875" style="230" customWidth="1"/>
    <col min="8212" max="8212" width="49.42578125" style="230" customWidth="1"/>
    <col min="8213" max="8213" width="32.140625" style="230" customWidth="1"/>
    <col min="8214" max="8214" width="22.42578125" style="230" customWidth="1"/>
    <col min="8215" max="8215" width="33" style="230" customWidth="1"/>
    <col min="8216" max="8216" width="58.85546875" style="230" customWidth="1"/>
    <col min="8217" max="8217" width="37.85546875" style="230" customWidth="1"/>
    <col min="8218" max="8218" width="17.5703125" style="230" customWidth="1"/>
    <col min="8219" max="8219" width="16.5703125" style="230" customWidth="1"/>
    <col min="8220" max="8220" width="28.7109375" style="230" customWidth="1"/>
    <col min="8221" max="8221" width="23.85546875" style="230" customWidth="1"/>
    <col min="8222" max="8448" width="9.140625" style="230"/>
    <col min="8449" max="8450" width="0" style="230" hidden="1" customWidth="1"/>
    <col min="8451" max="8451" width="15.7109375" style="230" customWidth="1"/>
    <col min="8452" max="8452" width="93.42578125" style="230" customWidth="1"/>
    <col min="8453" max="8453" width="32.28515625" style="230" customWidth="1"/>
    <col min="8454" max="8454" width="23.7109375" style="230" customWidth="1"/>
    <col min="8455" max="8455" width="26.42578125" style="230" customWidth="1"/>
    <col min="8456" max="8456" width="26.5703125" style="230" customWidth="1"/>
    <col min="8457" max="8457" width="27.85546875" style="230" customWidth="1"/>
    <col min="8458" max="8458" width="28.140625" style="230" customWidth="1"/>
    <col min="8459" max="8459" width="24.28515625" style="230" customWidth="1"/>
    <col min="8460" max="8460" width="13.140625" style="230" customWidth="1"/>
    <col min="8461" max="8461" width="19.85546875" style="230" customWidth="1"/>
    <col min="8462" max="8462" width="34.42578125" style="230" customWidth="1"/>
    <col min="8463" max="8463" width="18.140625" style="230" customWidth="1"/>
    <col min="8464" max="8464" width="24.7109375" style="230" customWidth="1"/>
    <col min="8465" max="8465" width="23.28515625" style="230" customWidth="1"/>
    <col min="8466" max="8466" width="18.42578125" style="230" customWidth="1"/>
    <col min="8467" max="8467" width="27.85546875" style="230" customWidth="1"/>
    <col min="8468" max="8468" width="49.42578125" style="230" customWidth="1"/>
    <col min="8469" max="8469" width="32.140625" style="230" customWidth="1"/>
    <col min="8470" max="8470" width="22.42578125" style="230" customWidth="1"/>
    <col min="8471" max="8471" width="33" style="230" customWidth="1"/>
    <col min="8472" max="8472" width="58.85546875" style="230" customWidth="1"/>
    <col min="8473" max="8473" width="37.85546875" style="230" customWidth="1"/>
    <col min="8474" max="8474" width="17.5703125" style="230" customWidth="1"/>
    <col min="8475" max="8475" width="16.5703125" style="230" customWidth="1"/>
    <col min="8476" max="8476" width="28.7109375" style="230" customWidth="1"/>
    <col min="8477" max="8477" width="23.85546875" style="230" customWidth="1"/>
    <col min="8478" max="8704" width="9.140625" style="230"/>
    <col min="8705" max="8706" width="0" style="230" hidden="1" customWidth="1"/>
    <col min="8707" max="8707" width="15.7109375" style="230" customWidth="1"/>
    <col min="8708" max="8708" width="93.42578125" style="230" customWidth="1"/>
    <col min="8709" max="8709" width="32.28515625" style="230" customWidth="1"/>
    <col min="8710" max="8710" width="23.7109375" style="230" customWidth="1"/>
    <col min="8711" max="8711" width="26.42578125" style="230" customWidth="1"/>
    <col min="8712" max="8712" width="26.5703125" style="230" customWidth="1"/>
    <col min="8713" max="8713" width="27.85546875" style="230" customWidth="1"/>
    <col min="8714" max="8714" width="28.140625" style="230" customWidth="1"/>
    <col min="8715" max="8715" width="24.28515625" style="230" customWidth="1"/>
    <col min="8716" max="8716" width="13.140625" style="230" customWidth="1"/>
    <col min="8717" max="8717" width="19.85546875" style="230" customWidth="1"/>
    <col min="8718" max="8718" width="34.42578125" style="230" customWidth="1"/>
    <col min="8719" max="8719" width="18.140625" style="230" customWidth="1"/>
    <col min="8720" max="8720" width="24.7109375" style="230" customWidth="1"/>
    <col min="8721" max="8721" width="23.28515625" style="230" customWidth="1"/>
    <col min="8722" max="8722" width="18.42578125" style="230" customWidth="1"/>
    <col min="8723" max="8723" width="27.85546875" style="230" customWidth="1"/>
    <col min="8724" max="8724" width="49.42578125" style="230" customWidth="1"/>
    <col min="8725" max="8725" width="32.140625" style="230" customWidth="1"/>
    <col min="8726" max="8726" width="22.42578125" style="230" customWidth="1"/>
    <col min="8727" max="8727" width="33" style="230" customWidth="1"/>
    <col min="8728" max="8728" width="58.85546875" style="230" customWidth="1"/>
    <col min="8729" max="8729" width="37.85546875" style="230" customWidth="1"/>
    <col min="8730" max="8730" width="17.5703125" style="230" customWidth="1"/>
    <col min="8731" max="8731" width="16.5703125" style="230" customWidth="1"/>
    <col min="8732" max="8732" width="28.7109375" style="230" customWidth="1"/>
    <col min="8733" max="8733" width="23.85546875" style="230" customWidth="1"/>
    <col min="8734" max="8960" width="9.140625" style="230"/>
    <col min="8961" max="8962" width="0" style="230" hidden="1" customWidth="1"/>
    <col min="8963" max="8963" width="15.7109375" style="230" customWidth="1"/>
    <col min="8964" max="8964" width="93.42578125" style="230" customWidth="1"/>
    <col min="8965" max="8965" width="32.28515625" style="230" customWidth="1"/>
    <col min="8966" max="8966" width="23.7109375" style="230" customWidth="1"/>
    <col min="8967" max="8967" width="26.42578125" style="230" customWidth="1"/>
    <col min="8968" max="8968" width="26.5703125" style="230" customWidth="1"/>
    <col min="8969" max="8969" width="27.85546875" style="230" customWidth="1"/>
    <col min="8970" max="8970" width="28.140625" style="230" customWidth="1"/>
    <col min="8971" max="8971" width="24.28515625" style="230" customWidth="1"/>
    <col min="8972" max="8972" width="13.140625" style="230" customWidth="1"/>
    <col min="8973" max="8973" width="19.85546875" style="230" customWidth="1"/>
    <col min="8974" max="8974" width="34.42578125" style="230" customWidth="1"/>
    <col min="8975" max="8975" width="18.140625" style="230" customWidth="1"/>
    <col min="8976" max="8976" width="24.7109375" style="230" customWidth="1"/>
    <col min="8977" max="8977" width="23.28515625" style="230" customWidth="1"/>
    <col min="8978" max="8978" width="18.42578125" style="230" customWidth="1"/>
    <col min="8979" max="8979" width="27.85546875" style="230" customWidth="1"/>
    <col min="8980" max="8980" width="49.42578125" style="230" customWidth="1"/>
    <col min="8981" max="8981" width="32.140625" style="230" customWidth="1"/>
    <col min="8982" max="8982" width="22.42578125" style="230" customWidth="1"/>
    <col min="8983" max="8983" width="33" style="230" customWidth="1"/>
    <col min="8984" max="8984" width="58.85546875" style="230" customWidth="1"/>
    <col min="8985" max="8985" width="37.85546875" style="230" customWidth="1"/>
    <col min="8986" max="8986" width="17.5703125" style="230" customWidth="1"/>
    <col min="8987" max="8987" width="16.5703125" style="230" customWidth="1"/>
    <col min="8988" max="8988" width="28.7109375" style="230" customWidth="1"/>
    <col min="8989" max="8989" width="23.85546875" style="230" customWidth="1"/>
    <col min="8990" max="9216" width="9.140625" style="230"/>
    <col min="9217" max="9218" width="0" style="230" hidden="1" customWidth="1"/>
    <col min="9219" max="9219" width="15.7109375" style="230" customWidth="1"/>
    <col min="9220" max="9220" width="93.42578125" style="230" customWidth="1"/>
    <col min="9221" max="9221" width="32.28515625" style="230" customWidth="1"/>
    <col min="9222" max="9222" width="23.7109375" style="230" customWidth="1"/>
    <col min="9223" max="9223" width="26.42578125" style="230" customWidth="1"/>
    <col min="9224" max="9224" width="26.5703125" style="230" customWidth="1"/>
    <col min="9225" max="9225" width="27.85546875" style="230" customWidth="1"/>
    <col min="9226" max="9226" width="28.140625" style="230" customWidth="1"/>
    <col min="9227" max="9227" width="24.28515625" style="230" customWidth="1"/>
    <col min="9228" max="9228" width="13.140625" style="230" customWidth="1"/>
    <col min="9229" max="9229" width="19.85546875" style="230" customWidth="1"/>
    <col min="9230" max="9230" width="34.42578125" style="230" customWidth="1"/>
    <col min="9231" max="9231" width="18.140625" style="230" customWidth="1"/>
    <col min="9232" max="9232" width="24.7109375" style="230" customWidth="1"/>
    <col min="9233" max="9233" width="23.28515625" style="230" customWidth="1"/>
    <col min="9234" max="9234" width="18.42578125" style="230" customWidth="1"/>
    <col min="9235" max="9235" width="27.85546875" style="230" customWidth="1"/>
    <col min="9236" max="9236" width="49.42578125" style="230" customWidth="1"/>
    <col min="9237" max="9237" width="32.140625" style="230" customWidth="1"/>
    <col min="9238" max="9238" width="22.42578125" style="230" customWidth="1"/>
    <col min="9239" max="9239" width="33" style="230" customWidth="1"/>
    <col min="9240" max="9240" width="58.85546875" style="230" customWidth="1"/>
    <col min="9241" max="9241" width="37.85546875" style="230" customWidth="1"/>
    <col min="9242" max="9242" width="17.5703125" style="230" customWidth="1"/>
    <col min="9243" max="9243" width="16.5703125" style="230" customWidth="1"/>
    <col min="9244" max="9244" width="28.7109375" style="230" customWidth="1"/>
    <col min="9245" max="9245" width="23.85546875" style="230" customWidth="1"/>
    <col min="9246" max="9472" width="9.140625" style="230"/>
    <col min="9473" max="9474" width="0" style="230" hidden="1" customWidth="1"/>
    <col min="9475" max="9475" width="15.7109375" style="230" customWidth="1"/>
    <col min="9476" max="9476" width="93.42578125" style="230" customWidth="1"/>
    <col min="9477" max="9477" width="32.28515625" style="230" customWidth="1"/>
    <col min="9478" max="9478" width="23.7109375" style="230" customWidth="1"/>
    <col min="9479" max="9479" width="26.42578125" style="230" customWidth="1"/>
    <col min="9480" max="9480" width="26.5703125" style="230" customWidth="1"/>
    <col min="9481" max="9481" width="27.85546875" style="230" customWidth="1"/>
    <col min="9482" max="9482" width="28.140625" style="230" customWidth="1"/>
    <col min="9483" max="9483" width="24.28515625" style="230" customWidth="1"/>
    <col min="9484" max="9484" width="13.140625" style="230" customWidth="1"/>
    <col min="9485" max="9485" width="19.85546875" style="230" customWidth="1"/>
    <col min="9486" max="9486" width="34.42578125" style="230" customWidth="1"/>
    <col min="9487" max="9487" width="18.140625" style="230" customWidth="1"/>
    <col min="9488" max="9488" width="24.7109375" style="230" customWidth="1"/>
    <col min="9489" max="9489" width="23.28515625" style="230" customWidth="1"/>
    <col min="9490" max="9490" width="18.42578125" style="230" customWidth="1"/>
    <col min="9491" max="9491" width="27.85546875" style="230" customWidth="1"/>
    <col min="9492" max="9492" width="49.42578125" style="230" customWidth="1"/>
    <col min="9493" max="9493" width="32.140625" style="230" customWidth="1"/>
    <col min="9494" max="9494" width="22.42578125" style="230" customWidth="1"/>
    <col min="9495" max="9495" width="33" style="230" customWidth="1"/>
    <col min="9496" max="9496" width="58.85546875" style="230" customWidth="1"/>
    <col min="9497" max="9497" width="37.85546875" style="230" customWidth="1"/>
    <col min="9498" max="9498" width="17.5703125" style="230" customWidth="1"/>
    <col min="9499" max="9499" width="16.5703125" style="230" customWidth="1"/>
    <col min="9500" max="9500" width="28.7109375" style="230" customWidth="1"/>
    <col min="9501" max="9501" width="23.85546875" style="230" customWidth="1"/>
    <col min="9502" max="9728" width="9.140625" style="230"/>
    <col min="9729" max="9730" width="0" style="230" hidden="1" customWidth="1"/>
    <col min="9731" max="9731" width="15.7109375" style="230" customWidth="1"/>
    <col min="9732" max="9732" width="93.42578125" style="230" customWidth="1"/>
    <col min="9733" max="9733" width="32.28515625" style="230" customWidth="1"/>
    <col min="9734" max="9734" width="23.7109375" style="230" customWidth="1"/>
    <col min="9735" max="9735" width="26.42578125" style="230" customWidth="1"/>
    <col min="9736" max="9736" width="26.5703125" style="230" customWidth="1"/>
    <col min="9737" max="9737" width="27.85546875" style="230" customWidth="1"/>
    <col min="9738" max="9738" width="28.140625" style="230" customWidth="1"/>
    <col min="9739" max="9739" width="24.28515625" style="230" customWidth="1"/>
    <col min="9740" max="9740" width="13.140625" style="230" customWidth="1"/>
    <col min="9741" max="9741" width="19.85546875" style="230" customWidth="1"/>
    <col min="9742" max="9742" width="34.42578125" style="230" customWidth="1"/>
    <col min="9743" max="9743" width="18.140625" style="230" customWidth="1"/>
    <col min="9744" max="9744" width="24.7109375" style="230" customWidth="1"/>
    <col min="9745" max="9745" width="23.28515625" style="230" customWidth="1"/>
    <col min="9746" max="9746" width="18.42578125" style="230" customWidth="1"/>
    <col min="9747" max="9747" width="27.85546875" style="230" customWidth="1"/>
    <col min="9748" max="9748" width="49.42578125" style="230" customWidth="1"/>
    <col min="9749" max="9749" width="32.140625" style="230" customWidth="1"/>
    <col min="9750" max="9750" width="22.42578125" style="230" customWidth="1"/>
    <col min="9751" max="9751" width="33" style="230" customWidth="1"/>
    <col min="9752" max="9752" width="58.85546875" style="230" customWidth="1"/>
    <col min="9753" max="9753" width="37.85546875" style="230" customWidth="1"/>
    <col min="9754" max="9754" width="17.5703125" style="230" customWidth="1"/>
    <col min="9755" max="9755" width="16.5703125" style="230" customWidth="1"/>
    <col min="9756" max="9756" width="28.7109375" style="230" customWidth="1"/>
    <col min="9757" max="9757" width="23.85546875" style="230" customWidth="1"/>
    <col min="9758" max="9984" width="9.140625" style="230"/>
    <col min="9985" max="9986" width="0" style="230" hidden="1" customWidth="1"/>
    <col min="9987" max="9987" width="15.7109375" style="230" customWidth="1"/>
    <col min="9988" max="9988" width="93.42578125" style="230" customWidth="1"/>
    <col min="9989" max="9989" width="32.28515625" style="230" customWidth="1"/>
    <col min="9990" max="9990" width="23.7109375" style="230" customWidth="1"/>
    <col min="9991" max="9991" width="26.42578125" style="230" customWidth="1"/>
    <col min="9992" max="9992" width="26.5703125" style="230" customWidth="1"/>
    <col min="9993" max="9993" width="27.85546875" style="230" customWidth="1"/>
    <col min="9994" max="9994" width="28.140625" style="230" customWidth="1"/>
    <col min="9995" max="9995" width="24.28515625" style="230" customWidth="1"/>
    <col min="9996" max="9996" width="13.140625" style="230" customWidth="1"/>
    <col min="9997" max="9997" width="19.85546875" style="230" customWidth="1"/>
    <col min="9998" max="9998" width="34.42578125" style="230" customWidth="1"/>
    <col min="9999" max="9999" width="18.140625" style="230" customWidth="1"/>
    <col min="10000" max="10000" width="24.7109375" style="230" customWidth="1"/>
    <col min="10001" max="10001" width="23.28515625" style="230" customWidth="1"/>
    <col min="10002" max="10002" width="18.42578125" style="230" customWidth="1"/>
    <col min="10003" max="10003" width="27.85546875" style="230" customWidth="1"/>
    <col min="10004" max="10004" width="49.42578125" style="230" customWidth="1"/>
    <col min="10005" max="10005" width="32.140625" style="230" customWidth="1"/>
    <col min="10006" max="10006" width="22.42578125" style="230" customWidth="1"/>
    <col min="10007" max="10007" width="33" style="230" customWidth="1"/>
    <col min="10008" max="10008" width="58.85546875" style="230" customWidth="1"/>
    <col min="10009" max="10009" width="37.85546875" style="230" customWidth="1"/>
    <col min="10010" max="10010" width="17.5703125" style="230" customWidth="1"/>
    <col min="10011" max="10011" width="16.5703125" style="230" customWidth="1"/>
    <col min="10012" max="10012" width="28.7109375" style="230" customWidth="1"/>
    <col min="10013" max="10013" width="23.85546875" style="230" customWidth="1"/>
    <col min="10014" max="10240" width="9.140625" style="230"/>
    <col min="10241" max="10242" width="0" style="230" hidden="1" customWidth="1"/>
    <col min="10243" max="10243" width="15.7109375" style="230" customWidth="1"/>
    <col min="10244" max="10244" width="93.42578125" style="230" customWidth="1"/>
    <col min="10245" max="10245" width="32.28515625" style="230" customWidth="1"/>
    <col min="10246" max="10246" width="23.7109375" style="230" customWidth="1"/>
    <col min="10247" max="10247" width="26.42578125" style="230" customWidth="1"/>
    <col min="10248" max="10248" width="26.5703125" style="230" customWidth="1"/>
    <col min="10249" max="10249" width="27.85546875" style="230" customWidth="1"/>
    <col min="10250" max="10250" width="28.140625" style="230" customWidth="1"/>
    <col min="10251" max="10251" width="24.28515625" style="230" customWidth="1"/>
    <col min="10252" max="10252" width="13.140625" style="230" customWidth="1"/>
    <col min="10253" max="10253" width="19.85546875" style="230" customWidth="1"/>
    <col min="10254" max="10254" width="34.42578125" style="230" customWidth="1"/>
    <col min="10255" max="10255" width="18.140625" style="230" customWidth="1"/>
    <col min="10256" max="10256" width="24.7109375" style="230" customWidth="1"/>
    <col min="10257" max="10257" width="23.28515625" style="230" customWidth="1"/>
    <col min="10258" max="10258" width="18.42578125" style="230" customWidth="1"/>
    <col min="10259" max="10259" width="27.85546875" style="230" customWidth="1"/>
    <col min="10260" max="10260" width="49.42578125" style="230" customWidth="1"/>
    <col min="10261" max="10261" width="32.140625" style="230" customWidth="1"/>
    <col min="10262" max="10262" width="22.42578125" style="230" customWidth="1"/>
    <col min="10263" max="10263" width="33" style="230" customWidth="1"/>
    <col min="10264" max="10264" width="58.85546875" style="230" customWidth="1"/>
    <col min="10265" max="10265" width="37.85546875" style="230" customWidth="1"/>
    <col min="10266" max="10266" width="17.5703125" style="230" customWidth="1"/>
    <col min="10267" max="10267" width="16.5703125" style="230" customWidth="1"/>
    <col min="10268" max="10268" width="28.7109375" style="230" customWidth="1"/>
    <col min="10269" max="10269" width="23.85546875" style="230" customWidth="1"/>
    <col min="10270" max="10496" width="9.140625" style="230"/>
    <col min="10497" max="10498" width="0" style="230" hidden="1" customWidth="1"/>
    <col min="10499" max="10499" width="15.7109375" style="230" customWidth="1"/>
    <col min="10500" max="10500" width="93.42578125" style="230" customWidth="1"/>
    <col min="10501" max="10501" width="32.28515625" style="230" customWidth="1"/>
    <col min="10502" max="10502" width="23.7109375" style="230" customWidth="1"/>
    <col min="10503" max="10503" width="26.42578125" style="230" customWidth="1"/>
    <col min="10504" max="10504" width="26.5703125" style="230" customWidth="1"/>
    <col min="10505" max="10505" width="27.85546875" style="230" customWidth="1"/>
    <col min="10506" max="10506" width="28.140625" style="230" customWidth="1"/>
    <col min="10507" max="10507" width="24.28515625" style="230" customWidth="1"/>
    <col min="10508" max="10508" width="13.140625" style="230" customWidth="1"/>
    <col min="10509" max="10509" width="19.85546875" style="230" customWidth="1"/>
    <col min="10510" max="10510" width="34.42578125" style="230" customWidth="1"/>
    <col min="10511" max="10511" width="18.140625" style="230" customWidth="1"/>
    <col min="10512" max="10512" width="24.7109375" style="230" customWidth="1"/>
    <col min="10513" max="10513" width="23.28515625" style="230" customWidth="1"/>
    <col min="10514" max="10514" width="18.42578125" style="230" customWidth="1"/>
    <col min="10515" max="10515" width="27.85546875" style="230" customWidth="1"/>
    <col min="10516" max="10516" width="49.42578125" style="230" customWidth="1"/>
    <col min="10517" max="10517" width="32.140625" style="230" customWidth="1"/>
    <col min="10518" max="10518" width="22.42578125" style="230" customWidth="1"/>
    <col min="10519" max="10519" width="33" style="230" customWidth="1"/>
    <col min="10520" max="10520" width="58.85546875" style="230" customWidth="1"/>
    <col min="10521" max="10521" width="37.85546875" style="230" customWidth="1"/>
    <col min="10522" max="10522" width="17.5703125" style="230" customWidth="1"/>
    <col min="10523" max="10523" width="16.5703125" style="230" customWidth="1"/>
    <col min="10524" max="10524" width="28.7109375" style="230" customWidth="1"/>
    <col min="10525" max="10525" width="23.85546875" style="230" customWidth="1"/>
    <col min="10526" max="10752" width="9.140625" style="230"/>
    <col min="10753" max="10754" width="0" style="230" hidden="1" customWidth="1"/>
    <col min="10755" max="10755" width="15.7109375" style="230" customWidth="1"/>
    <col min="10756" max="10756" width="93.42578125" style="230" customWidth="1"/>
    <col min="10757" max="10757" width="32.28515625" style="230" customWidth="1"/>
    <col min="10758" max="10758" width="23.7109375" style="230" customWidth="1"/>
    <col min="10759" max="10759" width="26.42578125" style="230" customWidth="1"/>
    <col min="10760" max="10760" width="26.5703125" style="230" customWidth="1"/>
    <col min="10761" max="10761" width="27.85546875" style="230" customWidth="1"/>
    <col min="10762" max="10762" width="28.140625" style="230" customWidth="1"/>
    <col min="10763" max="10763" width="24.28515625" style="230" customWidth="1"/>
    <col min="10764" max="10764" width="13.140625" style="230" customWidth="1"/>
    <col min="10765" max="10765" width="19.85546875" style="230" customWidth="1"/>
    <col min="10766" max="10766" width="34.42578125" style="230" customWidth="1"/>
    <col min="10767" max="10767" width="18.140625" style="230" customWidth="1"/>
    <col min="10768" max="10768" width="24.7109375" style="230" customWidth="1"/>
    <col min="10769" max="10769" width="23.28515625" style="230" customWidth="1"/>
    <col min="10770" max="10770" width="18.42578125" style="230" customWidth="1"/>
    <col min="10771" max="10771" width="27.85546875" style="230" customWidth="1"/>
    <col min="10772" max="10772" width="49.42578125" style="230" customWidth="1"/>
    <col min="10773" max="10773" width="32.140625" style="230" customWidth="1"/>
    <col min="10774" max="10774" width="22.42578125" style="230" customWidth="1"/>
    <col min="10775" max="10775" width="33" style="230" customWidth="1"/>
    <col min="10776" max="10776" width="58.85546875" style="230" customWidth="1"/>
    <col min="10777" max="10777" width="37.85546875" style="230" customWidth="1"/>
    <col min="10778" max="10778" width="17.5703125" style="230" customWidth="1"/>
    <col min="10779" max="10779" width="16.5703125" style="230" customWidth="1"/>
    <col min="10780" max="10780" width="28.7109375" style="230" customWidth="1"/>
    <col min="10781" max="10781" width="23.85546875" style="230" customWidth="1"/>
    <col min="10782" max="11008" width="9.140625" style="230"/>
    <col min="11009" max="11010" width="0" style="230" hidden="1" customWidth="1"/>
    <col min="11011" max="11011" width="15.7109375" style="230" customWidth="1"/>
    <col min="11012" max="11012" width="93.42578125" style="230" customWidth="1"/>
    <col min="11013" max="11013" width="32.28515625" style="230" customWidth="1"/>
    <col min="11014" max="11014" width="23.7109375" style="230" customWidth="1"/>
    <col min="11015" max="11015" width="26.42578125" style="230" customWidth="1"/>
    <col min="11016" max="11016" width="26.5703125" style="230" customWidth="1"/>
    <col min="11017" max="11017" width="27.85546875" style="230" customWidth="1"/>
    <col min="11018" max="11018" width="28.140625" style="230" customWidth="1"/>
    <col min="11019" max="11019" width="24.28515625" style="230" customWidth="1"/>
    <col min="11020" max="11020" width="13.140625" style="230" customWidth="1"/>
    <col min="11021" max="11021" width="19.85546875" style="230" customWidth="1"/>
    <col min="11022" max="11022" width="34.42578125" style="230" customWidth="1"/>
    <col min="11023" max="11023" width="18.140625" style="230" customWidth="1"/>
    <col min="11024" max="11024" width="24.7109375" style="230" customWidth="1"/>
    <col min="11025" max="11025" width="23.28515625" style="230" customWidth="1"/>
    <col min="11026" max="11026" width="18.42578125" style="230" customWidth="1"/>
    <col min="11027" max="11027" width="27.85546875" style="230" customWidth="1"/>
    <col min="11028" max="11028" width="49.42578125" style="230" customWidth="1"/>
    <col min="11029" max="11029" width="32.140625" style="230" customWidth="1"/>
    <col min="11030" max="11030" width="22.42578125" style="230" customWidth="1"/>
    <col min="11031" max="11031" width="33" style="230" customWidth="1"/>
    <col min="11032" max="11032" width="58.85546875" style="230" customWidth="1"/>
    <col min="11033" max="11033" width="37.85546875" style="230" customWidth="1"/>
    <col min="11034" max="11034" width="17.5703125" style="230" customWidth="1"/>
    <col min="11035" max="11035" width="16.5703125" style="230" customWidth="1"/>
    <col min="11036" max="11036" width="28.7109375" style="230" customWidth="1"/>
    <col min="11037" max="11037" width="23.85546875" style="230" customWidth="1"/>
    <col min="11038" max="11264" width="9.140625" style="230"/>
    <col min="11265" max="11266" width="0" style="230" hidden="1" customWidth="1"/>
    <col min="11267" max="11267" width="15.7109375" style="230" customWidth="1"/>
    <col min="11268" max="11268" width="93.42578125" style="230" customWidth="1"/>
    <col min="11269" max="11269" width="32.28515625" style="230" customWidth="1"/>
    <col min="11270" max="11270" width="23.7109375" style="230" customWidth="1"/>
    <col min="11271" max="11271" width="26.42578125" style="230" customWidth="1"/>
    <col min="11272" max="11272" width="26.5703125" style="230" customWidth="1"/>
    <col min="11273" max="11273" width="27.85546875" style="230" customWidth="1"/>
    <col min="11274" max="11274" width="28.140625" style="230" customWidth="1"/>
    <col min="11275" max="11275" width="24.28515625" style="230" customWidth="1"/>
    <col min="11276" max="11276" width="13.140625" style="230" customWidth="1"/>
    <col min="11277" max="11277" width="19.85546875" style="230" customWidth="1"/>
    <col min="11278" max="11278" width="34.42578125" style="230" customWidth="1"/>
    <col min="11279" max="11279" width="18.140625" style="230" customWidth="1"/>
    <col min="11280" max="11280" width="24.7109375" style="230" customWidth="1"/>
    <col min="11281" max="11281" width="23.28515625" style="230" customWidth="1"/>
    <col min="11282" max="11282" width="18.42578125" style="230" customWidth="1"/>
    <col min="11283" max="11283" width="27.85546875" style="230" customWidth="1"/>
    <col min="11284" max="11284" width="49.42578125" style="230" customWidth="1"/>
    <col min="11285" max="11285" width="32.140625" style="230" customWidth="1"/>
    <col min="11286" max="11286" width="22.42578125" style="230" customWidth="1"/>
    <col min="11287" max="11287" width="33" style="230" customWidth="1"/>
    <col min="11288" max="11288" width="58.85546875" style="230" customWidth="1"/>
    <col min="11289" max="11289" width="37.85546875" style="230" customWidth="1"/>
    <col min="11290" max="11290" width="17.5703125" style="230" customWidth="1"/>
    <col min="11291" max="11291" width="16.5703125" style="230" customWidth="1"/>
    <col min="11292" max="11292" width="28.7109375" style="230" customWidth="1"/>
    <col min="11293" max="11293" width="23.85546875" style="230" customWidth="1"/>
    <col min="11294" max="11520" width="9.140625" style="230"/>
    <col min="11521" max="11522" width="0" style="230" hidden="1" customWidth="1"/>
    <col min="11523" max="11523" width="15.7109375" style="230" customWidth="1"/>
    <col min="11524" max="11524" width="93.42578125" style="230" customWidth="1"/>
    <col min="11525" max="11525" width="32.28515625" style="230" customWidth="1"/>
    <col min="11526" max="11526" width="23.7109375" style="230" customWidth="1"/>
    <col min="11527" max="11527" width="26.42578125" style="230" customWidth="1"/>
    <col min="11528" max="11528" width="26.5703125" style="230" customWidth="1"/>
    <col min="11529" max="11529" width="27.85546875" style="230" customWidth="1"/>
    <col min="11530" max="11530" width="28.140625" style="230" customWidth="1"/>
    <col min="11531" max="11531" width="24.28515625" style="230" customWidth="1"/>
    <col min="11532" max="11532" width="13.140625" style="230" customWidth="1"/>
    <col min="11533" max="11533" width="19.85546875" style="230" customWidth="1"/>
    <col min="11534" max="11534" width="34.42578125" style="230" customWidth="1"/>
    <col min="11535" max="11535" width="18.140625" style="230" customWidth="1"/>
    <col min="11536" max="11536" width="24.7109375" style="230" customWidth="1"/>
    <col min="11537" max="11537" width="23.28515625" style="230" customWidth="1"/>
    <col min="11538" max="11538" width="18.42578125" style="230" customWidth="1"/>
    <col min="11539" max="11539" width="27.85546875" style="230" customWidth="1"/>
    <col min="11540" max="11540" width="49.42578125" style="230" customWidth="1"/>
    <col min="11541" max="11541" width="32.140625" style="230" customWidth="1"/>
    <col min="11542" max="11542" width="22.42578125" style="230" customWidth="1"/>
    <col min="11543" max="11543" width="33" style="230" customWidth="1"/>
    <col min="11544" max="11544" width="58.85546875" style="230" customWidth="1"/>
    <col min="11545" max="11545" width="37.85546875" style="230" customWidth="1"/>
    <col min="11546" max="11546" width="17.5703125" style="230" customWidth="1"/>
    <col min="11547" max="11547" width="16.5703125" style="230" customWidth="1"/>
    <col min="11548" max="11548" width="28.7109375" style="230" customWidth="1"/>
    <col min="11549" max="11549" width="23.85546875" style="230" customWidth="1"/>
    <col min="11550" max="11776" width="9.140625" style="230"/>
    <col min="11777" max="11778" width="0" style="230" hidden="1" customWidth="1"/>
    <col min="11779" max="11779" width="15.7109375" style="230" customWidth="1"/>
    <col min="11780" max="11780" width="93.42578125" style="230" customWidth="1"/>
    <col min="11781" max="11781" width="32.28515625" style="230" customWidth="1"/>
    <col min="11782" max="11782" width="23.7109375" style="230" customWidth="1"/>
    <col min="11783" max="11783" width="26.42578125" style="230" customWidth="1"/>
    <col min="11784" max="11784" width="26.5703125" style="230" customWidth="1"/>
    <col min="11785" max="11785" width="27.85546875" style="230" customWidth="1"/>
    <col min="11786" max="11786" width="28.140625" style="230" customWidth="1"/>
    <col min="11787" max="11787" width="24.28515625" style="230" customWidth="1"/>
    <col min="11788" max="11788" width="13.140625" style="230" customWidth="1"/>
    <col min="11789" max="11789" width="19.85546875" style="230" customWidth="1"/>
    <col min="11790" max="11790" width="34.42578125" style="230" customWidth="1"/>
    <col min="11791" max="11791" width="18.140625" style="230" customWidth="1"/>
    <col min="11792" max="11792" width="24.7109375" style="230" customWidth="1"/>
    <col min="11793" max="11793" width="23.28515625" style="230" customWidth="1"/>
    <col min="11794" max="11794" width="18.42578125" style="230" customWidth="1"/>
    <col min="11795" max="11795" width="27.85546875" style="230" customWidth="1"/>
    <col min="11796" max="11796" width="49.42578125" style="230" customWidth="1"/>
    <col min="11797" max="11797" width="32.140625" style="230" customWidth="1"/>
    <col min="11798" max="11798" width="22.42578125" style="230" customWidth="1"/>
    <col min="11799" max="11799" width="33" style="230" customWidth="1"/>
    <col min="11800" max="11800" width="58.85546875" style="230" customWidth="1"/>
    <col min="11801" max="11801" width="37.85546875" style="230" customWidth="1"/>
    <col min="11802" max="11802" width="17.5703125" style="230" customWidth="1"/>
    <col min="11803" max="11803" width="16.5703125" style="230" customWidth="1"/>
    <col min="11804" max="11804" width="28.7109375" style="230" customWidth="1"/>
    <col min="11805" max="11805" width="23.85546875" style="230" customWidth="1"/>
    <col min="11806" max="12032" width="9.140625" style="230"/>
    <col min="12033" max="12034" width="0" style="230" hidden="1" customWidth="1"/>
    <col min="12035" max="12035" width="15.7109375" style="230" customWidth="1"/>
    <col min="12036" max="12036" width="93.42578125" style="230" customWidth="1"/>
    <col min="12037" max="12037" width="32.28515625" style="230" customWidth="1"/>
    <col min="12038" max="12038" width="23.7109375" style="230" customWidth="1"/>
    <col min="12039" max="12039" width="26.42578125" style="230" customWidth="1"/>
    <col min="12040" max="12040" width="26.5703125" style="230" customWidth="1"/>
    <col min="12041" max="12041" width="27.85546875" style="230" customWidth="1"/>
    <col min="12042" max="12042" width="28.140625" style="230" customWidth="1"/>
    <col min="12043" max="12043" width="24.28515625" style="230" customWidth="1"/>
    <col min="12044" max="12044" width="13.140625" style="230" customWidth="1"/>
    <col min="12045" max="12045" width="19.85546875" style="230" customWidth="1"/>
    <col min="12046" max="12046" width="34.42578125" style="230" customWidth="1"/>
    <col min="12047" max="12047" width="18.140625" style="230" customWidth="1"/>
    <col min="12048" max="12048" width="24.7109375" style="230" customWidth="1"/>
    <col min="12049" max="12049" width="23.28515625" style="230" customWidth="1"/>
    <col min="12050" max="12050" width="18.42578125" style="230" customWidth="1"/>
    <col min="12051" max="12051" width="27.85546875" style="230" customWidth="1"/>
    <col min="12052" max="12052" width="49.42578125" style="230" customWidth="1"/>
    <col min="12053" max="12053" width="32.140625" style="230" customWidth="1"/>
    <col min="12054" max="12054" width="22.42578125" style="230" customWidth="1"/>
    <col min="12055" max="12055" width="33" style="230" customWidth="1"/>
    <col min="12056" max="12056" width="58.85546875" style="230" customWidth="1"/>
    <col min="12057" max="12057" width="37.85546875" style="230" customWidth="1"/>
    <col min="12058" max="12058" width="17.5703125" style="230" customWidth="1"/>
    <col min="12059" max="12059" width="16.5703125" style="230" customWidth="1"/>
    <col min="12060" max="12060" width="28.7109375" style="230" customWidth="1"/>
    <col min="12061" max="12061" width="23.85546875" style="230" customWidth="1"/>
    <col min="12062" max="12288" width="9.140625" style="230"/>
    <col min="12289" max="12290" width="0" style="230" hidden="1" customWidth="1"/>
    <col min="12291" max="12291" width="15.7109375" style="230" customWidth="1"/>
    <col min="12292" max="12292" width="93.42578125" style="230" customWidth="1"/>
    <col min="12293" max="12293" width="32.28515625" style="230" customWidth="1"/>
    <col min="12294" max="12294" width="23.7109375" style="230" customWidth="1"/>
    <col min="12295" max="12295" width="26.42578125" style="230" customWidth="1"/>
    <col min="12296" max="12296" width="26.5703125" style="230" customWidth="1"/>
    <col min="12297" max="12297" width="27.85546875" style="230" customWidth="1"/>
    <col min="12298" max="12298" width="28.140625" style="230" customWidth="1"/>
    <col min="12299" max="12299" width="24.28515625" style="230" customWidth="1"/>
    <col min="12300" max="12300" width="13.140625" style="230" customWidth="1"/>
    <col min="12301" max="12301" width="19.85546875" style="230" customWidth="1"/>
    <col min="12302" max="12302" width="34.42578125" style="230" customWidth="1"/>
    <col min="12303" max="12303" width="18.140625" style="230" customWidth="1"/>
    <col min="12304" max="12304" width="24.7109375" style="230" customWidth="1"/>
    <col min="12305" max="12305" width="23.28515625" style="230" customWidth="1"/>
    <col min="12306" max="12306" width="18.42578125" style="230" customWidth="1"/>
    <col min="12307" max="12307" width="27.85546875" style="230" customWidth="1"/>
    <col min="12308" max="12308" width="49.42578125" style="230" customWidth="1"/>
    <col min="12309" max="12309" width="32.140625" style="230" customWidth="1"/>
    <col min="12310" max="12310" width="22.42578125" style="230" customWidth="1"/>
    <col min="12311" max="12311" width="33" style="230" customWidth="1"/>
    <col min="12312" max="12312" width="58.85546875" style="230" customWidth="1"/>
    <col min="12313" max="12313" width="37.85546875" style="230" customWidth="1"/>
    <col min="12314" max="12314" width="17.5703125" style="230" customWidth="1"/>
    <col min="12315" max="12315" width="16.5703125" style="230" customWidth="1"/>
    <col min="12316" max="12316" width="28.7109375" style="230" customWidth="1"/>
    <col min="12317" max="12317" width="23.85546875" style="230" customWidth="1"/>
    <col min="12318" max="12544" width="9.140625" style="230"/>
    <col min="12545" max="12546" width="0" style="230" hidden="1" customWidth="1"/>
    <col min="12547" max="12547" width="15.7109375" style="230" customWidth="1"/>
    <col min="12548" max="12548" width="93.42578125" style="230" customWidth="1"/>
    <col min="12549" max="12549" width="32.28515625" style="230" customWidth="1"/>
    <col min="12550" max="12550" width="23.7109375" style="230" customWidth="1"/>
    <col min="12551" max="12551" width="26.42578125" style="230" customWidth="1"/>
    <col min="12552" max="12552" width="26.5703125" style="230" customWidth="1"/>
    <col min="12553" max="12553" width="27.85546875" style="230" customWidth="1"/>
    <col min="12554" max="12554" width="28.140625" style="230" customWidth="1"/>
    <col min="12555" max="12555" width="24.28515625" style="230" customWidth="1"/>
    <col min="12556" max="12556" width="13.140625" style="230" customWidth="1"/>
    <col min="12557" max="12557" width="19.85546875" style="230" customWidth="1"/>
    <col min="12558" max="12558" width="34.42578125" style="230" customWidth="1"/>
    <col min="12559" max="12559" width="18.140625" style="230" customWidth="1"/>
    <col min="12560" max="12560" width="24.7109375" style="230" customWidth="1"/>
    <col min="12561" max="12561" width="23.28515625" style="230" customWidth="1"/>
    <col min="12562" max="12562" width="18.42578125" style="230" customWidth="1"/>
    <col min="12563" max="12563" width="27.85546875" style="230" customWidth="1"/>
    <col min="12564" max="12564" width="49.42578125" style="230" customWidth="1"/>
    <col min="12565" max="12565" width="32.140625" style="230" customWidth="1"/>
    <col min="12566" max="12566" width="22.42578125" style="230" customWidth="1"/>
    <col min="12567" max="12567" width="33" style="230" customWidth="1"/>
    <col min="12568" max="12568" width="58.85546875" style="230" customWidth="1"/>
    <col min="12569" max="12569" width="37.85546875" style="230" customWidth="1"/>
    <col min="12570" max="12570" width="17.5703125" style="230" customWidth="1"/>
    <col min="12571" max="12571" width="16.5703125" style="230" customWidth="1"/>
    <col min="12572" max="12572" width="28.7109375" style="230" customWidth="1"/>
    <col min="12573" max="12573" width="23.85546875" style="230" customWidth="1"/>
    <col min="12574" max="12800" width="9.140625" style="230"/>
    <col min="12801" max="12802" width="0" style="230" hidden="1" customWidth="1"/>
    <col min="12803" max="12803" width="15.7109375" style="230" customWidth="1"/>
    <col min="12804" max="12804" width="93.42578125" style="230" customWidth="1"/>
    <col min="12805" max="12805" width="32.28515625" style="230" customWidth="1"/>
    <col min="12806" max="12806" width="23.7109375" style="230" customWidth="1"/>
    <col min="12807" max="12807" width="26.42578125" style="230" customWidth="1"/>
    <col min="12808" max="12808" width="26.5703125" style="230" customWidth="1"/>
    <col min="12809" max="12809" width="27.85546875" style="230" customWidth="1"/>
    <col min="12810" max="12810" width="28.140625" style="230" customWidth="1"/>
    <col min="12811" max="12811" width="24.28515625" style="230" customWidth="1"/>
    <col min="12812" max="12812" width="13.140625" style="230" customWidth="1"/>
    <col min="12813" max="12813" width="19.85546875" style="230" customWidth="1"/>
    <col min="12814" max="12814" width="34.42578125" style="230" customWidth="1"/>
    <col min="12815" max="12815" width="18.140625" style="230" customWidth="1"/>
    <col min="12816" max="12816" width="24.7109375" style="230" customWidth="1"/>
    <col min="12817" max="12817" width="23.28515625" style="230" customWidth="1"/>
    <col min="12818" max="12818" width="18.42578125" style="230" customWidth="1"/>
    <col min="12819" max="12819" width="27.85546875" style="230" customWidth="1"/>
    <col min="12820" max="12820" width="49.42578125" style="230" customWidth="1"/>
    <col min="12821" max="12821" width="32.140625" style="230" customWidth="1"/>
    <col min="12822" max="12822" width="22.42578125" style="230" customWidth="1"/>
    <col min="12823" max="12823" width="33" style="230" customWidth="1"/>
    <col min="12824" max="12824" width="58.85546875" style="230" customWidth="1"/>
    <col min="12825" max="12825" width="37.85546875" style="230" customWidth="1"/>
    <col min="12826" max="12826" width="17.5703125" style="230" customWidth="1"/>
    <col min="12827" max="12827" width="16.5703125" style="230" customWidth="1"/>
    <col min="12828" max="12828" width="28.7109375" style="230" customWidth="1"/>
    <col min="12829" max="12829" width="23.85546875" style="230" customWidth="1"/>
    <col min="12830" max="13056" width="9.140625" style="230"/>
    <col min="13057" max="13058" width="0" style="230" hidden="1" customWidth="1"/>
    <col min="13059" max="13059" width="15.7109375" style="230" customWidth="1"/>
    <col min="13060" max="13060" width="93.42578125" style="230" customWidth="1"/>
    <col min="13061" max="13061" width="32.28515625" style="230" customWidth="1"/>
    <col min="13062" max="13062" width="23.7109375" style="230" customWidth="1"/>
    <col min="13063" max="13063" width="26.42578125" style="230" customWidth="1"/>
    <col min="13064" max="13064" width="26.5703125" style="230" customWidth="1"/>
    <col min="13065" max="13065" width="27.85546875" style="230" customWidth="1"/>
    <col min="13066" max="13066" width="28.140625" style="230" customWidth="1"/>
    <col min="13067" max="13067" width="24.28515625" style="230" customWidth="1"/>
    <col min="13068" max="13068" width="13.140625" style="230" customWidth="1"/>
    <col min="13069" max="13069" width="19.85546875" style="230" customWidth="1"/>
    <col min="13070" max="13070" width="34.42578125" style="230" customWidth="1"/>
    <col min="13071" max="13071" width="18.140625" style="230" customWidth="1"/>
    <col min="13072" max="13072" width="24.7109375" style="230" customWidth="1"/>
    <col min="13073" max="13073" width="23.28515625" style="230" customWidth="1"/>
    <col min="13074" max="13074" width="18.42578125" style="230" customWidth="1"/>
    <col min="13075" max="13075" width="27.85546875" style="230" customWidth="1"/>
    <col min="13076" max="13076" width="49.42578125" style="230" customWidth="1"/>
    <col min="13077" max="13077" width="32.140625" style="230" customWidth="1"/>
    <col min="13078" max="13078" width="22.42578125" style="230" customWidth="1"/>
    <col min="13079" max="13079" width="33" style="230" customWidth="1"/>
    <col min="13080" max="13080" width="58.85546875" style="230" customWidth="1"/>
    <col min="13081" max="13081" width="37.85546875" style="230" customWidth="1"/>
    <col min="13082" max="13082" width="17.5703125" style="230" customWidth="1"/>
    <col min="13083" max="13083" width="16.5703125" style="230" customWidth="1"/>
    <col min="13084" max="13084" width="28.7109375" style="230" customWidth="1"/>
    <col min="13085" max="13085" width="23.85546875" style="230" customWidth="1"/>
    <col min="13086" max="13312" width="9.140625" style="230"/>
    <col min="13313" max="13314" width="0" style="230" hidden="1" customWidth="1"/>
    <col min="13315" max="13315" width="15.7109375" style="230" customWidth="1"/>
    <col min="13316" max="13316" width="93.42578125" style="230" customWidth="1"/>
    <col min="13317" max="13317" width="32.28515625" style="230" customWidth="1"/>
    <col min="13318" max="13318" width="23.7109375" style="230" customWidth="1"/>
    <col min="13319" max="13319" width="26.42578125" style="230" customWidth="1"/>
    <col min="13320" max="13320" width="26.5703125" style="230" customWidth="1"/>
    <col min="13321" max="13321" width="27.85546875" style="230" customWidth="1"/>
    <col min="13322" max="13322" width="28.140625" style="230" customWidth="1"/>
    <col min="13323" max="13323" width="24.28515625" style="230" customWidth="1"/>
    <col min="13324" max="13324" width="13.140625" style="230" customWidth="1"/>
    <col min="13325" max="13325" width="19.85546875" style="230" customWidth="1"/>
    <col min="13326" max="13326" width="34.42578125" style="230" customWidth="1"/>
    <col min="13327" max="13327" width="18.140625" style="230" customWidth="1"/>
    <col min="13328" max="13328" width="24.7109375" style="230" customWidth="1"/>
    <col min="13329" max="13329" width="23.28515625" style="230" customWidth="1"/>
    <col min="13330" max="13330" width="18.42578125" style="230" customWidth="1"/>
    <col min="13331" max="13331" width="27.85546875" style="230" customWidth="1"/>
    <col min="13332" max="13332" width="49.42578125" style="230" customWidth="1"/>
    <col min="13333" max="13333" width="32.140625" style="230" customWidth="1"/>
    <col min="13334" max="13334" width="22.42578125" style="230" customWidth="1"/>
    <col min="13335" max="13335" width="33" style="230" customWidth="1"/>
    <col min="13336" max="13336" width="58.85546875" style="230" customWidth="1"/>
    <col min="13337" max="13337" width="37.85546875" style="230" customWidth="1"/>
    <col min="13338" max="13338" width="17.5703125" style="230" customWidth="1"/>
    <col min="13339" max="13339" width="16.5703125" style="230" customWidth="1"/>
    <col min="13340" max="13340" width="28.7109375" style="230" customWidth="1"/>
    <col min="13341" max="13341" width="23.85546875" style="230" customWidth="1"/>
    <col min="13342" max="13568" width="9.140625" style="230"/>
    <col min="13569" max="13570" width="0" style="230" hidden="1" customWidth="1"/>
    <col min="13571" max="13571" width="15.7109375" style="230" customWidth="1"/>
    <col min="13572" max="13572" width="93.42578125" style="230" customWidth="1"/>
    <col min="13573" max="13573" width="32.28515625" style="230" customWidth="1"/>
    <col min="13574" max="13574" width="23.7109375" style="230" customWidth="1"/>
    <col min="13575" max="13575" width="26.42578125" style="230" customWidth="1"/>
    <col min="13576" max="13576" width="26.5703125" style="230" customWidth="1"/>
    <col min="13577" max="13577" width="27.85546875" style="230" customWidth="1"/>
    <col min="13578" max="13578" width="28.140625" style="230" customWidth="1"/>
    <col min="13579" max="13579" width="24.28515625" style="230" customWidth="1"/>
    <col min="13580" max="13580" width="13.140625" style="230" customWidth="1"/>
    <col min="13581" max="13581" width="19.85546875" style="230" customWidth="1"/>
    <col min="13582" max="13582" width="34.42578125" style="230" customWidth="1"/>
    <col min="13583" max="13583" width="18.140625" style="230" customWidth="1"/>
    <col min="13584" max="13584" width="24.7109375" style="230" customWidth="1"/>
    <col min="13585" max="13585" width="23.28515625" style="230" customWidth="1"/>
    <col min="13586" max="13586" width="18.42578125" style="230" customWidth="1"/>
    <col min="13587" max="13587" width="27.85546875" style="230" customWidth="1"/>
    <col min="13588" max="13588" width="49.42578125" style="230" customWidth="1"/>
    <col min="13589" max="13589" width="32.140625" style="230" customWidth="1"/>
    <col min="13590" max="13590" width="22.42578125" style="230" customWidth="1"/>
    <col min="13591" max="13591" width="33" style="230" customWidth="1"/>
    <col min="13592" max="13592" width="58.85546875" style="230" customWidth="1"/>
    <col min="13593" max="13593" width="37.85546875" style="230" customWidth="1"/>
    <col min="13594" max="13594" width="17.5703125" style="230" customWidth="1"/>
    <col min="13595" max="13595" width="16.5703125" style="230" customWidth="1"/>
    <col min="13596" max="13596" width="28.7109375" style="230" customWidth="1"/>
    <col min="13597" max="13597" width="23.85546875" style="230" customWidth="1"/>
    <col min="13598" max="13824" width="9.140625" style="230"/>
    <col min="13825" max="13826" width="0" style="230" hidden="1" customWidth="1"/>
    <col min="13827" max="13827" width="15.7109375" style="230" customWidth="1"/>
    <col min="13828" max="13828" width="93.42578125" style="230" customWidth="1"/>
    <col min="13829" max="13829" width="32.28515625" style="230" customWidth="1"/>
    <col min="13830" max="13830" width="23.7109375" style="230" customWidth="1"/>
    <col min="13831" max="13831" width="26.42578125" style="230" customWidth="1"/>
    <col min="13832" max="13832" width="26.5703125" style="230" customWidth="1"/>
    <col min="13833" max="13833" width="27.85546875" style="230" customWidth="1"/>
    <col min="13834" max="13834" width="28.140625" style="230" customWidth="1"/>
    <col min="13835" max="13835" width="24.28515625" style="230" customWidth="1"/>
    <col min="13836" max="13836" width="13.140625" style="230" customWidth="1"/>
    <col min="13837" max="13837" width="19.85546875" style="230" customWidth="1"/>
    <col min="13838" max="13838" width="34.42578125" style="230" customWidth="1"/>
    <col min="13839" max="13839" width="18.140625" style="230" customWidth="1"/>
    <col min="13840" max="13840" width="24.7109375" style="230" customWidth="1"/>
    <col min="13841" max="13841" width="23.28515625" style="230" customWidth="1"/>
    <col min="13842" max="13842" width="18.42578125" style="230" customWidth="1"/>
    <col min="13843" max="13843" width="27.85546875" style="230" customWidth="1"/>
    <col min="13844" max="13844" width="49.42578125" style="230" customWidth="1"/>
    <col min="13845" max="13845" width="32.140625" style="230" customWidth="1"/>
    <col min="13846" max="13846" width="22.42578125" style="230" customWidth="1"/>
    <col min="13847" max="13847" width="33" style="230" customWidth="1"/>
    <col min="13848" max="13848" width="58.85546875" style="230" customWidth="1"/>
    <col min="13849" max="13849" width="37.85546875" style="230" customWidth="1"/>
    <col min="13850" max="13850" width="17.5703125" style="230" customWidth="1"/>
    <col min="13851" max="13851" width="16.5703125" style="230" customWidth="1"/>
    <col min="13852" max="13852" width="28.7109375" style="230" customWidth="1"/>
    <col min="13853" max="13853" width="23.85546875" style="230" customWidth="1"/>
    <col min="13854" max="14080" width="9.140625" style="230"/>
    <col min="14081" max="14082" width="0" style="230" hidden="1" customWidth="1"/>
    <col min="14083" max="14083" width="15.7109375" style="230" customWidth="1"/>
    <col min="14084" max="14084" width="93.42578125" style="230" customWidth="1"/>
    <col min="14085" max="14085" width="32.28515625" style="230" customWidth="1"/>
    <col min="14086" max="14086" width="23.7109375" style="230" customWidth="1"/>
    <col min="14087" max="14087" width="26.42578125" style="230" customWidth="1"/>
    <col min="14088" max="14088" width="26.5703125" style="230" customWidth="1"/>
    <col min="14089" max="14089" width="27.85546875" style="230" customWidth="1"/>
    <col min="14090" max="14090" width="28.140625" style="230" customWidth="1"/>
    <col min="14091" max="14091" width="24.28515625" style="230" customWidth="1"/>
    <col min="14092" max="14092" width="13.140625" style="230" customWidth="1"/>
    <col min="14093" max="14093" width="19.85546875" style="230" customWidth="1"/>
    <col min="14094" max="14094" width="34.42578125" style="230" customWidth="1"/>
    <col min="14095" max="14095" width="18.140625" style="230" customWidth="1"/>
    <col min="14096" max="14096" width="24.7109375" style="230" customWidth="1"/>
    <col min="14097" max="14097" width="23.28515625" style="230" customWidth="1"/>
    <col min="14098" max="14098" width="18.42578125" style="230" customWidth="1"/>
    <col min="14099" max="14099" width="27.85546875" style="230" customWidth="1"/>
    <col min="14100" max="14100" width="49.42578125" style="230" customWidth="1"/>
    <col min="14101" max="14101" width="32.140625" style="230" customWidth="1"/>
    <col min="14102" max="14102" width="22.42578125" style="230" customWidth="1"/>
    <col min="14103" max="14103" width="33" style="230" customWidth="1"/>
    <col min="14104" max="14104" width="58.85546875" style="230" customWidth="1"/>
    <col min="14105" max="14105" width="37.85546875" style="230" customWidth="1"/>
    <col min="14106" max="14106" width="17.5703125" style="230" customWidth="1"/>
    <col min="14107" max="14107" width="16.5703125" style="230" customWidth="1"/>
    <col min="14108" max="14108" width="28.7109375" style="230" customWidth="1"/>
    <col min="14109" max="14109" width="23.85546875" style="230" customWidth="1"/>
    <col min="14110" max="14336" width="9.140625" style="230"/>
    <col min="14337" max="14338" width="0" style="230" hidden="1" customWidth="1"/>
    <col min="14339" max="14339" width="15.7109375" style="230" customWidth="1"/>
    <col min="14340" max="14340" width="93.42578125" style="230" customWidth="1"/>
    <col min="14341" max="14341" width="32.28515625" style="230" customWidth="1"/>
    <col min="14342" max="14342" width="23.7109375" style="230" customWidth="1"/>
    <col min="14343" max="14343" width="26.42578125" style="230" customWidth="1"/>
    <col min="14344" max="14344" width="26.5703125" style="230" customWidth="1"/>
    <col min="14345" max="14345" width="27.85546875" style="230" customWidth="1"/>
    <col min="14346" max="14346" width="28.140625" style="230" customWidth="1"/>
    <col min="14347" max="14347" width="24.28515625" style="230" customWidth="1"/>
    <col min="14348" max="14348" width="13.140625" style="230" customWidth="1"/>
    <col min="14349" max="14349" width="19.85546875" style="230" customWidth="1"/>
    <col min="14350" max="14350" width="34.42578125" style="230" customWidth="1"/>
    <col min="14351" max="14351" width="18.140625" style="230" customWidth="1"/>
    <col min="14352" max="14352" width="24.7109375" style="230" customWidth="1"/>
    <col min="14353" max="14353" width="23.28515625" style="230" customWidth="1"/>
    <col min="14354" max="14354" width="18.42578125" style="230" customWidth="1"/>
    <col min="14355" max="14355" width="27.85546875" style="230" customWidth="1"/>
    <col min="14356" max="14356" width="49.42578125" style="230" customWidth="1"/>
    <col min="14357" max="14357" width="32.140625" style="230" customWidth="1"/>
    <col min="14358" max="14358" width="22.42578125" style="230" customWidth="1"/>
    <col min="14359" max="14359" width="33" style="230" customWidth="1"/>
    <col min="14360" max="14360" width="58.85546875" style="230" customWidth="1"/>
    <col min="14361" max="14361" width="37.85546875" style="230" customWidth="1"/>
    <col min="14362" max="14362" width="17.5703125" style="230" customWidth="1"/>
    <col min="14363" max="14363" width="16.5703125" style="230" customWidth="1"/>
    <col min="14364" max="14364" width="28.7109375" style="230" customWidth="1"/>
    <col min="14365" max="14365" width="23.85546875" style="230" customWidth="1"/>
    <col min="14366" max="14592" width="9.140625" style="230"/>
    <col min="14593" max="14594" width="0" style="230" hidden="1" customWidth="1"/>
    <col min="14595" max="14595" width="15.7109375" style="230" customWidth="1"/>
    <col min="14596" max="14596" width="93.42578125" style="230" customWidth="1"/>
    <col min="14597" max="14597" width="32.28515625" style="230" customWidth="1"/>
    <col min="14598" max="14598" width="23.7109375" style="230" customWidth="1"/>
    <col min="14599" max="14599" width="26.42578125" style="230" customWidth="1"/>
    <col min="14600" max="14600" width="26.5703125" style="230" customWidth="1"/>
    <col min="14601" max="14601" width="27.85546875" style="230" customWidth="1"/>
    <col min="14602" max="14602" width="28.140625" style="230" customWidth="1"/>
    <col min="14603" max="14603" width="24.28515625" style="230" customWidth="1"/>
    <col min="14604" max="14604" width="13.140625" style="230" customWidth="1"/>
    <col min="14605" max="14605" width="19.85546875" style="230" customWidth="1"/>
    <col min="14606" max="14606" width="34.42578125" style="230" customWidth="1"/>
    <col min="14607" max="14607" width="18.140625" style="230" customWidth="1"/>
    <col min="14608" max="14608" width="24.7109375" style="230" customWidth="1"/>
    <col min="14609" max="14609" width="23.28515625" style="230" customWidth="1"/>
    <col min="14610" max="14610" width="18.42578125" style="230" customWidth="1"/>
    <col min="14611" max="14611" width="27.85546875" style="230" customWidth="1"/>
    <col min="14612" max="14612" width="49.42578125" style="230" customWidth="1"/>
    <col min="14613" max="14613" width="32.140625" style="230" customWidth="1"/>
    <col min="14614" max="14614" width="22.42578125" style="230" customWidth="1"/>
    <col min="14615" max="14615" width="33" style="230" customWidth="1"/>
    <col min="14616" max="14616" width="58.85546875" style="230" customWidth="1"/>
    <col min="14617" max="14617" width="37.85546875" style="230" customWidth="1"/>
    <col min="14618" max="14618" width="17.5703125" style="230" customWidth="1"/>
    <col min="14619" max="14619" width="16.5703125" style="230" customWidth="1"/>
    <col min="14620" max="14620" width="28.7109375" style="230" customWidth="1"/>
    <col min="14621" max="14621" width="23.85546875" style="230" customWidth="1"/>
    <col min="14622" max="14848" width="9.140625" style="230"/>
    <col min="14849" max="14850" width="0" style="230" hidden="1" customWidth="1"/>
    <col min="14851" max="14851" width="15.7109375" style="230" customWidth="1"/>
    <col min="14852" max="14852" width="93.42578125" style="230" customWidth="1"/>
    <col min="14853" max="14853" width="32.28515625" style="230" customWidth="1"/>
    <col min="14854" max="14854" width="23.7109375" style="230" customWidth="1"/>
    <col min="14855" max="14855" width="26.42578125" style="230" customWidth="1"/>
    <col min="14856" max="14856" width="26.5703125" style="230" customWidth="1"/>
    <col min="14857" max="14857" width="27.85546875" style="230" customWidth="1"/>
    <col min="14858" max="14858" width="28.140625" style="230" customWidth="1"/>
    <col min="14859" max="14859" width="24.28515625" style="230" customWidth="1"/>
    <col min="14860" max="14860" width="13.140625" style="230" customWidth="1"/>
    <col min="14861" max="14861" width="19.85546875" style="230" customWidth="1"/>
    <col min="14862" max="14862" width="34.42578125" style="230" customWidth="1"/>
    <col min="14863" max="14863" width="18.140625" style="230" customWidth="1"/>
    <col min="14864" max="14864" width="24.7109375" style="230" customWidth="1"/>
    <col min="14865" max="14865" width="23.28515625" style="230" customWidth="1"/>
    <col min="14866" max="14866" width="18.42578125" style="230" customWidth="1"/>
    <col min="14867" max="14867" width="27.85546875" style="230" customWidth="1"/>
    <col min="14868" max="14868" width="49.42578125" style="230" customWidth="1"/>
    <col min="14869" max="14869" width="32.140625" style="230" customWidth="1"/>
    <col min="14870" max="14870" width="22.42578125" style="230" customWidth="1"/>
    <col min="14871" max="14871" width="33" style="230" customWidth="1"/>
    <col min="14872" max="14872" width="58.85546875" style="230" customWidth="1"/>
    <col min="14873" max="14873" width="37.85546875" style="230" customWidth="1"/>
    <col min="14874" max="14874" width="17.5703125" style="230" customWidth="1"/>
    <col min="14875" max="14875" width="16.5703125" style="230" customWidth="1"/>
    <col min="14876" max="14876" width="28.7109375" style="230" customWidth="1"/>
    <col min="14877" max="14877" width="23.85546875" style="230" customWidth="1"/>
    <col min="14878" max="15104" width="9.140625" style="230"/>
    <col min="15105" max="15106" width="0" style="230" hidden="1" customWidth="1"/>
    <col min="15107" max="15107" width="15.7109375" style="230" customWidth="1"/>
    <col min="15108" max="15108" width="93.42578125" style="230" customWidth="1"/>
    <col min="15109" max="15109" width="32.28515625" style="230" customWidth="1"/>
    <col min="15110" max="15110" width="23.7109375" style="230" customWidth="1"/>
    <col min="15111" max="15111" width="26.42578125" style="230" customWidth="1"/>
    <col min="15112" max="15112" width="26.5703125" style="230" customWidth="1"/>
    <col min="15113" max="15113" width="27.85546875" style="230" customWidth="1"/>
    <col min="15114" max="15114" width="28.140625" style="230" customWidth="1"/>
    <col min="15115" max="15115" width="24.28515625" style="230" customWidth="1"/>
    <col min="15116" max="15116" width="13.140625" style="230" customWidth="1"/>
    <col min="15117" max="15117" width="19.85546875" style="230" customWidth="1"/>
    <col min="15118" max="15118" width="34.42578125" style="230" customWidth="1"/>
    <col min="15119" max="15119" width="18.140625" style="230" customWidth="1"/>
    <col min="15120" max="15120" width="24.7109375" style="230" customWidth="1"/>
    <col min="15121" max="15121" width="23.28515625" style="230" customWidth="1"/>
    <col min="15122" max="15122" width="18.42578125" style="230" customWidth="1"/>
    <col min="15123" max="15123" width="27.85546875" style="230" customWidth="1"/>
    <col min="15124" max="15124" width="49.42578125" style="230" customWidth="1"/>
    <col min="15125" max="15125" width="32.140625" style="230" customWidth="1"/>
    <col min="15126" max="15126" width="22.42578125" style="230" customWidth="1"/>
    <col min="15127" max="15127" width="33" style="230" customWidth="1"/>
    <col min="15128" max="15128" width="58.85546875" style="230" customWidth="1"/>
    <col min="15129" max="15129" width="37.85546875" style="230" customWidth="1"/>
    <col min="15130" max="15130" width="17.5703125" style="230" customWidth="1"/>
    <col min="15131" max="15131" width="16.5703125" style="230" customWidth="1"/>
    <col min="15132" max="15132" width="28.7109375" style="230" customWidth="1"/>
    <col min="15133" max="15133" width="23.85546875" style="230" customWidth="1"/>
    <col min="15134" max="15360" width="9.140625" style="230"/>
    <col min="15361" max="15362" width="0" style="230" hidden="1" customWidth="1"/>
    <col min="15363" max="15363" width="15.7109375" style="230" customWidth="1"/>
    <col min="15364" max="15364" width="93.42578125" style="230" customWidth="1"/>
    <col min="15365" max="15365" width="32.28515625" style="230" customWidth="1"/>
    <col min="15366" max="15366" width="23.7109375" style="230" customWidth="1"/>
    <col min="15367" max="15367" width="26.42578125" style="230" customWidth="1"/>
    <col min="15368" max="15368" width="26.5703125" style="230" customWidth="1"/>
    <col min="15369" max="15369" width="27.85546875" style="230" customWidth="1"/>
    <col min="15370" max="15370" width="28.140625" style="230" customWidth="1"/>
    <col min="15371" max="15371" width="24.28515625" style="230" customWidth="1"/>
    <col min="15372" max="15372" width="13.140625" style="230" customWidth="1"/>
    <col min="15373" max="15373" width="19.85546875" style="230" customWidth="1"/>
    <col min="15374" max="15374" width="34.42578125" style="230" customWidth="1"/>
    <col min="15375" max="15375" width="18.140625" style="230" customWidth="1"/>
    <col min="15376" max="15376" width="24.7109375" style="230" customWidth="1"/>
    <col min="15377" max="15377" width="23.28515625" style="230" customWidth="1"/>
    <col min="15378" max="15378" width="18.42578125" style="230" customWidth="1"/>
    <col min="15379" max="15379" width="27.85546875" style="230" customWidth="1"/>
    <col min="15380" max="15380" width="49.42578125" style="230" customWidth="1"/>
    <col min="15381" max="15381" width="32.140625" style="230" customWidth="1"/>
    <col min="15382" max="15382" width="22.42578125" style="230" customWidth="1"/>
    <col min="15383" max="15383" width="33" style="230" customWidth="1"/>
    <col min="15384" max="15384" width="58.85546875" style="230" customWidth="1"/>
    <col min="15385" max="15385" width="37.85546875" style="230" customWidth="1"/>
    <col min="15386" max="15386" width="17.5703125" style="230" customWidth="1"/>
    <col min="15387" max="15387" width="16.5703125" style="230" customWidth="1"/>
    <col min="15388" max="15388" width="28.7109375" style="230" customWidth="1"/>
    <col min="15389" max="15389" width="23.85546875" style="230" customWidth="1"/>
    <col min="15390" max="15616" width="9.140625" style="230"/>
    <col min="15617" max="15618" width="0" style="230" hidden="1" customWidth="1"/>
    <col min="15619" max="15619" width="15.7109375" style="230" customWidth="1"/>
    <col min="15620" max="15620" width="93.42578125" style="230" customWidth="1"/>
    <col min="15621" max="15621" width="32.28515625" style="230" customWidth="1"/>
    <col min="15622" max="15622" width="23.7109375" style="230" customWidth="1"/>
    <col min="15623" max="15623" width="26.42578125" style="230" customWidth="1"/>
    <col min="15624" max="15624" width="26.5703125" style="230" customWidth="1"/>
    <col min="15625" max="15625" width="27.85546875" style="230" customWidth="1"/>
    <col min="15626" max="15626" width="28.140625" style="230" customWidth="1"/>
    <col min="15627" max="15627" width="24.28515625" style="230" customWidth="1"/>
    <col min="15628" max="15628" width="13.140625" style="230" customWidth="1"/>
    <col min="15629" max="15629" width="19.85546875" style="230" customWidth="1"/>
    <col min="15630" max="15630" width="34.42578125" style="230" customWidth="1"/>
    <col min="15631" max="15631" width="18.140625" style="230" customWidth="1"/>
    <col min="15632" max="15632" width="24.7109375" style="230" customWidth="1"/>
    <col min="15633" max="15633" width="23.28515625" style="230" customWidth="1"/>
    <col min="15634" max="15634" width="18.42578125" style="230" customWidth="1"/>
    <col min="15635" max="15635" width="27.85546875" style="230" customWidth="1"/>
    <col min="15636" max="15636" width="49.42578125" style="230" customWidth="1"/>
    <col min="15637" max="15637" width="32.140625" style="230" customWidth="1"/>
    <col min="15638" max="15638" width="22.42578125" style="230" customWidth="1"/>
    <col min="15639" max="15639" width="33" style="230" customWidth="1"/>
    <col min="15640" max="15640" width="58.85546875" style="230" customWidth="1"/>
    <col min="15641" max="15641" width="37.85546875" style="230" customWidth="1"/>
    <col min="15642" max="15642" width="17.5703125" style="230" customWidth="1"/>
    <col min="15643" max="15643" width="16.5703125" style="230" customWidth="1"/>
    <col min="15644" max="15644" width="28.7109375" style="230" customWidth="1"/>
    <col min="15645" max="15645" width="23.85546875" style="230" customWidth="1"/>
    <col min="15646" max="15872" width="9.140625" style="230"/>
    <col min="15873" max="15874" width="0" style="230" hidden="1" customWidth="1"/>
    <col min="15875" max="15875" width="15.7109375" style="230" customWidth="1"/>
    <col min="15876" max="15876" width="93.42578125" style="230" customWidth="1"/>
    <col min="15877" max="15877" width="32.28515625" style="230" customWidth="1"/>
    <col min="15878" max="15878" width="23.7109375" style="230" customWidth="1"/>
    <col min="15879" max="15879" width="26.42578125" style="230" customWidth="1"/>
    <col min="15880" max="15880" width="26.5703125" style="230" customWidth="1"/>
    <col min="15881" max="15881" width="27.85546875" style="230" customWidth="1"/>
    <col min="15882" max="15882" width="28.140625" style="230" customWidth="1"/>
    <col min="15883" max="15883" width="24.28515625" style="230" customWidth="1"/>
    <col min="15884" max="15884" width="13.140625" style="230" customWidth="1"/>
    <col min="15885" max="15885" width="19.85546875" style="230" customWidth="1"/>
    <col min="15886" max="15886" width="34.42578125" style="230" customWidth="1"/>
    <col min="15887" max="15887" width="18.140625" style="230" customWidth="1"/>
    <col min="15888" max="15888" width="24.7109375" style="230" customWidth="1"/>
    <col min="15889" max="15889" width="23.28515625" style="230" customWidth="1"/>
    <col min="15890" max="15890" width="18.42578125" style="230" customWidth="1"/>
    <col min="15891" max="15891" width="27.85546875" style="230" customWidth="1"/>
    <col min="15892" max="15892" width="49.42578125" style="230" customWidth="1"/>
    <col min="15893" max="15893" width="32.140625" style="230" customWidth="1"/>
    <col min="15894" max="15894" width="22.42578125" style="230" customWidth="1"/>
    <col min="15895" max="15895" width="33" style="230" customWidth="1"/>
    <col min="15896" max="15896" width="58.85546875" style="230" customWidth="1"/>
    <col min="15897" max="15897" width="37.85546875" style="230" customWidth="1"/>
    <col min="15898" max="15898" width="17.5703125" style="230" customWidth="1"/>
    <col min="15899" max="15899" width="16.5703125" style="230" customWidth="1"/>
    <col min="15900" max="15900" width="28.7109375" style="230" customWidth="1"/>
    <col min="15901" max="15901" width="23.85546875" style="230" customWidth="1"/>
    <col min="15902" max="16128" width="9.140625" style="230"/>
    <col min="16129" max="16130" width="0" style="230" hidden="1" customWidth="1"/>
    <col min="16131" max="16131" width="15.7109375" style="230" customWidth="1"/>
    <col min="16132" max="16132" width="93.42578125" style="230" customWidth="1"/>
    <col min="16133" max="16133" width="32.28515625" style="230" customWidth="1"/>
    <col min="16134" max="16134" width="23.7109375" style="230" customWidth="1"/>
    <col min="16135" max="16135" width="26.42578125" style="230" customWidth="1"/>
    <col min="16136" max="16136" width="26.5703125" style="230" customWidth="1"/>
    <col min="16137" max="16137" width="27.85546875" style="230" customWidth="1"/>
    <col min="16138" max="16138" width="28.140625" style="230" customWidth="1"/>
    <col min="16139" max="16139" width="24.28515625" style="230" customWidth="1"/>
    <col min="16140" max="16140" width="13.140625" style="230" customWidth="1"/>
    <col min="16141" max="16141" width="19.85546875" style="230" customWidth="1"/>
    <col min="16142" max="16142" width="34.42578125" style="230" customWidth="1"/>
    <col min="16143" max="16143" width="18.140625" style="230" customWidth="1"/>
    <col min="16144" max="16144" width="24.7109375" style="230" customWidth="1"/>
    <col min="16145" max="16145" width="23.28515625" style="230" customWidth="1"/>
    <col min="16146" max="16146" width="18.42578125" style="230" customWidth="1"/>
    <col min="16147" max="16147" width="27.85546875" style="230" customWidth="1"/>
    <col min="16148" max="16148" width="49.42578125" style="230" customWidth="1"/>
    <col min="16149" max="16149" width="32.140625" style="230" customWidth="1"/>
    <col min="16150" max="16150" width="22.42578125" style="230" customWidth="1"/>
    <col min="16151" max="16151" width="33" style="230" customWidth="1"/>
    <col min="16152" max="16152" width="58.85546875" style="230" customWidth="1"/>
    <col min="16153" max="16153" width="37.85546875" style="230" customWidth="1"/>
    <col min="16154" max="16154" width="17.5703125" style="230" customWidth="1"/>
    <col min="16155" max="16155" width="16.5703125" style="230" customWidth="1"/>
    <col min="16156" max="16156" width="28.7109375" style="230" customWidth="1"/>
    <col min="16157" max="16157" width="23.85546875" style="230" customWidth="1"/>
    <col min="16158" max="16384" width="9.140625" style="230"/>
  </cols>
  <sheetData>
    <row r="1" spans="1:29" ht="31.5" x14ac:dyDescent="0.5">
      <c r="F1" s="231"/>
      <c r="G1" s="231"/>
      <c r="H1" s="231"/>
      <c r="I1" s="231"/>
      <c r="J1" s="231"/>
      <c r="K1" s="231"/>
      <c r="L1" s="472"/>
      <c r="M1" s="472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2"/>
      <c r="AA1" s="473"/>
      <c r="AB1" s="473"/>
      <c r="AC1" s="473"/>
    </row>
    <row r="2" spans="1:29" ht="20.25" x14ac:dyDescent="0.3">
      <c r="Z2" s="473"/>
      <c r="AA2" s="473"/>
      <c r="AB2" s="473"/>
      <c r="AC2" s="473"/>
    </row>
    <row r="3" spans="1:29" ht="21" x14ac:dyDescent="0.35">
      <c r="Z3" s="232"/>
      <c r="AA3" s="473"/>
      <c r="AB3" s="473"/>
      <c r="AC3" s="473"/>
    </row>
    <row r="4" spans="1:29" ht="31.5" x14ac:dyDescent="0.5">
      <c r="AA4" s="231"/>
      <c r="AB4" s="233"/>
      <c r="AC4" s="234"/>
    </row>
    <row r="5" spans="1:29" ht="147.75" customHeight="1" x14ac:dyDescent="0.25">
      <c r="C5" s="474" t="s">
        <v>1745</v>
      </c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</row>
    <row r="6" spans="1:29" s="235" customFormat="1" ht="30.75" customHeight="1" x14ac:dyDescent="0.4">
      <c r="C6" s="475" t="s">
        <v>6</v>
      </c>
      <c r="D6" s="475" t="s">
        <v>7</v>
      </c>
      <c r="E6" s="476" t="s">
        <v>8</v>
      </c>
      <c r="F6" s="468" t="s">
        <v>998</v>
      </c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79" t="s">
        <v>9</v>
      </c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67" t="s">
        <v>1732</v>
      </c>
    </row>
    <row r="7" spans="1:29" s="235" customFormat="1" ht="48.75" customHeight="1" x14ac:dyDescent="0.4">
      <c r="C7" s="475"/>
      <c r="D7" s="475"/>
      <c r="E7" s="477"/>
      <c r="F7" s="468" t="s">
        <v>13</v>
      </c>
      <c r="G7" s="468"/>
      <c r="H7" s="468"/>
      <c r="I7" s="468"/>
      <c r="J7" s="468"/>
      <c r="K7" s="468"/>
      <c r="L7" s="469" t="s">
        <v>14</v>
      </c>
      <c r="M7" s="469"/>
      <c r="N7" s="469" t="s">
        <v>15</v>
      </c>
      <c r="O7" s="469" t="s">
        <v>16</v>
      </c>
      <c r="P7" s="469" t="s">
        <v>17</v>
      </c>
      <c r="Q7" s="469" t="s">
        <v>18</v>
      </c>
      <c r="R7" s="470" t="s">
        <v>1733</v>
      </c>
      <c r="S7" s="470" t="s">
        <v>1734</v>
      </c>
      <c r="T7" s="470" t="s">
        <v>1735</v>
      </c>
      <c r="U7" s="470" t="s">
        <v>1736</v>
      </c>
      <c r="V7" s="470" t="s">
        <v>23</v>
      </c>
      <c r="W7" s="470" t="s">
        <v>1737</v>
      </c>
      <c r="X7" s="470" t="s">
        <v>1738</v>
      </c>
      <c r="Y7" s="470" t="s">
        <v>1739</v>
      </c>
      <c r="Z7" s="470" t="s">
        <v>27</v>
      </c>
      <c r="AA7" s="470" t="s">
        <v>28</v>
      </c>
      <c r="AB7" s="470" t="s">
        <v>1740</v>
      </c>
      <c r="AC7" s="467"/>
    </row>
    <row r="8" spans="1:29" s="235" customFormat="1" ht="409.5" customHeight="1" x14ac:dyDescent="0.4">
      <c r="C8" s="475"/>
      <c r="D8" s="475"/>
      <c r="E8" s="478"/>
      <c r="F8" s="236" t="s">
        <v>30</v>
      </c>
      <c r="G8" s="236" t="s">
        <v>31</v>
      </c>
      <c r="H8" s="236" t="s">
        <v>32</v>
      </c>
      <c r="I8" s="236" t="s">
        <v>33</v>
      </c>
      <c r="J8" s="236" t="s">
        <v>34</v>
      </c>
      <c r="K8" s="236" t="s">
        <v>35</v>
      </c>
      <c r="L8" s="469"/>
      <c r="M8" s="469"/>
      <c r="N8" s="469"/>
      <c r="O8" s="469"/>
      <c r="P8" s="469"/>
      <c r="Q8" s="469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67"/>
    </row>
    <row r="9" spans="1:29" s="235" customFormat="1" ht="38.25" customHeight="1" x14ac:dyDescent="0.4">
      <c r="C9" s="475"/>
      <c r="D9" s="475"/>
      <c r="E9" s="237" t="s">
        <v>36</v>
      </c>
      <c r="F9" s="238" t="s">
        <v>36</v>
      </c>
      <c r="G9" s="238" t="s">
        <v>36</v>
      </c>
      <c r="H9" s="238" t="s">
        <v>36</v>
      </c>
      <c r="I9" s="238" t="s">
        <v>36</v>
      </c>
      <c r="J9" s="238" t="s">
        <v>36</v>
      </c>
      <c r="K9" s="238" t="s">
        <v>36</v>
      </c>
      <c r="L9" s="238" t="s">
        <v>37</v>
      </c>
      <c r="M9" s="238" t="s">
        <v>36</v>
      </c>
      <c r="N9" s="238" t="s">
        <v>36</v>
      </c>
      <c r="O9" s="238" t="s">
        <v>36</v>
      </c>
      <c r="P9" s="238" t="s">
        <v>36</v>
      </c>
      <c r="Q9" s="238" t="s">
        <v>36</v>
      </c>
      <c r="R9" s="238" t="s">
        <v>36</v>
      </c>
      <c r="S9" s="238" t="s">
        <v>36</v>
      </c>
      <c r="T9" s="238" t="s">
        <v>36</v>
      </c>
      <c r="U9" s="238" t="s">
        <v>36</v>
      </c>
      <c r="V9" s="238" t="s">
        <v>36</v>
      </c>
      <c r="W9" s="238" t="s">
        <v>36</v>
      </c>
      <c r="X9" s="238" t="s">
        <v>36</v>
      </c>
      <c r="Y9" s="238" t="s">
        <v>36</v>
      </c>
      <c r="Z9" s="238" t="s">
        <v>36</v>
      </c>
      <c r="AA9" s="238" t="s">
        <v>36</v>
      </c>
      <c r="AB9" s="238" t="s">
        <v>36</v>
      </c>
      <c r="AC9" s="467"/>
    </row>
    <row r="10" spans="1:29" s="235" customFormat="1" ht="34.5" customHeight="1" x14ac:dyDescent="0.45">
      <c r="A10" s="235">
        <v>1</v>
      </c>
      <c r="C10" s="239">
        <v>1</v>
      </c>
      <c r="D10" s="239">
        <v>2</v>
      </c>
      <c r="E10" s="240">
        <f>D10+1</f>
        <v>3</v>
      </c>
      <c r="F10" s="240">
        <f>E10+1</f>
        <v>4</v>
      </c>
      <c r="G10" s="240">
        <v>5</v>
      </c>
      <c r="H10" s="240">
        <v>6</v>
      </c>
      <c r="I10" s="240">
        <v>7</v>
      </c>
      <c r="J10" s="240">
        <v>8</v>
      </c>
      <c r="K10" s="240">
        <v>9</v>
      </c>
      <c r="L10" s="240">
        <v>10</v>
      </c>
      <c r="M10" s="240">
        <v>11</v>
      </c>
      <c r="N10" s="240">
        <v>12</v>
      </c>
      <c r="O10" s="240">
        <v>13</v>
      </c>
      <c r="P10" s="240">
        <v>14</v>
      </c>
      <c r="Q10" s="240">
        <v>15</v>
      </c>
      <c r="R10" s="240">
        <v>16</v>
      </c>
      <c r="S10" s="240">
        <v>17</v>
      </c>
      <c r="T10" s="240">
        <v>18</v>
      </c>
      <c r="U10" s="240">
        <v>19</v>
      </c>
      <c r="V10" s="240">
        <v>20</v>
      </c>
      <c r="W10" s="240">
        <v>21</v>
      </c>
      <c r="X10" s="240">
        <v>22</v>
      </c>
      <c r="Y10" s="240">
        <v>23</v>
      </c>
      <c r="Z10" s="240">
        <v>24</v>
      </c>
      <c r="AA10" s="240">
        <v>25</v>
      </c>
      <c r="AB10" s="240">
        <v>26</v>
      </c>
      <c r="AC10" s="240">
        <v>27</v>
      </c>
    </row>
    <row r="11" spans="1:29" s="235" customFormat="1" ht="27.75" x14ac:dyDescent="0.4">
      <c r="C11" s="241" t="s">
        <v>1741</v>
      </c>
      <c r="D11" s="239"/>
      <c r="E11" s="242">
        <f>E12</f>
        <v>58937.15</v>
      </c>
      <c r="F11" s="242">
        <f t="shared" ref="F11:AB11" si="0">F12</f>
        <v>0</v>
      </c>
      <c r="G11" s="242">
        <f t="shared" si="0"/>
        <v>0</v>
      </c>
      <c r="H11" s="242">
        <f t="shared" si="0"/>
        <v>0</v>
      </c>
      <c r="I11" s="242">
        <f t="shared" si="0"/>
        <v>58937.15</v>
      </c>
      <c r="J11" s="242">
        <f t="shared" si="0"/>
        <v>0</v>
      </c>
      <c r="K11" s="242">
        <f t="shared" si="0"/>
        <v>0</v>
      </c>
      <c r="L11" s="243">
        <f t="shared" si="0"/>
        <v>0</v>
      </c>
      <c r="M11" s="242">
        <f t="shared" si="0"/>
        <v>0</v>
      </c>
      <c r="N11" s="242">
        <f t="shared" si="0"/>
        <v>0</v>
      </c>
      <c r="O11" s="242">
        <f t="shared" si="0"/>
        <v>0</v>
      </c>
      <c r="P11" s="242">
        <f t="shared" si="0"/>
        <v>0</v>
      </c>
      <c r="Q11" s="242">
        <f t="shared" si="0"/>
        <v>0</v>
      </c>
      <c r="R11" s="242">
        <f t="shared" si="0"/>
        <v>0</v>
      </c>
      <c r="S11" s="242">
        <f t="shared" si="0"/>
        <v>0</v>
      </c>
      <c r="T11" s="242">
        <f t="shared" si="0"/>
        <v>0</v>
      </c>
      <c r="U11" s="242">
        <f t="shared" si="0"/>
        <v>0</v>
      </c>
      <c r="V11" s="242">
        <f t="shared" si="0"/>
        <v>0</v>
      </c>
      <c r="W11" s="242">
        <f t="shared" si="0"/>
        <v>0</v>
      </c>
      <c r="X11" s="242">
        <f t="shared" si="0"/>
        <v>0</v>
      </c>
      <c r="Y11" s="242">
        <f t="shared" si="0"/>
        <v>0</v>
      </c>
      <c r="Z11" s="242">
        <f t="shared" si="0"/>
        <v>0</v>
      </c>
      <c r="AA11" s="242">
        <f t="shared" si="0"/>
        <v>0</v>
      </c>
      <c r="AB11" s="242">
        <f t="shared" si="0"/>
        <v>0</v>
      </c>
      <c r="AC11" s="239" t="s">
        <v>903</v>
      </c>
    </row>
    <row r="12" spans="1:29" s="235" customFormat="1" ht="27.75" x14ac:dyDescent="0.4">
      <c r="C12" s="244" t="s">
        <v>1742</v>
      </c>
      <c r="D12" s="239"/>
      <c r="E12" s="242">
        <f>E13</f>
        <v>58937.15</v>
      </c>
      <c r="F12" s="242">
        <f t="shared" ref="F12:AB12" si="1">F13</f>
        <v>0</v>
      </c>
      <c r="G12" s="242">
        <f t="shared" si="1"/>
        <v>0</v>
      </c>
      <c r="H12" s="242">
        <f t="shared" si="1"/>
        <v>0</v>
      </c>
      <c r="I12" s="242">
        <f t="shared" si="1"/>
        <v>58937.15</v>
      </c>
      <c r="J12" s="242">
        <f t="shared" si="1"/>
        <v>0</v>
      </c>
      <c r="K12" s="242">
        <f t="shared" si="1"/>
        <v>0</v>
      </c>
      <c r="L12" s="243">
        <f t="shared" si="1"/>
        <v>0</v>
      </c>
      <c r="M12" s="242">
        <f t="shared" si="1"/>
        <v>0</v>
      </c>
      <c r="N12" s="242">
        <f t="shared" si="1"/>
        <v>0</v>
      </c>
      <c r="O12" s="242">
        <f t="shared" si="1"/>
        <v>0</v>
      </c>
      <c r="P12" s="242">
        <f t="shared" si="1"/>
        <v>0</v>
      </c>
      <c r="Q12" s="242">
        <f t="shared" si="1"/>
        <v>0</v>
      </c>
      <c r="R12" s="242">
        <f t="shared" si="1"/>
        <v>0</v>
      </c>
      <c r="S12" s="242">
        <f t="shared" si="1"/>
        <v>0</v>
      </c>
      <c r="T12" s="242">
        <f t="shared" si="1"/>
        <v>0</v>
      </c>
      <c r="U12" s="242">
        <f t="shared" si="1"/>
        <v>0</v>
      </c>
      <c r="V12" s="242">
        <f t="shared" si="1"/>
        <v>0</v>
      </c>
      <c r="W12" s="242">
        <f t="shared" si="1"/>
        <v>0</v>
      </c>
      <c r="X12" s="242">
        <f t="shared" si="1"/>
        <v>0</v>
      </c>
      <c r="Y12" s="242">
        <f t="shared" si="1"/>
        <v>0</v>
      </c>
      <c r="Z12" s="242">
        <f t="shared" si="1"/>
        <v>0</v>
      </c>
      <c r="AA12" s="242">
        <f t="shared" si="1"/>
        <v>0</v>
      </c>
      <c r="AB12" s="242">
        <f t="shared" si="1"/>
        <v>0</v>
      </c>
      <c r="AC12" s="239" t="s">
        <v>903</v>
      </c>
    </row>
    <row r="13" spans="1:29" s="235" customFormat="1" ht="27.75" x14ac:dyDescent="0.4">
      <c r="A13" s="235">
        <v>2</v>
      </c>
      <c r="C13" s="244" t="s">
        <v>1744</v>
      </c>
      <c r="D13" s="239"/>
      <c r="E13" s="242">
        <f t="shared" ref="E13:E14" si="2">F13+G13+H13+I13+J13+K13+M13+N13+O13+P13+Q13+R13+S13+T13+U13+V13+W13+X13+Y13+Z13+AA13+AB13</f>
        <v>58937.15</v>
      </c>
      <c r="F13" s="242">
        <f t="shared" ref="F13:AB13" si="3">F14</f>
        <v>0</v>
      </c>
      <c r="G13" s="242">
        <f t="shared" si="3"/>
        <v>0</v>
      </c>
      <c r="H13" s="242">
        <f t="shared" si="3"/>
        <v>0</v>
      </c>
      <c r="I13" s="242">
        <f t="shared" si="3"/>
        <v>58937.15</v>
      </c>
      <c r="J13" s="242">
        <f t="shared" si="3"/>
        <v>0</v>
      </c>
      <c r="K13" s="242">
        <f t="shared" si="3"/>
        <v>0</v>
      </c>
      <c r="L13" s="243">
        <f t="shared" si="3"/>
        <v>0</v>
      </c>
      <c r="M13" s="242">
        <f t="shared" si="3"/>
        <v>0</v>
      </c>
      <c r="N13" s="242">
        <f t="shared" si="3"/>
        <v>0</v>
      </c>
      <c r="O13" s="242">
        <f t="shared" si="3"/>
        <v>0</v>
      </c>
      <c r="P13" s="242">
        <f t="shared" si="3"/>
        <v>0</v>
      </c>
      <c r="Q13" s="242">
        <f t="shared" si="3"/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2">
        <f t="shared" si="3"/>
        <v>0</v>
      </c>
      <c r="AA13" s="242">
        <f t="shared" si="3"/>
        <v>0</v>
      </c>
      <c r="AB13" s="242">
        <f t="shared" si="3"/>
        <v>0</v>
      </c>
      <c r="AC13" s="239" t="s">
        <v>903</v>
      </c>
    </row>
    <row r="14" spans="1:29" s="235" customFormat="1" ht="27.75" x14ac:dyDescent="0.4">
      <c r="A14" s="235">
        <v>3</v>
      </c>
      <c r="B14" s="235">
        <v>1</v>
      </c>
      <c r="C14" s="245">
        <v>1</v>
      </c>
      <c r="D14" s="246" t="s">
        <v>1743</v>
      </c>
      <c r="E14" s="242">
        <f t="shared" si="2"/>
        <v>58937.15</v>
      </c>
      <c r="F14" s="247">
        <v>0</v>
      </c>
      <c r="G14" s="247">
        <v>0</v>
      </c>
      <c r="H14" s="247">
        <v>0</v>
      </c>
      <c r="I14" s="247">
        <v>58937.15</v>
      </c>
      <c r="J14" s="247">
        <v>0</v>
      </c>
      <c r="K14" s="247">
        <v>0</v>
      </c>
      <c r="L14" s="246">
        <v>0</v>
      </c>
      <c r="M14" s="247">
        <v>0</v>
      </c>
      <c r="N14" s="247">
        <v>0</v>
      </c>
      <c r="O14" s="247">
        <v>0</v>
      </c>
      <c r="P14" s="247">
        <v>0</v>
      </c>
      <c r="Q14" s="247">
        <v>0</v>
      </c>
      <c r="R14" s="247">
        <v>0</v>
      </c>
      <c r="S14" s="247">
        <v>0</v>
      </c>
      <c r="T14" s="247">
        <v>0</v>
      </c>
      <c r="U14" s="247">
        <v>0</v>
      </c>
      <c r="V14" s="247">
        <v>0</v>
      </c>
      <c r="W14" s="247">
        <v>0</v>
      </c>
      <c r="X14" s="247">
        <v>0</v>
      </c>
      <c r="Y14" s="247">
        <v>0</v>
      </c>
      <c r="Z14" s="247">
        <v>0</v>
      </c>
      <c r="AA14" s="247">
        <v>0</v>
      </c>
      <c r="AB14" s="247">
        <v>0</v>
      </c>
      <c r="AC14" s="245">
        <v>2020</v>
      </c>
    </row>
  </sheetData>
  <mergeCells count="28">
    <mergeCell ref="C6:C9"/>
    <mergeCell ref="D6:D9"/>
    <mergeCell ref="E6:E8"/>
    <mergeCell ref="F6:Q6"/>
    <mergeCell ref="R6:AB6"/>
    <mergeCell ref="Y7:Y8"/>
    <mergeCell ref="Z7:Z8"/>
    <mergeCell ref="L1:M1"/>
    <mergeCell ref="AA1:AC1"/>
    <mergeCell ref="Z2:AC2"/>
    <mergeCell ref="AA3:AC3"/>
    <mergeCell ref="C5:AC5"/>
    <mergeCell ref="AC6:AC9"/>
    <mergeCell ref="F7:K7"/>
    <mergeCell ref="L7:M8"/>
    <mergeCell ref="N7:N8"/>
    <mergeCell ref="O7:O8"/>
    <mergeCell ref="P7:P8"/>
    <mergeCell ref="Q7:Q8"/>
    <mergeCell ref="R7:R8"/>
    <mergeCell ref="S7:S8"/>
    <mergeCell ref="T7:T8"/>
    <mergeCell ref="AA7:AA8"/>
    <mergeCell ref="AB7:AB8"/>
    <mergeCell ref="U7:U8"/>
    <mergeCell ref="V7:V8"/>
    <mergeCell ref="W7:W8"/>
    <mergeCell ref="X7:X8"/>
  </mergeCells>
  <pageMargins left="0" right="0" top="0" bottom="0" header="0" footer="0"/>
  <pageSetup paperSize="9" scale="1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17"/>
  <sheetViews>
    <sheetView topLeftCell="B4" zoomScale="20" zoomScaleNormal="20" workbookViewId="0">
      <pane xSplit="2" ySplit="7" topLeftCell="D36" activePane="bottomRight" state="frozen"/>
      <selection activeCell="B4" sqref="B4"/>
      <selection pane="topRight" activeCell="D4" sqref="D4"/>
      <selection pane="bottomLeft" activeCell="B11" sqref="B11"/>
      <selection pane="bottomRight" activeCell="B45" sqref="A45:XFD45"/>
    </sheetView>
  </sheetViews>
  <sheetFormatPr defaultRowHeight="15" x14ac:dyDescent="0.25"/>
  <cols>
    <col min="1" max="1" width="9.140625" style="6" hidden="1" customWidth="1"/>
    <col min="2" max="2" width="26.42578125" style="6" customWidth="1"/>
    <col min="3" max="3" width="242.7109375" style="6" customWidth="1"/>
    <col min="4" max="4" width="58.85546875" style="6" customWidth="1"/>
    <col min="5" max="5" width="72.140625" style="6" customWidth="1"/>
    <col min="6" max="6" width="53.5703125" style="6" customWidth="1"/>
    <col min="7" max="9" width="54.28515625" style="6" customWidth="1"/>
    <col min="10" max="10" width="49.28515625" style="6" customWidth="1"/>
    <col min="11" max="11" width="52.85546875" style="6" customWidth="1"/>
    <col min="12" max="12" width="47.85546875" style="6" customWidth="1"/>
    <col min="13" max="13" width="40.140625" style="65" customWidth="1"/>
    <col min="14" max="14" width="44.42578125" style="6" customWidth="1"/>
    <col min="15" max="15" width="43.7109375" style="6" customWidth="1"/>
    <col min="16" max="16" width="58.5703125" style="6" customWidth="1"/>
    <col min="17" max="17" width="41.42578125" style="6" customWidth="1"/>
    <col min="18" max="18" width="42.5703125" style="6" customWidth="1"/>
    <col min="19" max="19" width="43.85546875" style="6" customWidth="1"/>
    <col min="20" max="20" width="60.28515625" style="6" customWidth="1"/>
    <col min="21" max="21" width="35.42578125" style="6" customWidth="1"/>
    <col min="22" max="22" width="49.140625" style="6" customWidth="1"/>
    <col min="23" max="23" width="34.28515625" style="6" customWidth="1"/>
    <col min="24" max="24" width="58" style="6" customWidth="1"/>
    <col min="25" max="25" width="66.28515625" style="6" customWidth="1"/>
    <col min="26" max="26" width="51.85546875" style="6" customWidth="1"/>
    <col min="27" max="27" width="41.42578125" style="6" customWidth="1"/>
    <col min="28" max="28" width="69" style="6" customWidth="1"/>
    <col min="29" max="29" width="96.7109375" style="6" customWidth="1"/>
    <col min="30" max="30" width="55.28515625" style="6" customWidth="1"/>
    <col min="31" max="32" width="51" style="6" customWidth="1"/>
    <col min="33" max="33" width="63.28515625" style="6" customWidth="1"/>
    <col min="34" max="34" width="38.140625" style="6" customWidth="1"/>
    <col min="35" max="35" width="41.7109375" style="6" customWidth="1"/>
    <col min="36" max="36" width="36.7109375" style="6" customWidth="1"/>
    <col min="37" max="16384" width="9.140625" style="6"/>
  </cols>
  <sheetData>
    <row r="1" spans="1:36" ht="90" x14ac:dyDescent="1.1499999999999999">
      <c r="B1" s="496" t="s">
        <v>992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</row>
    <row r="2" spans="1:36" ht="90" x14ac:dyDescent="0.25">
      <c r="B2" s="497" t="s">
        <v>1031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</row>
    <row r="3" spans="1:36" ht="76.5" x14ac:dyDescent="1.05">
      <c r="B3" s="61" t="s">
        <v>994</v>
      </c>
      <c r="C3" s="498" t="s">
        <v>1032</v>
      </c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</row>
    <row r="4" spans="1:36" ht="76.5" x14ac:dyDescent="0.25">
      <c r="B4" s="61" t="s">
        <v>995</v>
      </c>
      <c r="C4" s="499" t="s">
        <v>1021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</row>
    <row r="5" spans="1:36" ht="45.75" customHeight="1" x14ac:dyDescent="0.25">
      <c r="B5" s="406" t="s">
        <v>6</v>
      </c>
      <c r="C5" s="406" t="s">
        <v>7</v>
      </c>
      <c r="D5" s="500" t="s">
        <v>1022</v>
      </c>
      <c r="E5" s="500" t="s">
        <v>1023</v>
      </c>
      <c r="F5" s="503" t="s">
        <v>8</v>
      </c>
      <c r="G5" s="406" t="s">
        <v>998</v>
      </c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506" t="s">
        <v>9</v>
      </c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488" t="s">
        <v>10</v>
      </c>
      <c r="AI5" s="488" t="s">
        <v>11</v>
      </c>
      <c r="AJ5" s="488" t="s">
        <v>12</v>
      </c>
    </row>
    <row r="6" spans="1:36" ht="45.75" x14ac:dyDescent="0.25">
      <c r="B6" s="406"/>
      <c r="C6" s="406"/>
      <c r="D6" s="501"/>
      <c r="E6" s="501"/>
      <c r="F6" s="504"/>
      <c r="G6" s="406" t="s">
        <v>13</v>
      </c>
      <c r="H6" s="406"/>
      <c r="I6" s="406"/>
      <c r="J6" s="406"/>
      <c r="K6" s="406"/>
      <c r="L6" s="406"/>
      <c r="M6" s="491" t="s">
        <v>14</v>
      </c>
      <c r="N6" s="492"/>
      <c r="O6" s="491" t="s">
        <v>15</v>
      </c>
      <c r="P6" s="492"/>
      <c r="Q6" s="491" t="s">
        <v>16</v>
      </c>
      <c r="R6" s="492"/>
      <c r="S6" s="491" t="s">
        <v>17</v>
      </c>
      <c r="T6" s="492"/>
      <c r="U6" s="491" t="s">
        <v>18</v>
      </c>
      <c r="V6" s="492"/>
      <c r="W6" s="484" t="s">
        <v>19</v>
      </c>
      <c r="X6" s="484" t="s">
        <v>1024</v>
      </c>
      <c r="Y6" s="484" t="s">
        <v>21</v>
      </c>
      <c r="Z6" s="484" t="s">
        <v>22</v>
      </c>
      <c r="AA6" s="484" t="s">
        <v>23</v>
      </c>
      <c r="AB6" s="484" t="s">
        <v>1025</v>
      </c>
      <c r="AC6" s="484" t="s">
        <v>1026</v>
      </c>
      <c r="AD6" s="484" t="s">
        <v>1027</v>
      </c>
      <c r="AE6" s="486" t="s">
        <v>27</v>
      </c>
      <c r="AF6" s="486" t="s">
        <v>28</v>
      </c>
      <c r="AG6" s="486" t="s">
        <v>1028</v>
      </c>
      <c r="AH6" s="489"/>
      <c r="AI6" s="489"/>
      <c r="AJ6" s="489"/>
    </row>
    <row r="7" spans="1:36" ht="303" customHeight="1" x14ac:dyDescent="0.25">
      <c r="B7" s="406"/>
      <c r="C7" s="406"/>
      <c r="D7" s="501"/>
      <c r="E7" s="502"/>
      <c r="F7" s="505"/>
      <c r="G7" s="62" t="s">
        <v>30</v>
      </c>
      <c r="H7" s="62" t="s">
        <v>31</v>
      </c>
      <c r="I7" s="62" t="s">
        <v>32</v>
      </c>
      <c r="J7" s="62" t="s">
        <v>33</v>
      </c>
      <c r="K7" s="62" t="s">
        <v>34</v>
      </c>
      <c r="L7" s="62" t="s">
        <v>35</v>
      </c>
      <c r="M7" s="493"/>
      <c r="N7" s="494"/>
      <c r="O7" s="493"/>
      <c r="P7" s="494"/>
      <c r="Q7" s="493"/>
      <c r="R7" s="494"/>
      <c r="S7" s="493"/>
      <c r="T7" s="494"/>
      <c r="U7" s="493"/>
      <c r="V7" s="494"/>
      <c r="W7" s="485"/>
      <c r="X7" s="485"/>
      <c r="Y7" s="485"/>
      <c r="Z7" s="485"/>
      <c r="AA7" s="485"/>
      <c r="AB7" s="485"/>
      <c r="AC7" s="485"/>
      <c r="AD7" s="485"/>
      <c r="AE7" s="487"/>
      <c r="AF7" s="487"/>
      <c r="AG7" s="487"/>
      <c r="AH7" s="489"/>
      <c r="AI7" s="489"/>
      <c r="AJ7" s="489"/>
    </row>
    <row r="8" spans="1:36" ht="45.75" x14ac:dyDescent="0.25">
      <c r="B8" s="406"/>
      <c r="C8" s="406"/>
      <c r="D8" s="502"/>
      <c r="E8" s="158" t="s">
        <v>1029</v>
      </c>
      <c r="F8" s="157" t="s">
        <v>36</v>
      </c>
      <c r="G8" s="158" t="s">
        <v>36</v>
      </c>
      <c r="H8" s="158" t="s">
        <v>36</v>
      </c>
      <c r="I8" s="158" t="s">
        <v>36</v>
      </c>
      <c r="J8" s="158" t="s">
        <v>36</v>
      </c>
      <c r="K8" s="158" t="s">
        <v>36</v>
      </c>
      <c r="L8" s="158" t="s">
        <v>36</v>
      </c>
      <c r="M8" s="26" t="s">
        <v>37</v>
      </c>
      <c r="N8" s="158" t="s">
        <v>36</v>
      </c>
      <c r="O8" s="158" t="s">
        <v>38</v>
      </c>
      <c r="P8" s="158" t="s">
        <v>36</v>
      </c>
      <c r="Q8" s="158" t="s">
        <v>38</v>
      </c>
      <c r="R8" s="158" t="s">
        <v>36</v>
      </c>
      <c r="S8" s="158" t="s">
        <v>38</v>
      </c>
      <c r="T8" s="158" t="s">
        <v>36</v>
      </c>
      <c r="U8" s="158" t="s">
        <v>39</v>
      </c>
      <c r="V8" s="158" t="s">
        <v>36</v>
      </c>
      <c r="W8" s="158" t="s">
        <v>36</v>
      </c>
      <c r="X8" s="158" t="s">
        <v>36</v>
      </c>
      <c r="Y8" s="158" t="s">
        <v>36</v>
      </c>
      <c r="Z8" s="158" t="s">
        <v>36</v>
      </c>
      <c r="AA8" s="158" t="s">
        <v>36</v>
      </c>
      <c r="AB8" s="158" t="s">
        <v>36</v>
      </c>
      <c r="AC8" s="158" t="s">
        <v>36</v>
      </c>
      <c r="AD8" s="158" t="s">
        <v>36</v>
      </c>
      <c r="AE8" s="158" t="s">
        <v>36</v>
      </c>
      <c r="AF8" s="158" t="s">
        <v>36</v>
      </c>
      <c r="AG8" s="158" t="s">
        <v>36</v>
      </c>
      <c r="AH8" s="490"/>
      <c r="AI8" s="490"/>
      <c r="AJ8" s="490"/>
    </row>
    <row r="9" spans="1:36" ht="45.75" x14ac:dyDescent="0.65">
      <c r="B9" s="159">
        <v>1</v>
      </c>
      <c r="C9" s="159">
        <v>2</v>
      </c>
      <c r="D9" s="159">
        <v>3</v>
      </c>
      <c r="E9" s="159">
        <v>4</v>
      </c>
      <c r="F9" s="159">
        <v>5</v>
      </c>
      <c r="G9" s="159">
        <v>6</v>
      </c>
      <c r="H9" s="159">
        <v>7</v>
      </c>
      <c r="I9" s="159">
        <v>8</v>
      </c>
      <c r="J9" s="159">
        <v>9</v>
      </c>
      <c r="K9" s="159">
        <v>10</v>
      </c>
      <c r="L9" s="159">
        <v>11</v>
      </c>
      <c r="M9" s="63">
        <v>12</v>
      </c>
      <c r="N9" s="159">
        <v>13</v>
      </c>
      <c r="O9" s="159">
        <v>14</v>
      </c>
      <c r="P9" s="159">
        <v>15</v>
      </c>
      <c r="Q9" s="159">
        <v>16</v>
      </c>
      <c r="R9" s="159">
        <v>17</v>
      </c>
      <c r="S9" s="159">
        <v>18</v>
      </c>
      <c r="T9" s="159">
        <v>19</v>
      </c>
      <c r="U9" s="159">
        <v>20</v>
      </c>
      <c r="V9" s="159">
        <v>21</v>
      </c>
      <c r="W9" s="159">
        <v>22</v>
      </c>
      <c r="X9" s="159">
        <v>23</v>
      </c>
      <c r="Y9" s="159">
        <v>24</v>
      </c>
      <c r="Z9" s="159">
        <v>25</v>
      </c>
      <c r="AA9" s="159">
        <v>26</v>
      </c>
      <c r="AB9" s="159">
        <v>27</v>
      </c>
      <c r="AC9" s="159">
        <v>28</v>
      </c>
      <c r="AD9" s="159">
        <v>29</v>
      </c>
      <c r="AE9" s="159">
        <v>30</v>
      </c>
      <c r="AF9" s="159">
        <v>31</v>
      </c>
      <c r="AG9" s="159">
        <v>32</v>
      </c>
      <c r="AH9" s="159">
        <v>33</v>
      </c>
      <c r="AI9" s="159">
        <v>34</v>
      </c>
      <c r="AJ9" s="159">
        <v>35</v>
      </c>
    </row>
    <row r="10" spans="1:36" ht="61.5" x14ac:dyDescent="0.25">
      <c r="B10" s="495" t="s">
        <v>1030</v>
      </c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5"/>
      <c r="AJ10" s="495"/>
    </row>
    <row r="11" spans="1:36" s="73" customFormat="1" ht="61.5" x14ac:dyDescent="0.85">
      <c r="B11" s="70" t="s">
        <v>1064</v>
      </c>
      <c r="C11" s="74"/>
      <c r="D11" s="68" t="s">
        <v>903</v>
      </c>
      <c r="E11" s="69">
        <f>AVERAGE(E12:E61)</f>
        <v>1.0089453333333338</v>
      </c>
      <c r="F11" s="31">
        <f>F12+F14+F24+F28+F30+F33+F36+F42+F46+F50+F52+F54+F56+F60+F40+F26+F62+F64+F44</f>
        <v>84849769.13000001</v>
      </c>
      <c r="G11" s="31">
        <f t="shared" ref="G11:AG11" si="0">G12+G14+G24+G28+G30+G33+G36+G42+G46+G50+G52+G54+G56+G60+G40+G26+G62+G64+G44</f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597348</v>
      </c>
      <c r="L11" s="31">
        <f t="shared" si="0"/>
        <v>0</v>
      </c>
      <c r="M11" s="76">
        <f t="shared" si="0"/>
        <v>0</v>
      </c>
      <c r="N11" s="31">
        <f t="shared" si="0"/>
        <v>0</v>
      </c>
      <c r="O11" s="31">
        <f t="shared" si="0"/>
        <v>16165.530000000002</v>
      </c>
      <c r="P11" s="31">
        <f t="shared" si="0"/>
        <v>73655683.900000006</v>
      </c>
      <c r="Q11" s="31">
        <f t="shared" si="0"/>
        <v>0</v>
      </c>
      <c r="R11" s="31">
        <f t="shared" si="0"/>
        <v>0</v>
      </c>
      <c r="S11" s="31">
        <f t="shared" si="0"/>
        <v>1805.54</v>
      </c>
      <c r="T11" s="31">
        <f t="shared" si="0"/>
        <v>7687672.6900000004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1094555.71</v>
      </c>
      <c r="AF11" s="31">
        <f t="shared" si="0"/>
        <v>1814508.8299999998</v>
      </c>
      <c r="AG11" s="31">
        <f t="shared" si="0"/>
        <v>0</v>
      </c>
      <c r="AH11" s="35" t="s">
        <v>903</v>
      </c>
      <c r="AI11" s="35" t="s">
        <v>903</v>
      </c>
      <c r="AJ11" s="35" t="s">
        <v>903</v>
      </c>
    </row>
    <row r="12" spans="1:36" s="20" customFormat="1" ht="61.5" x14ac:dyDescent="0.85">
      <c r="B12" s="70" t="s">
        <v>828</v>
      </c>
      <c r="C12" s="24"/>
      <c r="D12" s="68" t="s">
        <v>903</v>
      </c>
      <c r="E12" s="69">
        <f>AVERAGE(E13:E13)</f>
        <v>1.0055000000000001</v>
      </c>
      <c r="F12" s="31">
        <f>F13</f>
        <v>2320165.87</v>
      </c>
      <c r="G12" s="31">
        <f t="shared" ref="G12:AG12" si="1">G13</f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76">
        <f t="shared" si="1"/>
        <v>0</v>
      </c>
      <c r="N12" s="31">
        <f t="shared" si="1"/>
        <v>0</v>
      </c>
      <c r="O12" s="31">
        <f t="shared" si="1"/>
        <v>550.29999999999995</v>
      </c>
      <c r="P12" s="31">
        <v>2285877.7000000002</v>
      </c>
      <c r="Q12" s="31">
        <f t="shared" si="1"/>
        <v>0</v>
      </c>
      <c r="R12" s="31">
        <f t="shared" si="1"/>
        <v>0</v>
      </c>
      <c r="S12" s="31">
        <f t="shared" si="1"/>
        <v>0</v>
      </c>
      <c r="T12" s="31">
        <f t="shared" si="1"/>
        <v>0</v>
      </c>
      <c r="U12" s="31">
        <f t="shared" si="1"/>
        <v>0</v>
      </c>
      <c r="V12" s="31">
        <f t="shared" si="1"/>
        <v>0</v>
      </c>
      <c r="W12" s="31">
        <f t="shared" si="1"/>
        <v>0</v>
      </c>
      <c r="X12" s="31">
        <f t="shared" si="1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67">
        <f t="shared" si="1"/>
        <v>34288.17</v>
      </c>
      <c r="AF12" s="67">
        <f t="shared" si="1"/>
        <v>0</v>
      </c>
      <c r="AG12" s="31">
        <f t="shared" si="1"/>
        <v>0</v>
      </c>
      <c r="AH12" s="35" t="s">
        <v>903</v>
      </c>
      <c r="AI12" s="35" t="s">
        <v>903</v>
      </c>
      <c r="AJ12" s="35" t="s">
        <v>903</v>
      </c>
    </row>
    <row r="13" spans="1:36" s="20" customFormat="1" ht="61.5" x14ac:dyDescent="0.85">
      <c r="A13" s="20">
        <v>1</v>
      </c>
      <c r="B13" s="66">
        <f>SUBTOTAL(103,$A13:A$13)</f>
        <v>1</v>
      </c>
      <c r="C13" s="24" t="s">
        <v>1033</v>
      </c>
      <c r="D13" s="68" t="s">
        <v>1052</v>
      </c>
      <c r="E13" s="69">
        <v>1.0055000000000001</v>
      </c>
      <c r="F13" s="31">
        <f>G13+H13+I13+J13+K13+L13+N13+P13+R13+T13+V13+W13+X13+Y13+Z13+AA13+AB13+AC13+AD13+AE13+AF13+AG13</f>
        <v>2320165.87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76">
        <v>0</v>
      </c>
      <c r="N13" s="31">
        <v>0</v>
      </c>
      <c r="O13" s="31">
        <v>550.29999999999995</v>
      </c>
      <c r="P13" s="31">
        <v>2285877.7000000002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67">
        <f>ROUND(P13*1.5%,2)</f>
        <v>34288.17</v>
      </c>
      <c r="AF13" s="67">
        <v>0</v>
      </c>
      <c r="AG13" s="67">
        <v>0</v>
      </c>
      <c r="AH13" s="35" t="s">
        <v>271</v>
      </c>
      <c r="AI13" s="35">
        <v>2020</v>
      </c>
      <c r="AJ13" s="35">
        <v>2020</v>
      </c>
    </row>
    <row r="14" spans="1:36" s="20" customFormat="1" ht="61.5" x14ac:dyDescent="0.85">
      <c r="B14" s="70" t="s">
        <v>1060</v>
      </c>
      <c r="C14" s="24"/>
      <c r="D14" s="68" t="s">
        <v>903</v>
      </c>
      <c r="E14" s="69">
        <f>AVERAGE(E15:E23)</f>
        <v>1.0038333333333334</v>
      </c>
      <c r="F14" s="31">
        <f t="shared" ref="F14:AG14" si="2">SUM(F15:F23)</f>
        <v>20850310.030000001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  <c r="M14" s="76">
        <f t="shared" si="2"/>
        <v>0</v>
      </c>
      <c r="N14" s="31">
        <f t="shared" si="2"/>
        <v>0</v>
      </c>
      <c r="O14" s="31">
        <f t="shared" si="2"/>
        <v>3632.5299999999997</v>
      </c>
      <c r="P14" s="31">
        <f t="shared" si="2"/>
        <v>16355922.27</v>
      </c>
      <c r="Q14" s="31">
        <f t="shared" si="2"/>
        <v>0</v>
      </c>
      <c r="R14" s="31">
        <f t="shared" si="2"/>
        <v>0</v>
      </c>
      <c r="S14" s="31">
        <f t="shared" si="2"/>
        <v>940.93</v>
      </c>
      <c r="T14" s="31">
        <f t="shared" si="2"/>
        <v>4032766.96</v>
      </c>
      <c r="U14" s="31">
        <f t="shared" si="2"/>
        <v>0</v>
      </c>
      <c r="V14" s="31">
        <f t="shared" si="2"/>
        <v>0</v>
      </c>
      <c r="W14" s="31">
        <f t="shared" si="2"/>
        <v>0</v>
      </c>
      <c r="X14" s="31">
        <f t="shared" si="2"/>
        <v>0</v>
      </c>
      <c r="Y14" s="31">
        <f t="shared" si="2"/>
        <v>0</v>
      </c>
      <c r="Z14" s="31">
        <f t="shared" si="2"/>
        <v>0</v>
      </c>
      <c r="AA14" s="31">
        <f t="shared" si="2"/>
        <v>0</v>
      </c>
      <c r="AB14" s="31">
        <f t="shared" si="2"/>
        <v>0</v>
      </c>
      <c r="AC14" s="31">
        <f t="shared" si="2"/>
        <v>0</v>
      </c>
      <c r="AD14" s="31">
        <f t="shared" si="2"/>
        <v>0</v>
      </c>
      <c r="AE14" s="31">
        <f t="shared" si="2"/>
        <v>305830.34000000003</v>
      </c>
      <c r="AF14" s="31">
        <f t="shared" si="2"/>
        <v>155790.46000000002</v>
      </c>
      <c r="AG14" s="31">
        <f t="shared" si="2"/>
        <v>0</v>
      </c>
      <c r="AH14" s="35" t="s">
        <v>903</v>
      </c>
      <c r="AI14" s="35" t="s">
        <v>903</v>
      </c>
      <c r="AJ14" s="35" t="s">
        <v>903</v>
      </c>
    </row>
    <row r="15" spans="1:36" s="20" customFormat="1" ht="61.5" x14ac:dyDescent="0.85">
      <c r="A15" s="20">
        <v>1</v>
      </c>
      <c r="B15" s="66">
        <f>SUBTOTAL(103,$A$13:A15)</f>
        <v>2</v>
      </c>
      <c r="C15" s="24" t="s">
        <v>1034</v>
      </c>
      <c r="D15" s="68" t="s">
        <v>1053</v>
      </c>
      <c r="E15" s="69">
        <v>1.0047999999999999</v>
      </c>
      <c r="F15" s="31">
        <f t="shared" ref="F15:F65" si="3">G15+H15+I15+J15+K15+L15+N15+P15+R15+T15+V15+W15+X15+Y15+Z15+AA15+AB15+AC15+AD15+AE15+AF15+AG15</f>
        <v>6220368.3300000001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76">
        <v>0</v>
      </c>
      <c r="N15" s="31">
        <v>0</v>
      </c>
      <c r="O15" s="215">
        <v>1441</v>
      </c>
      <c r="P15" s="216">
        <v>6128441.7000000002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67">
        <f>ROUND(P15*1.5%,2)</f>
        <v>91926.63</v>
      </c>
      <c r="AF15" s="67">
        <v>0</v>
      </c>
      <c r="AG15" s="67">
        <v>0</v>
      </c>
      <c r="AH15" s="35" t="s">
        <v>271</v>
      </c>
      <c r="AI15" s="35">
        <v>2020</v>
      </c>
      <c r="AJ15" s="35">
        <v>2020</v>
      </c>
    </row>
    <row r="16" spans="1:36" s="20" customFormat="1" ht="61.5" x14ac:dyDescent="0.85">
      <c r="A16" s="20">
        <v>1</v>
      </c>
      <c r="B16" s="66">
        <f>SUBTOTAL(103,$A$13:A16)</f>
        <v>3</v>
      </c>
      <c r="C16" s="24" t="s">
        <v>1035</v>
      </c>
      <c r="D16" s="68" t="s">
        <v>1052</v>
      </c>
      <c r="E16" s="69">
        <v>1</v>
      </c>
      <c r="F16" s="31">
        <f t="shared" si="3"/>
        <v>987000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76">
        <v>0</v>
      </c>
      <c r="N16" s="31">
        <v>0</v>
      </c>
      <c r="O16" s="31">
        <v>240</v>
      </c>
      <c r="P16" s="31">
        <v>972413.79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67">
        <f>ROUND(P16*1.5%,2)</f>
        <v>14586.21</v>
      </c>
      <c r="AF16" s="67">
        <v>0</v>
      </c>
      <c r="AG16" s="67">
        <v>0</v>
      </c>
      <c r="AH16" s="35" t="s">
        <v>271</v>
      </c>
      <c r="AI16" s="35">
        <v>2020</v>
      </c>
      <c r="AJ16" s="35">
        <v>2020</v>
      </c>
    </row>
    <row r="17" spans="1:36" s="20" customFormat="1" ht="61.5" x14ac:dyDescent="0.85">
      <c r="A17" s="20">
        <v>1</v>
      </c>
      <c r="B17" s="66">
        <f>SUBTOTAL(103,$A$13:A17)</f>
        <v>4</v>
      </c>
      <c r="C17" s="24" t="s">
        <v>1036</v>
      </c>
      <c r="D17" s="68" t="s">
        <v>1054</v>
      </c>
      <c r="E17" s="69">
        <v>1.0003</v>
      </c>
      <c r="F17" s="31">
        <f t="shared" si="3"/>
        <v>1125039.6200000001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76">
        <v>0</v>
      </c>
      <c r="N17" s="31">
        <v>0</v>
      </c>
      <c r="O17" s="31">
        <v>257</v>
      </c>
      <c r="P17" s="31">
        <v>1047339.9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67">
        <f>ROUND(P17*1.5%,2)</f>
        <v>15710.1</v>
      </c>
      <c r="AF17" s="224">
        <v>61989.62</v>
      </c>
      <c r="AG17" s="67">
        <v>0</v>
      </c>
      <c r="AH17" s="35">
        <v>2020</v>
      </c>
      <c r="AI17" s="35">
        <v>2020</v>
      </c>
      <c r="AJ17" s="35">
        <v>2020</v>
      </c>
    </row>
    <row r="18" spans="1:36" s="20" customFormat="1" ht="61.5" x14ac:dyDescent="0.85">
      <c r="A18" s="20">
        <v>1</v>
      </c>
      <c r="B18" s="66">
        <f>SUBTOTAL(103,$A$13:A18)</f>
        <v>5</v>
      </c>
      <c r="C18" s="24" t="s">
        <v>1049</v>
      </c>
      <c r="D18" s="68" t="s">
        <v>1053</v>
      </c>
      <c r="E18" s="69">
        <v>1.0178</v>
      </c>
      <c r="F18" s="31">
        <f t="shared" si="3"/>
        <v>1498191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76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419</v>
      </c>
      <c r="T18" s="31">
        <v>1476050.25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67">
        <f>ROUND(T18*1.5%,2)</f>
        <v>22140.75</v>
      </c>
      <c r="AF18" s="67">
        <v>0</v>
      </c>
      <c r="AG18" s="67">
        <v>0</v>
      </c>
      <c r="AH18" s="35" t="s">
        <v>271</v>
      </c>
      <c r="AI18" s="35">
        <v>2020</v>
      </c>
      <c r="AJ18" s="35">
        <v>2020</v>
      </c>
    </row>
    <row r="19" spans="1:36" s="20" customFormat="1" ht="61.5" x14ac:dyDescent="0.85">
      <c r="A19" s="20">
        <v>1</v>
      </c>
      <c r="B19" s="66">
        <f>SUBTOTAL(103,$A$13:A19)</f>
        <v>6</v>
      </c>
      <c r="C19" s="24" t="s">
        <v>1094</v>
      </c>
      <c r="D19" s="68" t="s">
        <v>1055</v>
      </c>
      <c r="E19" s="69">
        <v>1</v>
      </c>
      <c r="F19" s="31">
        <f t="shared" si="3"/>
        <v>5363310.75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76">
        <v>0</v>
      </c>
      <c r="N19" s="31">
        <v>0</v>
      </c>
      <c r="O19" s="31">
        <v>1019.2</v>
      </c>
      <c r="P19" s="31">
        <v>5284050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67">
        <f>ROUND(P19*1.5%,2)</f>
        <v>79260.75</v>
      </c>
      <c r="AF19" s="67">
        <v>0</v>
      </c>
      <c r="AG19" s="67">
        <v>0</v>
      </c>
      <c r="AH19" s="35" t="s">
        <v>271</v>
      </c>
      <c r="AI19" s="35">
        <v>2021</v>
      </c>
      <c r="AJ19" s="35">
        <v>2021</v>
      </c>
    </row>
    <row r="20" spans="1:36" s="20" customFormat="1" ht="61.5" x14ac:dyDescent="0.85">
      <c r="A20" s="20">
        <v>1</v>
      </c>
      <c r="B20" s="66">
        <f>SUBTOTAL(103,$A$13:A20)</f>
        <v>7</v>
      </c>
      <c r="C20" s="24" t="s">
        <v>1101</v>
      </c>
      <c r="D20" s="68" t="s">
        <v>1055</v>
      </c>
      <c r="E20" s="69">
        <v>1.0026999999999999</v>
      </c>
      <c r="F20" s="31">
        <f t="shared" si="3"/>
        <v>2595067.46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76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521.92999999999995</v>
      </c>
      <c r="T20" s="31">
        <v>2556716.71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67">
        <f>ROUND(T20*1.5%,2)</f>
        <v>38350.75</v>
      </c>
      <c r="AF20" s="67">
        <v>0</v>
      </c>
      <c r="AG20" s="67">
        <v>0</v>
      </c>
      <c r="AH20" s="35" t="s">
        <v>271</v>
      </c>
      <c r="AI20" s="35">
        <v>2021</v>
      </c>
      <c r="AJ20" s="35">
        <v>2021</v>
      </c>
    </row>
    <row r="21" spans="1:36" s="20" customFormat="1" ht="61.5" x14ac:dyDescent="0.85">
      <c r="A21" s="20">
        <v>1</v>
      </c>
      <c r="B21" s="66">
        <f>SUBTOTAL(103,$A$13:A21)</f>
        <v>8</v>
      </c>
      <c r="C21" s="24" t="s">
        <v>1102</v>
      </c>
      <c r="D21" s="68" t="s">
        <v>1053</v>
      </c>
      <c r="E21" s="69">
        <v>1.0053000000000001</v>
      </c>
      <c r="F21" s="31">
        <f t="shared" si="3"/>
        <v>50283.37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76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67">
        <f>ROUND(P21*1.5%,2)</f>
        <v>0</v>
      </c>
      <c r="AF21" s="214">
        <v>50283.37</v>
      </c>
      <c r="AG21" s="67">
        <v>0</v>
      </c>
      <c r="AH21" s="35">
        <v>2020</v>
      </c>
      <c r="AI21" s="35" t="s">
        <v>271</v>
      </c>
      <c r="AJ21" s="35" t="s">
        <v>271</v>
      </c>
    </row>
    <row r="22" spans="1:36" s="20" customFormat="1" ht="61.5" x14ac:dyDescent="0.85">
      <c r="A22" s="20">
        <v>1</v>
      </c>
      <c r="B22" s="66">
        <f>SUBTOTAL(103,$A$13:A22)</f>
        <v>9</v>
      </c>
      <c r="C22" s="24" t="s">
        <v>1417</v>
      </c>
      <c r="D22" s="68" t="s">
        <v>1053</v>
      </c>
      <c r="E22" s="69">
        <v>1.0036</v>
      </c>
      <c r="F22" s="31">
        <f t="shared" ref="F22" si="4">G22+H22+I22+J22+K22+L22+N22+P22+R22+T22+V22+W22+X22+Y22+Z22+AA22+AB22+AC22+AD22+AE22+AF22+AG22</f>
        <v>1488549.4999999998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76">
        <v>0</v>
      </c>
      <c r="N22" s="31">
        <v>0</v>
      </c>
      <c r="O22" s="207">
        <v>374.93</v>
      </c>
      <c r="P22" s="207">
        <v>1423676.88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67">
        <f>ROUND(P22*1.5%,2)</f>
        <v>21355.15</v>
      </c>
      <c r="AF22" s="214">
        <v>43517.47</v>
      </c>
      <c r="AG22" s="67">
        <v>0</v>
      </c>
      <c r="AH22" s="35">
        <v>2020</v>
      </c>
      <c r="AI22" s="35">
        <v>2020</v>
      </c>
      <c r="AJ22" s="35">
        <v>2020</v>
      </c>
    </row>
    <row r="23" spans="1:36" s="20" customFormat="1" ht="61.5" x14ac:dyDescent="0.85">
      <c r="A23" s="20">
        <v>1</v>
      </c>
      <c r="B23" s="66">
        <f>SUBTOTAL(103,$A$13:A23)</f>
        <v>10</v>
      </c>
      <c r="C23" s="24" t="s">
        <v>1746</v>
      </c>
      <c r="D23" s="68" t="s">
        <v>1054</v>
      </c>
      <c r="E23" s="69">
        <v>1</v>
      </c>
      <c r="F23" s="31">
        <f t="shared" si="3"/>
        <v>1522500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76">
        <v>0</v>
      </c>
      <c r="N23" s="31">
        <v>0</v>
      </c>
      <c r="O23" s="31">
        <v>300.39999999999998</v>
      </c>
      <c r="P23" s="31">
        <v>1500000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67">
        <f>ROUND(P23*1.5%,2)</f>
        <v>22500</v>
      </c>
      <c r="AF23" s="162">
        <v>0</v>
      </c>
      <c r="AG23" s="67">
        <v>0</v>
      </c>
      <c r="AH23" s="35" t="s">
        <v>271</v>
      </c>
      <c r="AI23" s="35">
        <v>2020</v>
      </c>
      <c r="AJ23" s="35">
        <v>2020</v>
      </c>
    </row>
    <row r="24" spans="1:36" s="20" customFormat="1" ht="61.5" x14ac:dyDescent="0.85">
      <c r="B24" s="70" t="s">
        <v>832</v>
      </c>
      <c r="C24" s="24"/>
      <c r="D24" s="68" t="s">
        <v>903</v>
      </c>
      <c r="E24" s="69">
        <f>AVERAGE(E25)</f>
        <v>1.0267999999999999</v>
      </c>
      <c r="F24" s="31">
        <f>F25</f>
        <v>2196540.5</v>
      </c>
      <c r="G24" s="31">
        <f t="shared" ref="G24:AG24" si="5">G25</f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76">
        <f t="shared" si="5"/>
        <v>0</v>
      </c>
      <c r="N24" s="31">
        <f t="shared" si="5"/>
        <v>0</v>
      </c>
      <c r="O24" s="31">
        <f t="shared" si="5"/>
        <v>386.8</v>
      </c>
      <c r="P24" s="31">
        <f t="shared" si="5"/>
        <v>2085233.76</v>
      </c>
      <c r="Q24" s="31">
        <f t="shared" si="5"/>
        <v>0</v>
      </c>
      <c r="R24" s="31">
        <f t="shared" si="5"/>
        <v>0</v>
      </c>
      <c r="S24" s="31">
        <f t="shared" si="5"/>
        <v>0</v>
      </c>
      <c r="T24" s="31">
        <f t="shared" si="5"/>
        <v>0</v>
      </c>
      <c r="U24" s="31">
        <f t="shared" si="5"/>
        <v>0</v>
      </c>
      <c r="V24" s="31">
        <f t="shared" si="5"/>
        <v>0</v>
      </c>
      <c r="W24" s="31">
        <f t="shared" si="5"/>
        <v>0</v>
      </c>
      <c r="X24" s="31">
        <f t="shared" si="5"/>
        <v>0</v>
      </c>
      <c r="Y24" s="31">
        <f t="shared" si="5"/>
        <v>0</v>
      </c>
      <c r="Z24" s="31">
        <f t="shared" si="5"/>
        <v>0</v>
      </c>
      <c r="AA24" s="31">
        <f t="shared" si="5"/>
        <v>0</v>
      </c>
      <c r="AB24" s="31">
        <f t="shared" si="5"/>
        <v>0</v>
      </c>
      <c r="AC24" s="31">
        <f t="shared" si="5"/>
        <v>0</v>
      </c>
      <c r="AD24" s="31">
        <f t="shared" si="5"/>
        <v>0</v>
      </c>
      <c r="AE24" s="67">
        <f t="shared" si="5"/>
        <v>31278.51</v>
      </c>
      <c r="AF24" s="67">
        <f t="shared" si="5"/>
        <v>80028.23</v>
      </c>
      <c r="AG24" s="31">
        <f t="shared" si="5"/>
        <v>0</v>
      </c>
      <c r="AH24" s="35" t="s">
        <v>903</v>
      </c>
      <c r="AI24" s="35" t="s">
        <v>903</v>
      </c>
      <c r="AJ24" s="35" t="s">
        <v>903</v>
      </c>
    </row>
    <row r="25" spans="1:36" s="20" customFormat="1" ht="61.5" x14ac:dyDescent="0.85">
      <c r="A25" s="20">
        <v>1</v>
      </c>
      <c r="B25" s="66">
        <f>SUBTOTAL(103,$A$13:A25)</f>
        <v>11</v>
      </c>
      <c r="C25" s="24" t="s">
        <v>687</v>
      </c>
      <c r="D25" s="68" t="s">
        <v>1055</v>
      </c>
      <c r="E25" s="69">
        <v>1.0267999999999999</v>
      </c>
      <c r="F25" s="31">
        <f t="shared" si="3"/>
        <v>2196540.5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76">
        <v>0</v>
      </c>
      <c r="N25" s="31">
        <v>0</v>
      </c>
      <c r="O25" s="31">
        <v>386.8</v>
      </c>
      <c r="P25" s="31">
        <v>2085233.76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67">
        <f>ROUND(P25*1.5%,2)</f>
        <v>31278.51</v>
      </c>
      <c r="AF25" s="162">
        <v>80028.23</v>
      </c>
      <c r="AG25" s="31">
        <v>0</v>
      </c>
      <c r="AH25" s="35">
        <v>2020</v>
      </c>
      <c r="AI25" s="35">
        <v>2020</v>
      </c>
      <c r="AJ25" s="35">
        <v>2020</v>
      </c>
    </row>
    <row r="26" spans="1:36" s="20" customFormat="1" ht="61.5" x14ac:dyDescent="0.85">
      <c r="B26" s="70" t="s">
        <v>836</v>
      </c>
      <c r="C26" s="24"/>
      <c r="D26" s="68" t="s">
        <v>903</v>
      </c>
      <c r="E26" s="69">
        <f>AVERAGE(E27)</f>
        <v>1</v>
      </c>
      <c r="F26" s="31">
        <f>F27</f>
        <v>6235729.1299999999</v>
      </c>
      <c r="G26" s="31">
        <f t="shared" ref="G26:AG26" si="6">G27</f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76">
        <f t="shared" si="6"/>
        <v>0</v>
      </c>
      <c r="N26" s="31">
        <f t="shared" si="6"/>
        <v>0</v>
      </c>
      <c r="O26" s="31">
        <f t="shared" si="6"/>
        <v>1080.5999999999999</v>
      </c>
      <c r="P26" s="31">
        <f t="shared" si="6"/>
        <v>6143575.5</v>
      </c>
      <c r="Q26" s="31">
        <f t="shared" si="6"/>
        <v>0</v>
      </c>
      <c r="R26" s="31">
        <f t="shared" si="6"/>
        <v>0</v>
      </c>
      <c r="S26" s="31">
        <f t="shared" si="6"/>
        <v>0</v>
      </c>
      <c r="T26" s="31">
        <f t="shared" si="6"/>
        <v>0</v>
      </c>
      <c r="U26" s="31">
        <f t="shared" si="6"/>
        <v>0</v>
      </c>
      <c r="V26" s="31">
        <f t="shared" si="6"/>
        <v>0</v>
      </c>
      <c r="W26" s="31">
        <f t="shared" si="6"/>
        <v>0</v>
      </c>
      <c r="X26" s="31">
        <f t="shared" si="6"/>
        <v>0</v>
      </c>
      <c r="Y26" s="31">
        <f t="shared" si="6"/>
        <v>0</v>
      </c>
      <c r="Z26" s="31">
        <f t="shared" si="6"/>
        <v>0</v>
      </c>
      <c r="AA26" s="31">
        <f t="shared" si="6"/>
        <v>0</v>
      </c>
      <c r="AB26" s="31">
        <f t="shared" si="6"/>
        <v>0</v>
      </c>
      <c r="AC26" s="31">
        <f t="shared" si="6"/>
        <v>0</v>
      </c>
      <c r="AD26" s="31">
        <f t="shared" si="6"/>
        <v>0</v>
      </c>
      <c r="AE26" s="67">
        <f t="shared" si="6"/>
        <v>92153.63</v>
      </c>
      <c r="AF26" s="67">
        <f t="shared" si="6"/>
        <v>0</v>
      </c>
      <c r="AG26" s="31">
        <f t="shared" si="6"/>
        <v>0</v>
      </c>
      <c r="AH26" s="35" t="s">
        <v>903</v>
      </c>
      <c r="AI26" s="35" t="s">
        <v>903</v>
      </c>
      <c r="AJ26" s="35" t="s">
        <v>903</v>
      </c>
    </row>
    <row r="27" spans="1:36" s="20" customFormat="1" ht="61.5" x14ac:dyDescent="0.85">
      <c r="A27" s="20">
        <v>1</v>
      </c>
      <c r="B27" s="66">
        <f>SUBTOTAL(103,$A$13:A27)</f>
        <v>12</v>
      </c>
      <c r="C27" s="24" t="s">
        <v>1084</v>
      </c>
      <c r="D27" s="68" t="s">
        <v>1056</v>
      </c>
      <c r="E27" s="69">
        <v>1</v>
      </c>
      <c r="F27" s="31">
        <f t="shared" si="3"/>
        <v>6235729.1299999999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76">
        <v>0</v>
      </c>
      <c r="N27" s="31">
        <v>0</v>
      </c>
      <c r="O27" s="31">
        <v>1080.5999999999999</v>
      </c>
      <c r="P27" s="31">
        <v>6143575.5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67">
        <f>ROUND(P27*1.5%,2)</f>
        <v>92153.63</v>
      </c>
      <c r="AF27" s="67">
        <v>0</v>
      </c>
      <c r="AG27" s="31">
        <v>0</v>
      </c>
      <c r="AH27" s="35" t="s">
        <v>271</v>
      </c>
      <c r="AI27" s="35">
        <v>2020</v>
      </c>
      <c r="AJ27" s="35">
        <v>2020</v>
      </c>
    </row>
    <row r="28" spans="1:36" s="20" customFormat="1" ht="61.5" x14ac:dyDescent="0.85">
      <c r="B28" s="70" t="s">
        <v>837</v>
      </c>
      <c r="C28" s="24"/>
      <c r="D28" s="68" t="s">
        <v>903</v>
      </c>
      <c r="E28" s="69">
        <f>AVERAGE(E29)</f>
        <v>1.0308999999999999</v>
      </c>
      <c r="F28" s="31">
        <f>F29</f>
        <v>1370556.38</v>
      </c>
      <c r="G28" s="31">
        <f t="shared" ref="G28:AG28" si="7">G29</f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76">
        <f t="shared" si="7"/>
        <v>0</v>
      </c>
      <c r="N28" s="31">
        <f t="shared" si="7"/>
        <v>0</v>
      </c>
      <c r="O28" s="31">
        <f t="shared" si="7"/>
        <v>292.8</v>
      </c>
      <c r="P28" s="31">
        <f t="shared" si="7"/>
        <v>1296000</v>
      </c>
      <c r="Q28" s="31">
        <f t="shared" si="7"/>
        <v>0</v>
      </c>
      <c r="R28" s="31">
        <f t="shared" si="7"/>
        <v>0</v>
      </c>
      <c r="S28" s="31">
        <f t="shared" si="7"/>
        <v>0</v>
      </c>
      <c r="T28" s="31">
        <f t="shared" si="7"/>
        <v>0</v>
      </c>
      <c r="U28" s="31">
        <f t="shared" si="7"/>
        <v>0</v>
      </c>
      <c r="V28" s="31">
        <f t="shared" si="7"/>
        <v>0</v>
      </c>
      <c r="W28" s="31">
        <f t="shared" si="7"/>
        <v>0</v>
      </c>
      <c r="X28" s="31">
        <f t="shared" si="7"/>
        <v>0</v>
      </c>
      <c r="Y28" s="31">
        <f t="shared" si="7"/>
        <v>0</v>
      </c>
      <c r="Z28" s="31">
        <f t="shared" si="7"/>
        <v>0</v>
      </c>
      <c r="AA28" s="31">
        <f t="shared" si="7"/>
        <v>0</v>
      </c>
      <c r="AB28" s="31">
        <f t="shared" si="7"/>
        <v>0</v>
      </c>
      <c r="AC28" s="31">
        <f t="shared" si="7"/>
        <v>0</v>
      </c>
      <c r="AD28" s="31">
        <f t="shared" si="7"/>
        <v>0</v>
      </c>
      <c r="AE28" s="67">
        <f t="shared" si="7"/>
        <v>19440</v>
      </c>
      <c r="AF28" s="67">
        <f t="shared" si="7"/>
        <v>55116.38</v>
      </c>
      <c r="AG28" s="31">
        <f t="shared" si="7"/>
        <v>0</v>
      </c>
      <c r="AH28" s="35" t="s">
        <v>903</v>
      </c>
      <c r="AI28" s="35" t="s">
        <v>903</v>
      </c>
      <c r="AJ28" s="35" t="s">
        <v>903</v>
      </c>
    </row>
    <row r="29" spans="1:36" s="20" customFormat="1" ht="61.5" x14ac:dyDescent="0.85">
      <c r="A29" s="20">
        <v>1</v>
      </c>
      <c r="B29" s="66">
        <f>SUBTOTAL(103,$A$13:A29)</f>
        <v>13</v>
      </c>
      <c r="C29" s="24" t="s">
        <v>1037</v>
      </c>
      <c r="D29" s="68" t="s">
        <v>1052</v>
      </c>
      <c r="E29" s="69">
        <v>1.0308999999999999</v>
      </c>
      <c r="F29" s="31">
        <f t="shared" si="3"/>
        <v>1370556.38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76">
        <v>0</v>
      </c>
      <c r="N29" s="31">
        <v>0</v>
      </c>
      <c r="O29" s="31">
        <v>292.8</v>
      </c>
      <c r="P29" s="31">
        <v>1296000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67">
        <f>ROUND(P29*1.5%,2)</f>
        <v>19440</v>
      </c>
      <c r="AF29" s="224">
        <v>55116.38</v>
      </c>
      <c r="AG29" s="31">
        <v>0</v>
      </c>
      <c r="AH29" s="35">
        <v>2020</v>
      </c>
      <c r="AI29" s="35">
        <v>2020</v>
      </c>
      <c r="AJ29" s="35">
        <v>2020</v>
      </c>
    </row>
    <row r="30" spans="1:36" s="20" customFormat="1" ht="61.5" x14ac:dyDescent="0.85">
      <c r="B30" s="70" t="s">
        <v>1061</v>
      </c>
      <c r="C30" s="24"/>
      <c r="D30" s="68" t="s">
        <v>903</v>
      </c>
      <c r="E30" s="69">
        <f>AVERAGE(E31:E32)</f>
        <v>1.0206</v>
      </c>
      <c r="F30" s="31">
        <f t="shared" ref="F30:AG30" si="8">SUM(F31:F32)</f>
        <v>3267157.84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76">
        <f t="shared" si="8"/>
        <v>0</v>
      </c>
      <c r="N30" s="31">
        <f t="shared" si="8"/>
        <v>0</v>
      </c>
      <c r="O30" s="31">
        <f t="shared" si="8"/>
        <v>380</v>
      </c>
      <c r="P30" s="31">
        <f t="shared" si="8"/>
        <v>1708374.38</v>
      </c>
      <c r="Q30" s="31">
        <f t="shared" si="8"/>
        <v>0</v>
      </c>
      <c r="R30" s="31">
        <f t="shared" si="8"/>
        <v>0</v>
      </c>
      <c r="S30" s="31">
        <f t="shared" si="8"/>
        <v>429.61</v>
      </c>
      <c r="T30" s="31">
        <f t="shared" si="8"/>
        <v>1408131.99</v>
      </c>
      <c r="U30" s="31">
        <f t="shared" si="8"/>
        <v>0</v>
      </c>
      <c r="V30" s="31">
        <f t="shared" si="8"/>
        <v>0</v>
      </c>
      <c r="W30" s="31">
        <f t="shared" si="8"/>
        <v>0</v>
      </c>
      <c r="X30" s="31">
        <f t="shared" si="8"/>
        <v>0</v>
      </c>
      <c r="Y30" s="31">
        <f t="shared" si="8"/>
        <v>0</v>
      </c>
      <c r="Z30" s="31">
        <f t="shared" si="8"/>
        <v>0</v>
      </c>
      <c r="AA30" s="31">
        <f t="shared" si="8"/>
        <v>0</v>
      </c>
      <c r="AB30" s="31">
        <f t="shared" si="8"/>
        <v>0</v>
      </c>
      <c r="AC30" s="31">
        <f t="shared" si="8"/>
        <v>0</v>
      </c>
      <c r="AD30" s="31">
        <f t="shared" si="8"/>
        <v>0</v>
      </c>
      <c r="AE30" s="67">
        <f t="shared" si="8"/>
        <v>46747.6</v>
      </c>
      <c r="AF30" s="67">
        <f t="shared" si="8"/>
        <v>103903.87</v>
      </c>
      <c r="AG30" s="31">
        <f t="shared" si="8"/>
        <v>0</v>
      </c>
      <c r="AH30" s="35" t="s">
        <v>903</v>
      </c>
      <c r="AI30" s="35" t="s">
        <v>903</v>
      </c>
      <c r="AJ30" s="35" t="s">
        <v>903</v>
      </c>
    </row>
    <row r="31" spans="1:36" s="20" customFormat="1" ht="61.5" x14ac:dyDescent="0.85">
      <c r="A31" s="20">
        <v>1</v>
      </c>
      <c r="B31" s="66">
        <f>SUBTOTAL(103,$A$13:A31)</f>
        <v>14</v>
      </c>
      <c r="C31" s="24" t="s">
        <v>1038</v>
      </c>
      <c r="D31" s="68" t="s">
        <v>1055</v>
      </c>
      <c r="E31" s="69">
        <v>1.0385</v>
      </c>
      <c r="F31" s="31">
        <f t="shared" si="3"/>
        <v>1784676.59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76">
        <v>0</v>
      </c>
      <c r="N31" s="31">
        <v>0</v>
      </c>
      <c r="O31" s="31">
        <v>380</v>
      </c>
      <c r="P31" s="31">
        <v>1708374.38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67">
        <f>ROUND(P31*1.5%,2)</f>
        <v>25625.62</v>
      </c>
      <c r="AF31" s="67">
        <v>50676.59</v>
      </c>
      <c r="AG31" s="31">
        <v>0</v>
      </c>
      <c r="AH31" s="35">
        <v>2020</v>
      </c>
      <c r="AI31" s="35">
        <v>2021</v>
      </c>
      <c r="AJ31" s="35">
        <v>2021</v>
      </c>
    </row>
    <row r="32" spans="1:36" s="20" customFormat="1" ht="61.5" x14ac:dyDescent="0.85">
      <c r="A32" s="20">
        <v>1</v>
      </c>
      <c r="B32" s="66">
        <f>SUBTOTAL(103,$A$13:A32)</f>
        <v>15</v>
      </c>
      <c r="C32" s="24" t="s">
        <v>1039</v>
      </c>
      <c r="D32" s="68" t="s">
        <v>1055</v>
      </c>
      <c r="E32" s="69">
        <v>1.0026999999999999</v>
      </c>
      <c r="F32" s="31">
        <f t="shared" si="3"/>
        <v>1482481.25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76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429.61</v>
      </c>
      <c r="T32" s="31">
        <v>1408131.99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67">
        <f>ROUND(T32*1.5%,2)</f>
        <v>21121.98</v>
      </c>
      <c r="AF32" s="224">
        <v>53227.28</v>
      </c>
      <c r="AG32" s="31">
        <v>0</v>
      </c>
      <c r="AH32" s="35">
        <v>2020</v>
      </c>
      <c r="AI32" s="35">
        <v>2021</v>
      </c>
      <c r="AJ32" s="35">
        <v>2021</v>
      </c>
    </row>
    <row r="33" spans="1:36" s="20" customFormat="1" ht="61.5" x14ac:dyDescent="0.85">
      <c r="B33" s="70" t="s">
        <v>844</v>
      </c>
      <c r="C33" s="24"/>
      <c r="D33" s="68" t="s">
        <v>903</v>
      </c>
      <c r="E33" s="69">
        <f>AVERAGE(E34:E35)</f>
        <v>1</v>
      </c>
      <c r="F33" s="31">
        <f>SUM(F34:F35)</f>
        <v>4001546.48</v>
      </c>
      <c r="G33" s="31">
        <f t="shared" ref="G33:AG33" si="9">SUM(G34:G35)</f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76">
        <f t="shared" si="9"/>
        <v>0</v>
      </c>
      <c r="N33" s="31">
        <f t="shared" si="9"/>
        <v>0</v>
      </c>
      <c r="O33" s="31">
        <f t="shared" si="9"/>
        <v>813.65000000000009</v>
      </c>
      <c r="P33" s="31">
        <f t="shared" si="9"/>
        <v>3845347.3899999997</v>
      </c>
      <c r="Q33" s="31">
        <f t="shared" si="9"/>
        <v>0</v>
      </c>
      <c r="R33" s="31">
        <f t="shared" si="9"/>
        <v>0</v>
      </c>
      <c r="S33" s="31">
        <f t="shared" si="9"/>
        <v>0</v>
      </c>
      <c r="T33" s="31">
        <f t="shared" si="9"/>
        <v>0</v>
      </c>
      <c r="U33" s="31">
        <f t="shared" si="9"/>
        <v>0</v>
      </c>
      <c r="V33" s="31">
        <f t="shared" si="9"/>
        <v>0</v>
      </c>
      <c r="W33" s="31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9"/>
        <v>0</v>
      </c>
      <c r="AB33" s="31">
        <f t="shared" si="9"/>
        <v>0</v>
      </c>
      <c r="AC33" s="31">
        <f t="shared" si="9"/>
        <v>0</v>
      </c>
      <c r="AD33" s="31">
        <f t="shared" si="9"/>
        <v>0</v>
      </c>
      <c r="AE33" s="67">
        <f t="shared" si="9"/>
        <v>57680.21</v>
      </c>
      <c r="AF33" s="67">
        <f t="shared" si="9"/>
        <v>98518.88</v>
      </c>
      <c r="AG33" s="31">
        <f t="shared" si="9"/>
        <v>0</v>
      </c>
      <c r="AH33" s="35" t="s">
        <v>903</v>
      </c>
      <c r="AI33" s="35" t="s">
        <v>903</v>
      </c>
      <c r="AJ33" s="35" t="s">
        <v>903</v>
      </c>
    </row>
    <row r="34" spans="1:36" s="20" customFormat="1" ht="61.5" x14ac:dyDescent="0.85">
      <c r="A34" s="20">
        <v>1</v>
      </c>
      <c r="B34" s="66">
        <f>SUBTOTAL(103,$A$13:A34)</f>
        <v>16</v>
      </c>
      <c r="C34" s="24" t="s">
        <v>1059</v>
      </c>
      <c r="D34" s="68" t="s">
        <v>1053</v>
      </c>
      <c r="E34" s="69">
        <v>1</v>
      </c>
      <c r="F34" s="31">
        <f t="shared" si="3"/>
        <v>2852994.35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76">
        <v>0</v>
      </c>
      <c r="N34" s="31">
        <v>0</v>
      </c>
      <c r="O34" s="210">
        <v>593.44000000000005</v>
      </c>
      <c r="P34" s="210">
        <v>2760502.92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67">
        <f>ROUND(P34*1.5%,2)</f>
        <v>41407.54</v>
      </c>
      <c r="AF34" s="214">
        <v>51083.89</v>
      </c>
      <c r="AG34" s="31">
        <v>0</v>
      </c>
      <c r="AH34" s="35">
        <v>2020</v>
      </c>
      <c r="AI34" s="35">
        <v>2020</v>
      </c>
      <c r="AJ34" s="35">
        <v>2020</v>
      </c>
    </row>
    <row r="35" spans="1:36" s="20" customFormat="1" ht="61.5" x14ac:dyDescent="0.85">
      <c r="A35" s="20">
        <v>1</v>
      </c>
      <c r="B35" s="66">
        <f>SUBTOTAL(103,$A$13:A35)</f>
        <v>17</v>
      </c>
      <c r="C35" s="24" t="s">
        <v>1040</v>
      </c>
      <c r="D35" s="68" t="s">
        <v>1053</v>
      </c>
      <c r="E35" s="69">
        <v>1</v>
      </c>
      <c r="F35" s="31">
        <f t="shared" si="3"/>
        <v>1148552.1299999999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76">
        <v>0</v>
      </c>
      <c r="N35" s="31">
        <v>0</v>
      </c>
      <c r="O35" s="210">
        <v>220.21</v>
      </c>
      <c r="P35" s="210">
        <v>1084844.47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67">
        <f>ROUND(P35*1.5%,2)</f>
        <v>16272.67</v>
      </c>
      <c r="AF35" s="214">
        <v>47434.99</v>
      </c>
      <c r="AG35" s="31">
        <v>0</v>
      </c>
      <c r="AH35" s="35">
        <v>2020</v>
      </c>
      <c r="AI35" s="35">
        <v>2020</v>
      </c>
      <c r="AJ35" s="35">
        <v>2020</v>
      </c>
    </row>
    <row r="36" spans="1:36" s="20" customFormat="1" ht="61.5" x14ac:dyDescent="0.85">
      <c r="B36" s="70" t="s">
        <v>773</v>
      </c>
      <c r="C36" s="24"/>
      <c r="D36" s="68" t="s">
        <v>903</v>
      </c>
      <c r="E36" s="69">
        <f>AVERAGE(E37:E41)</f>
        <v>1.0075000000000001</v>
      </c>
      <c r="F36" s="31">
        <f>SUM(F37:F39)</f>
        <v>5860829.3999999994</v>
      </c>
      <c r="G36" s="31">
        <f t="shared" ref="G36:AG36" si="10">SUM(G37:G39)</f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76">
        <f t="shared" si="10"/>
        <v>0</v>
      </c>
      <c r="N36" s="31">
        <f t="shared" si="10"/>
        <v>0</v>
      </c>
      <c r="O36" s="31">
        <f t="shared" si="10"/>
        <v>1215.3400000000001</v>
      </c>
      <c r="P36" s="31">
        <f t="shared" si="10"/>
        <v>5547454.3900000006</v>
      </c>
      <c r="Q36" s="31">
        <f t="shared" si="10"/>
        <v>0</v>
      </c>
      <c r="R36" s="31">
        <f t="shared" si="10"/>
        <v>0</v>
      </c>
      <c r="S36" s="31">
        <f t="shared" si="10"/>
        <v>0</v>
      </c>
      <c r="T36" s="31">
        <f t="shared" si="10"/>
        <v>0</v>
      </c>
      <c r="U36" s="31">
        <f t="shared" si="10"/>
        <v>0</v>
      </c>
      <c r="V36" s="31">
        <f t="shared" si="10"/>
        <v>0</v>
      </c>
      <c r="W36" s="31">
        <f t="shared" si="10"/>
        <v>0</v>
      </c>
      <c r="X36" s="31">
        <f t="shared" si="10"/>
        <v>0</v>
      </c>
      <c r="Y36" s="31">
        <f t="shared" si="10"/>
        <v>0</v>
      </c>
      <c r="Z36" s="31">
        <f t="shared" si="10"/>
        <v>0</v>
      </c>
      <c r="AA36" s="31">
        <f t="shared" si="10"/>
        <v>0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67">
        <f t="shared" si="10"/>
        <v>83211.819999999992</v>
      </c>
      <c r="AF36" s="67">
        <f t="shared" si="10"/>
        <v>230163.19</v>
      </c>
      <c r="AG36" s="31">
        <f t="shared" si="10"/>
        <v>0</v>
      </c>
      <c r="AH36" s="35" t="s">
        <v>903</v>
      </c>
      <c r="AI36" s="35" t="s">
        <v>903</v>
      </c>
      <c r="AJ36" s="35" t="s">
        <v>903</v>
      </c>
    </row>
    <row r="37" spans="1:36" s="20" customFormat="1" ht="61.5" x14ac:dyDescent="0.85">
      <c r="A37" s="20">
        <v>1</v>
      </c>
      <c r="B37" s="66">
        <f>SUBTOTAL(103,$A$13:A37)</f>
        <v>18</v>
      </c>
      <c r="C37" s="24" t="s">
        <v>1041</v>
      </c>
      <c r="D37" s="68" t="s">
        <v>1054</v>
      </c>
      <c r="E37" s="69">
        <v>1.0043</v>
      </c>
      <c r="F37" s="31">
        <f t="shared" si="3"/>
        <v>1040984.0299999999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76">
        <v>0</v>
      </c>
      <c r="N37" s="31">
        <v>0</v>
      </c>
      <c r="O37" s="31">
        <v>206.34</v>
      </c>
      <c r="P37" s="31">
        <v>972873.11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67">
        <f>ROUND(P37*1.5%,2)</f>
        <v>14593.1</v>
      </c>
      <c r="AF37" s="67">
        <v>53517.82</v>
      </c>
      <c r="AG37" s="31">
        <v>0</v>
      </c>
      <c r="AH37" s="35">
        <v>2020</v>
      </c>
      <c r="AI37" s="35">
        <v>2020</v>
      </c>
      <c r="AJ37" s="35">
        <v>2020</v>
      </c>
    </row>
    <row r="38" spans="1:36" s="20" customFormat="1" ht="61.5" x14ac:dyDescent="0.85">
      <c r="A38" s="20">
        <v>1</v>
      </c>
      <c r="B38" s="66">
        <f>SUBTOTAL(103,$A$13:A38)</f>
        <v>19</v>
      </c>
      <c r="C38" s="24" t="s">
        <v>797</v>
      </c>
      <c r="D38" s="68" t="s">
        <v>1054</v>
      </c>
      <c r="E38" s="69">
        <v>1.0185999999999999</v>
      </c>
      <c r="F38" s="31">
        <f t="shared" si="3"/>
        <v>2764152.46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76">
        <v>0</v>
      </c>
      <c r="N38" s="31">
        <v>0</v>
      </c>
      <c r="O38" s="31">
        <v>576</v>
      </c>
      <c r="P38" s="31">
        <v>2625418.7200000002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67">
        <f>ROUND(P38*1.5%,2)</f>
        <v>39381.279999999999</v>
      </c>
      <c r="AF38" s="67">
        <v>99352.46</v>
      </c>
      <c r="AG38" s="31">
        <v>0</v>
      </c>
      <c r="AH38" s="35">
        <v>2020</v>
      </c>
      <c r="AI38" s="35">
        <v>2020</v>
      </c>
      <c r="AJ38" s="35">
        <v>2020</v>
      </c>
    </row>
    <row r="39" spans="1:36" s="20" customFormat="1" ht="61.5" x14ac:dyDescent="0.85">
      <c r="A39" s="20">
        <v>1</v>
      </c>
      <c r="B39" s="66">
        <f>SUBTOTAL(103,$A$13:A39)</f>
        <v>20</v>
      </c>
      <c r="C39" s="24" t="s">
        <v>789</v>
      </c>
      <c r="D39" s="68" t="s">
        <v>1054</v>
      </c>
      <c r="E39" s="69">
        <v>1.0064</v>
      </c>
      <c r="F39" s="31">
        <f t="shared" si="3"/>
        <v>2055692.91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76">
        <v>0</v>
      </c>
      <c r="N39" s="31">
        <v>0</v>
      </c>
      <c r="O39" s="31">
        <v>433</v>
      </c>
      <c r="P39" s="31">
        <v>1949162.56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67">
        <f>ROUND(P39*1.5%,2)</f>
        <v>29237.439999999999</v>
      </c>
      <c r="AF39" s="67">
        <v>77292.91</v>
      </c>
      <c r="AG39" s="31">
        <v>0</v>
      </c>
      <c r="AH39" s="35">
        <v>2020</v>
      </c>
      <c r="AI39" s="35">
        <v>2020</v>
      </c>
      <c r="AJ39" s="35">
        <v>2020</v>
      </c>
    </row>
    <row r="40" spans="1:36" s="20" customFormat="1" ht="61.5" x14ac:dyDescent="0.85">
      <c r="B40" s="70" t="s">
        <v>851</v>
      </c>
      <c r="C40" s="24"/>
      <c r="D40" s="68" t="s">
        <v>903</v>
      </c>
      <c r="E40" s="69">
        <f>AVERAGE(E41)</f>
        <v>1.0041</v>
      </c>
      <c r="F40" s="31">
        <f>F41</f>
        <v>2144299</v>
      </c>
      <c r="G40" s="31">
        <f t="shared" ref="G40:AG40" si="11">G41</f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76">
        <f t="shared" si="11"/>
        <v>0</v>
      </c>
      <c r="N40" s="31">
        <f t="shared" si="11"/>
        <v>0</v>
      </c>
      <c r="O40" s="31">
        <f t="shared" si="11"/>
        <v>448.83</v>
      </c>
      <c r="P40" s="31">
        <f t="shared" si="11"/>
        <v>2033875.86</v>
      </c>
      <c r="Q40" s="31">
        <f t="shared" si="11"/>
        <v>0</v>
      </c>
      <c r="R40" s="31">
        <f t="shared" si="11"/>
        <v>0</v>
      </c>
      <c r="S40" s="31">
        <f t="shared" si="11"/>
        <v>0</v>
      </c>
      <c r="T40" s="31">
        <f t="shared" si="11"/>
        <v>0</v>
      </c>
      <c r="U40" s="31">
        <f t="shared" si="11"/>
        <v>0</v>
      </c>
      <c r="V40" s="31">
        <f t="shared" si="11"/>
        <v>0</v>
      </c>
      <c r="W40" s="31">
        <f t="shared" si="11"/>
        <v>0</v>
      </c>
      <c r="X40" s="31">
        <f t="shared" si="11"/>
        <v>0</v>
      </c>
      <c r="Y40" s="31">
        <f t="shared" si="11"/>
        <v>0</v>
      </c>
      <c r="Z40" s="31">
        <f t="shared" si="11"/>
        <v>0</v>
      </c>
      <c r="AA40" s="31">
        <f t="shared" si="11"/>
        <v>0</v>
      </c>
      <c r="AB40" s="31">
        <f t="shared" si="11"/>
        <v>0</v>
      </c>
      <c r="AC40" s="31">
        <f t="shared" si="11"/>
        <v>0</v>
      </c>
      <c r="AD40" s="31">
        <f t="shared" si="11"/>
        <v>0</v>
      </c>
      <c r="AE40" s="67">
        <f t="shared" si="11"/>
        <v>30508.14</v>
      </c>
      <c r="AF40" s="67">
        <f t="shared" si="11"/>
        <v>79915</v>
      </c>
      <c r="AG40" s="31">
        <f t="shared" si="11"/>
        <v>0</v>
      </c>
      <c r="AH40" s="35" t="s">
        <v>903</v>
      </c>
      <c r="AI40" s="35" t="s">
        <v>903</v>
      </c>
      <c r="AJ40" s="35" t="s">
        <v>903</v>
      </c>
    </row>
    <row r="41" spans="1:36" s="20" customFormat="1" ht="61.5" x14ac:dyDescent="0.85">
      <c r="A41" s="20">
        <v>1</v>
      </c>
      <c r="B41" s="66">
        <f>SUBTOTAL(103,$A$13:A41)</f>
        <v>21</v>
      </c>
      <c r="C41" s="24" t="s">
        <v>1042</v>
      </c>
      <c r="D41" s="68" t="s">
        <v>1053</v>
      </c>
      <c r="E41" s="69">
        <v>1.0041</v>
      </c>
      <c r="F41" s="31">
        <f t="shared" si="3"/>
        <v>2144299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76">
        <v>0</v>
      </c>
      <c r="N41" s="31">
        <v>0</v>
      </c>
      <c r="O41" s="31">
        <v>448.83</v>
      </c>
      <c r="P41" s="31">
        <v>2033875.86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67">
        <f>ROUND(P41*1.5%,2)</f>
        <v>30508.14</v>
      </c>
      <c r="AF41" s="31">
        <v>79915</v>
      </c>
      <c r="AG41" s="31">
        <v>0</v>
      </c>
      <c r="AH41" s="35">
        <v>2020</v>
      </c>
      <c r="AI41" s="35">
        <v>2020</v>
      </c>
      <c r="AJ41" s="35">
        <v>2020</v>
      </c>
    </row>
    <row r="42" spans="1:36" s="20" customFormat="1" ht="61.5" x14ac:dyDescent="0.85">
      <c r="B42" s="70" t="s">
        <v>853</v>
      </c>
      <c r="C42" s="24"/>
      <c r="D42" s="68" t="s">
        <v>903</v>
      </c>
      <c r="E42" s="69">
        <f>AVERAGE(E43)</f>
        <v>1</v>
      </c>
      <c r="F42" s="31">
        <f>F43</f>
        <v>5635847.5700000003</v>
      </c>
      <c r="G42" s="31">
        <f t="shared" ref="G42:AG44" si="12">G43</f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76">
        <f t="shared" si="12"/>
        <v>0</v>
      </c>
      <c r="N42" s="31">
        <f t="shared" si="12"/>
        <v>0</v>
      </c>
      <c r="O42" s="31">
        <f t="shared" si="12"/>
        <v>1034.83</v>
      </c>
      <c r="P42" s="31">
        <f t="shared" si="12"/>
        <v>5456330</v>
      </c>
      <c r="Q42" s="31">
        <f t="shared" si="12"/>
        <v>0</v>
      </c>
      <c r="R42" s="31">
        <f t="shared" si="12"/>
        <v>0</v>
      </c>
      <c r="S42" s="31">
        <f t="shared" si="12"/>
        <v>0</v>
      </c>
      <c r="T42" s="31">
        <f t="shared" si="12"/>
        <v>0</v>
      </c>
      <c r="U42" s="31">
        <f t="shared" si="12"/>
        <v>0</v>
      </c>
      <c r="V42" s="31">
        <f t="shared" si="12"/>
        <v>0</v>
      </c>
      <c r="W42" s="31">
        <f t="shared" si="12"/>
        <v>0</v>
      </c>
      <c r="X42" s="31">
        <f t="shared" si="12"/>
        <v>0</v>
      </c>
      <c r="Y42" s="31">
        <f t="shared" si="12"/>
        <v>0</v>
      </c>
      <c r="Z42" s="31">
        <f t="shared" si="12"/>
        <v>0</v>
      </c>
      <c r="AA42" s="31">
        <f t="shared" si="12"/>
        <v>0</v>
      </c>
      <c r="AB42" s="31">
        <f t="shared" si="12"/>
        <v>0</v>
      </c>
      <c r="AC42" s="31">
        <f t="shared" si="12"/>
        <v>0</v>
      </c>
      <c r="AD42" s="31">
        <f t="shared" si="12"/>
        <v>0</v>
      </c>
      <c r="AE42" s="67">
        <f t="shared" si="12"/>
        <v>81844.95</v>
      </c>
      <c r="AF42" s="67">
        <f t="shared" si="12"/>
        <v>97672.62</v>
      </c>
      <c r="AG42" s="31">
        <f t="shared" si="12"/>
        <v>0</v>
      </c>
      <c r="AH42" s="35" t="s">
        <v>903</v>
      </c>
      <c r="AI42" s="35" t="s">
        <v>903</v>
      </c>
      <c r="AJ42" s="35" t="s">
        <v>903</v>
      </c>
    </row>
    <row r="43" spans="1:36" s="20" customFormat="1" ht="61.5" x14ac:dyDescent="0.85">
      <c r="A43" s="20">
        <v>1</v>
      </c>
      <c r="B43" s="66">
        <f>SUBTOTAL(103,$A$13:A43)</f>
        <v>22</v>
      </c>
      <c r="C43" s="24" t="s">
        <v>1043</v>
      </c>
      <c r="D43" s="68" t="s">
        <v>1055</v>
      </c>
      <c r="E43" s="69">
        <v>1</v>
      </c>
      <c r="F43" s="31">
        <f t="shared" si="3"/>
        <v>5635847.5700000003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76">
        <v>0</v>
      </c>
      <c r="N43" s="31">
        <v>0</v>
      </c>
      <c r="O43" s="31">
        <v>1034.83</v>
      </c>
      <c r="P43" s="31">
        <v>5456330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67">
        <f>ROUND(P43*1.5%,2)</f>
        <v>81844.95</v>
      </c>
      <c r="AF43" s="162">
        <v>97672.62</v>
      </c>
      <c r="AG43" s="31">
        <v>0</v>
      </c>
      <c r="AH43" s="35">
        <v>2020</v>
      </c>
      <c r="AI43" s="35">
        <v>2020</v>
      </c>
      <c r="AJ43" s="35">
        <v>2020</v>
      </c>
    </row>
    <row r="44" spans="1:36" s="20" customFormat="1" ht="61.5" x14ac:dyDescent="0.85">
      <c r="B44" s="70" t="s">
        <v>1729</v>
      </c>
      <c r="C44" s="24"/>
      <c r="D44" s="68" t="s">
        <v>903</v>
      </c>
      <c r="E44" s="69">
        <f>AVERAGE(E45)</f>
        <v>1.0524</v>
      </c>
      <c r="F44" s="31">
        <f>F45</f>
        <v>3672464.4</v>
      </c>
      <c r="G44" s="31">
        <f t="shared" si="12"/>
        <v>0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76">
        <f t="shared" si="12"/>
        <v>0</v>
      </c>
      <c r="N44" s="31">
        <f t="shared" si="12"/>
        <v>0</v>
      </c>
      <c r="O44" s="31">
        <f t="shared" si="12"/>
        <v>664.6</v>
      </c>
      <c r="P44" s="31">
        <f t="shared" si="12"/>
        <v>3470408.28</v>
      </c>
      <c r="Q44" s="31">
        <f t="shared" si="12"/>
        <v>0</v>
      </c>
      <c r="R44" s="31">
        <f t="shared" si="12"/>
        <v>0</v>
      </c>
      <c r="S44" s="31">
        <f t="shared" si="12"/>
        <v>0</v>
      </c>
      <c r="T44" s="31">
        <f t="shared" si="12"/>
        <v>0</v>
      </c>
      <c r="U44" s="31">
        <f t="shared" si="12"/>
        <v>0</v>
      </c>
      <c r="V44" s="31">
        <f t="shared" si="12"/>
        <v>0</v>
      </c>
      <c r="W44" s="31">
        <f t="shared" si="12"/>
        <v>0</v>
      </c>
      <c r="X44" s="31">
        <f t="shared" si="12"/>
        <v>0</v>
      </c>
      <c r="Y44" s="31">
        <f t="shared" si="12"/>
        <v>0</v>
      </c>
      <c r="Z44" s="31">
        <f t="shared" si="12"/>
        <v>0</v>
      </c>
      <c r="AA44" s="31">
        <f t="shared" si="12"/>
        <v>0</v>
      </c>
      <c r="AB44" s="31">
        <f t="shared" si="12"/>
        <v>0</v>
      </c>
      <c r="AC44" s="31">
        <f t="shared" si="12"/>
        <v>0</v>
      </c>
      <c r="AD44" s="31">
        <f t="shared" si="12"/>
        <v>0</v>
      </c>
      <c r="AE44" s="67">
        <f t="shared" si="12"/>
        <v>52056.12</v>
      </c>
      <c r="AF44" s="67">
        <f t="shared" si="12"/>
        <v>150000</v>
      </c>
      <c r="AG44" s="31">
        <f t="shared" si="12"/>
        <v>0</v>
      </c>
      <c r="AH44" s="35" t="s">
        <v>903</v>
      </c>
      <c r="AI44" s="35" t="s">
        <v>903</v>
      </c>
      <c r="AJ44" s="35" t="s">
        <v>903</v>
      </c>
    </row>
    <row r="45" spans="1:36" s="20" customFormat="1" ht="61.5" x14ac:dyDescent="0.85">
      <c r="A45" s="20">
        <v>1</v>
      </c>
      <c r="B45" s="66">
        <f>SUBTOTAL(103,$A$13:A45)</f>
        <v>23</v>
      </c>
      <c r="C45" s="24" t="s">
        <v>1728</v>
      </c>
      <c r="D45" s="68" t="s">
        <v>1055</v>
      </c>
      <c r="E45" s="69">
        <v>1.0524</v>
      </c>
      <c r="F45" s="31">
        <f t="shared" ref="F45" si="13">G45+H45+I45+J45+K45+L45+N45+P45+R45+T45+V45+W45+X45+Y45+Z45+AA45+AB45+AC45+AD45+AE45+AF45+AG45</f>
        <v>3672464.4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76">
        <v>0</v>
      </c>
      <c r="N45" s="31">
        <v>0</v>
      </c>
      <c r="O45" s="31">
        <v>664.6</v>
      </c>
      <c r="P45" s="31">
        <v>3470408.28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67">
        <f>ROUND(P45*1.5%,2)</f>
        <v>52056.12</v>
      </c>
      <c r="AF45" s="162">
        <v>150000</v>
      </c>
      <c r="AG45" s="31">
        <v>0</v>
      </c>
      <c r="AH45" s="35">
        <v>2021</v>
      </c>
      <c r="AI45" s="35">
        <v>2021</v>
      </c>
      <c r="AJ45" s="35">
        <v>2021</v>
      </c>
    </row>
    <row r="46" spans="1:36" s="20" customFormat="1" ht="61.5" x14ac:dyDescent="0.85">
      <c r="B46" s="70" t="s">
        <v>1062</v>
      </c>
      <c r="C46" s="24"/>
      <c r="D46" s="68" t="s">
        <v>903</v>
      </c>
      <c r="E46" s="69">
        <f>AVERAGE(E47:E49)</f>
        <v>1.0093333333333334</v>
      </c>
      <c r="F46" s="31">
        <f t="shared" ref="F46:AG46" si="14">SUM(F47:F49)</f>
        <v>7637123.5900000008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76">
        <f t="shared" si="14"/>
        <v>0</v>
      </c>
      <c r="N46" s="31">
        <f t="shared" si="14"/>
        <v>0</v>
      </c>
      <c r="O46" s="31">
        <f t="shared" si="14"/>
        <v>1438.7</v>
      </c>
      <c r="P46" s="31">
        <f t="shared" si="14"/>
        <v>7406508.8399999999</v>
      </c>
      <c r="Q46" s="31">
        <f t="shared" si="14"/>
        <v>0</v>
      </c>
      <c r="R46" s="31">
        <f t="shared" si="14"/>
        <v>0</v>
      </c>
      <c r="S46" s="31">
        <f t="shared" si="14"/>
        <v>0</v>
      </c>
      <c r="T46" s="31">
        <f t="shared" si="14"/>
        <v>0</v>
      </c>
      <c r="U46" s="31">
        <f t="shared" si="14"/>
        <v>0</v>
      </c>
      <c r="V46" s="31">
        <f t="shared" si="14"/>
        <v>0</v>
      </c>
      <c r="W46" s="31">
        <f t="shared" si="14"/>
        <v>0</v>
      </c>
      <c r="X46" s="31">
        <f t="shared" si="14"/>
        <v>0</v>
      </c>
      <c r="Y46" s="31">
        <f t="shared" si="14"/>
        <v>0</v>
      </c>
      <c r="Z46" s="31">
        <f t="shared" si="14"/>
        <v>0</v>
      </c>
      <c r="AA46" s="31">
        <f t="shared" si="14"/>
        <v>0</v>
      </c>
      <c r="AB46" s="31">
        <f t="shared" si="14"/>
        <v>0</v>
      </c>
      <c r="AC46" s="31">
        <f t="shared" si="14"/>
        <v>0</v>
      </c>
      <c r="AD46" s="31">
        <f t="shared" si="14"/>
        <v>0</v>
      </c>
      <c r="AE46" s="67">
        <f t="shared" si="14"/>
        <v>25643.34</v>
      </c>
      <c r="AF46" s="67">
        <f t="shared" si="14"/>
        <v>204971.41</v>
      </c>
      <c r="AG46" s="31">
        <f t="shared" si="14"/>
        <v>0</v>
      </c>
      <c r="AH46" s="35" t="s">
        <v>903</v>
      </c>
      <c r="AI46" s="35" t="s">
        <v>903</v>
      </c>
      <c r="AJ46" s="35" t="s">
        <v>903</v>
      </c>
    </row>
    <row r="47" spans="1:36" s="20" customFormat="1" ht="61.5" x14ac:dyDescent="0.85">
      <c r="A47" s="20">
        <v>1</v>
      </c>
      <c r="B47" s="66">
        <f>SUBTOTAL(103,$A$13:A47)</f>
        <v>24</v>
      </c>
      <c r="C47" s="24" t="s">
        <v>1044</v>
      </c>
      <c r="D47" s="68" t="s">
        <v>1057</v>
      </c>
      <c r="E47" s="69">
        <v>1.0093000000000001</v>
      </c>
      <c r="F47" s="31">
        <f t="shared" si="3"/>
        <v>2406352.7599999998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76">
        <v>0</v>
      </c>
      <c r="N47" s="31">
        <v>0</v>
      </c>
      <c r="O47" s="31">
        <v>441.7</v>
      </c>
      <c r="P47" s="31">
        <v>2338270.38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67">
        <v>0</v>
      </c>
      <c r="AF47" s="67">
        <v>68082.38</v>
      </c>
      <c r="AG47" s="31">
        <v>0</v>
      </c>
      <c r="AH47" s="35">
        <v>2020</v>
      </c>
      <c r="AI47" s="35">
        <v>2020</v>
      </c>
      <c r="AJ47" s="35" t="s">
        <v>271</v>
      </c>
    </row>
    <row r="48" spans="1:36" s="20" customFormat="1" ht="61.5" x14ac:dyDescent="0.85">
      <c r="A48" s="20">
        <v>1</v>
      </c>
      <c r="B48" s="66">
        <f>SUBTOTAL(103,$A$13:A48)</f>
        <v>25</v>
      </c>
      <c r="C48" s="24" t="s">
        <v>1045</v>
      </c>
      <c r="D48" s="68" t="s">
        <v>1053</v>
      </c>
      <c r="E48" s="69">
        <v>1.0031000000000001</v>
      </c>
      <c r="F48" s="31">
        <f t="shared" si="3"/>
        <v>2491755.89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76">
        <v>0</v>
      </c>
      <c r="N48" s="31">
        <v>0</v>
      </c>
      <c r="O48" s="31">
        <v>502</v>
      </c>
      <c r="P48" s="31">
        <v>2407983.3199999998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204">
        <v>11377.72</v>
      </c>
      <c r="AF48" s="67">
        <v>72394.850000000006</v>
      </c>
      <c r="AG48" s="31">
        <v>0</v>
      </c>
      <c r="AH48" s="35">
        <v>2020</v>
      </c>
      <c r="AI48" s="35">
        <v>2020</v>
      </c>
      <c r="AJ48" s="35">
        <v>2020</v>
      </c>
    </row>
    <row r="49" spans="1:36" s="20" customFormat="1" ht="61.5" x14ac:dyDescent="0.85">
      <c r="A49" s="20">
        <v>1</v>
      </c>
      <c r="B49" s="66">
        <f>SUBTOTAL(103,$A$13:A49)</f>
        <v>26</v>
      </c>
      <c r="C49" s="24" t="s">
        <v>1046</v>
      </c>
      <c r="D49" s="68" t="s">
        <v>1056</v>
      </c>
      <c r="E49" s="69">
        <v>1.0156000000000001</v>
      </c>
      <c r="F49" s="31">
        <f t="shared" si="3"/>
        <v>2739014.9400000004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76">
        <v>0</v>
      </c>
      <c r="N49" s="31">
        <v>0</v>
      </c>
      <c r="O49" s="31">
        <v>495</v>
      </c>
      <c r="P49" s="31">
        <v>2660255.14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215">
        <f>7980.77+6284.85</f>
        <v>14265.62</v>
      </c>
      <c r="AF49" s="67">
        <v>64494.18</v>
      </c>
      <c r="AG49" s="31">
        <v>0</v>
      </c>
      <c r="AH49" s="35">
        <v>2020</v>
      </c>
      <c r="AI49" s="35">
        <v>2020</v>
      </c>
      <c r="AJ49" s="35">
        <v>2020</v>
      </c>
    </row>
    <row r="50" spans="1:36" s="20" customFormat="1" ht="61.5" x14ac:dyDescent="0.85">
      <c r="B50" s="70" t="s">
        <v>1063</v>
      </c>
      <c r="C50" s="24"/>
      <c r="D50" s="68" t="s">
        <v>903</v>
      </c>
      <c r="E50" s="69">
        <f>AVERAGE(E51)</f>
        <v>1</v>
      </c>
      <c r="F50" s="31">
        <f>F51</f>
        <v>2437244.0600000005</v>
      </c>
      <c r="G50" s="31">
        <f t="shared" ref="G50:AG50" si="15">G51</f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76">
        <f t="shared" si="15"/>
        <v>0</v>
      </c>
      <c r="N50" s="31">
        <f t="shared" si="15"/>
        <v>0</v>
      </c>
      <c r="O50" s="31">
        <f t="shared" si="15"/>
        <v>780</v>
      </c>
      <c r="P50" s="31">
        <f t="shared" si="15"/>
        <v>2307296.7200000002</v>
      </c>
      <c r="Q50" s="31">
        <f t="shared" si="15"/>
        <v>0</v>
      </c>
      <c r="R50" s="31">
        <f t="shared" si="15"/>
        <v>0</v>
      </c>
      <c r="S50" s="31">
        <f t="shared" si="15"/>
        <v>0</v>
      </c>
      <c r="T50" s="31">
        <f t="shared" si="15"/>
        <v>0</v>
      </c>
      <c r="U50" s="31">
        <f t="shared" si="15"/>
        <v>0</v>
      </c>
      <c r="V50" s="31">
        <f t="shared" si="15"/>
        <v>0</v>
      </c>
      <c r="W50" s="31">
        <f t="shared" si="15"/>
        <v>0</v>
      </c>
      <c r="X50" s="31">
        <f t="shared" si="15"/>
        <v>0</v>
      </c>
      <c r="Y50" s="31">
        <f t="shared" si="15"/>
        <v>0</v>
      </c>
      <c r="Z50" s="31">
        <f t="shared" si="15"/>
        <v>0</v>
      </c>
      <c r="AA50" s="31">
        <f t="shared" si="15"/>
        <v>0</v>
      </c>
      <c r="AB50" s="31">
        <f t="shared" si="15"/>
        <v>0</v>
      </c>
      <c r="AC50" s="31">
        <f t="shared" si="15"/>
        <v>0</v>
      </c>
      <c r="AD50" s="31">
        <f t="shared" si="15"/>
        <v>0</v>
      </c>
      <c r="AE50" s="67">
        <f t="shared" si="15"/>
        <v>34609.449999999997</v>
      </c>
      <c r="AF50" s="67">
        <f t="shared" si="15"/>
        <v>95337.89</v>
      </c>
      <c r="AG50" s="31">
        <f t="shared" si="15"/>
        <v>0</v>
      </c>
      <c r="AH50" s="35" t="s">
        <v>903</v>
      </c>
      <c r="AI50" s="35" t="s">
        <v>903</v>
      </c>
      <c r="AJ50" s="35" t="s">
        <v>903</v>
      </c>
    </row>
    <row r="51" spans="1:36" s="20" customFormat="1" ht="61.5" x14ac:dyDescent="0.85">
      <c r="A51" s="20">
        <v>1</v>
      </c>
      <c r="B51" s="66">
        <f>SUBTOTAL(103,$A$13:A51)</f>
        <v>27</v>
      </c>
      <c r="C51" s="24" t="s">
        <v>1051</v>
      </c>
      <c r="D51" s="68" t="s">
        <v>1052</v>
      </c>
      <c r="E51" s="69">
        <v>1</v>
      </c>
      <c r="F51" s="31">
        <f t="shared" si="3"/>
        <v>2437244.0600000005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76">
        <v>0</v>
      </c>
      <c r="N51" s="31">
        <v>0</v>
      </c>
      <c r="O51" s="215">
        <v>780</v>
      </c>
      <c r="P51" s="204">
        <v>2307296.7200000002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67">
        <f>ROUND(P51*1.5%,2)</f>
        <v>34609.449999999997</v>
      </c>
      <c r="AF51" s="162">
        <v>95337.89</v>
      </c>
      <c r="AG51" s="31">
        <v>0</v>
      </c>
      <c r="AH51" s="35">
        <v>2020</v>
      </c>
      <c r="AI51" s="35">
        <v>2020</v>
      </c>
      <c r="AJ51" s="35">
        <v>2020</v>
      </c>
    </row>
    <row r="52" spans="1:36" s="20" customFormat="1" ht="61.5" x14ac:dyDescent="0.85">
      <c r="B52" s="70" t="s">
        <v>864</v>
      </c>
      <c r="C52" s="24"/>
      <c r="D52" s="68" t="s">
        <v>903</v>
      </c>
      <c r="E52" s="69">
        <f>AVERAGE(E53)</f>
        <v>1.008</v>
      </c>
      <c r="F52" s="31">
        <f>F53</f>
        <v>1691459.11</v>
      </c>
      <c r="G52" s="31">
        <f t="shared" ref="G52:AG52" si="16">G53</f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76">
        <f t="shared" si="16"/>
        <v>0</v>
      </c>
      <c r="N52" s="31">
        <f t="shared" si="16"/>
        <v>0</v>
      </c>
      <c r="O52" s="31">
        <f t="shared" si="16"/>
        <v>352.5</v>
      </c>
      <c r="P52" s="31">
        <f t="shared" si="16"/>
        <v>1578325.12</v>
      </c>
      <c r="Q52" s="31">
        <f t="shared" si="16"/>
        <v>0</v>
      </c>
      <c r="R52" s="31">
        <f t="shared" si="16"/>
        <v>0</v>
      </c>
      <c r="S52" s="31">
        <f t="shared" si="16"/>
        <v>0</v>
      </c>
      <c r="T52" s="31">
        <f t="shared" si="16"/>
        <v>0</v>
      </c>
      <c r="U52" s="31">
        <f t="shared" si="16"/>
        <v>0</v>
      </c>
      <c r="V52" s="31">
        <f t="shared" si="16"/>
        <v>0</v>
      </c>
      <c r="W52" s="31">
        <f t="shared" si="16"/>
        <v>0</v>
      </c>
      <c r="X52" s="31">
        <f t="shared" si="16"/>
        <v>0</v>
      </c>
      <c r="Y52" s="31">
        <f t="shared" si="16"/>
        <v>0</v>
      </c>
      <c r="Z52" s="31">
        <f t="shared" si="16"/>
        <v>0</v>
      </c>
      <c r="AA52" s="31">
        <f t="shared" si="16"/>
        <v>0</v>
      </c>
      <c r="AB52" s="31">
        <f t="shared" si="16"/>
        <v>0</v>
      </c>
      <c r="AC52" s="31">
        <f t="shared" si="16"/>
        <v>0</v>
      </c>
      <c r="AD52" s="31">
        <f t="shared" si="16"/>
        <v>0</v>
      </c>
      <c r="AE52" s="67">
        <f t="shared" si="16"/>
        <v>23674.880000000001</v>
      </c>
      <c r="AF52" s="67">
        <f t="shared" si="16"/>
        <v>89459.11</v>
      </c>
      <c r="AG52" s="31">
        <f t="shared" si="16"/>
        <v>0</v>
      </c>
      <c r="AH52" s="35" t="s">
        <v>903</v>
      </c>
      <c r="AI52" s="35" t="s">
        <v>903</v>
      </c>
      <c r="AJ52" s="35" t="s">
        <v>903</v>
      </c>
    </row>
    <row r="53" spans="1:36" s="20" customFormat="1" ht="61.5" x14ac:dyDescent="0.85">
      <c r="A53" s="20">
        <v>1</v>
      </c>
      <c r="B53" s="66">
        <f>SUBTOTAL(103,$A$13:A53)</f>
        <v>28</v>
      </c>
      <c r="C53" s="24" t="s">
        <v>1047</v>
      </c>
      <c r="D53" s="68" t="s">
        <v>1053</v>
      </c>
      <c r="E53" s="69">
        <v>1.008</v>
      </c>
      <c r="F53" s="31">
        <f t="shared" si="3"/>
        <v>1691459.11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76">
        <v>0</v>
      </c>
      <c r="N53" s="31">
        <v>0</v>
      </c>
      <c r="O53" s="31">
        <v>352.5</v>
      </c>
      <c r="P53" s="31">
        <v>1578325.12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67">
        <f>ROUND(P53*1.5%,2)</f>
        <v>23674.880000000001</v>
      </c>
      <c r="AF53" s="224">
        <v>89459.11</v>
      </c>
      <c r="AG53" s="31">
        <v>0</v>
      </c>
      <c r="AH53" s="35">
        <v>2020</v>
      </c>
      <c r="AI53" s="35">
        <v>2020</v>
      </c>
      <c r="AJ53" s="35">
        <v>2020</v>
      </c>
    </row>
    <row r="54" spans="1:36" s="20" customFormat="1" ht="61.5" x14ac:dyDescent="0.85">
      <c r="B54" s="70" t="s">
        <v>870</v>
      </c>
      <c r="C54" s="24"/>
      <c r="D54" s="68" t="s">
        <v>903</v>
      </c>
      <c r="E54" s="69">
        <f>AVERAGE(E55)</f>
        <v>1.0001</v>
      </c>
      <c r="F54" s="31">
        <f>F55</f>
        <v>3168456.39</v>
      </c>
      <c r="G54" s="31">
        <f t="shared" ref="G54:AG54" si="17">G55</f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31">
        <f t="shared" si="17"/>
        <v>0</v>
      </c>
      <c r="L54" s="31">
        <f t="shared" si="17"/>
        <v>0</v>
      </c>
      <c r="M54" s="76">
        <f t="shared" si="17"/>
        <v>0</v>
      </c>
      <c r="N54" s="31">
        <f t="shared" si="17"/>
        <v>0</v>
      </c>
      <c r="O54" s="31">
        <f t="shared" si="17"/>
        <v>874</v>
      </c>
      <c r="P54" s="31">
        <f t="shared" si="17"/>
        <v>3070274</v>
      </c>
      <c r="Q54" s="31">
        <f t="shared" si="17"/>
        <v>0</v>
      </c>
      <c r="R54" s="31">
        <f t="shared" si="17"/>
        <v>0</v>
      </c>
      <c r="S54" s="31">
        <f t="shared" si="17"/>
        <v>0</v>
      </c>
      <c r="T54" s="31">
        <f t="shared" si="17"/>
        <v>0</v>
      </c>
      <c r="U54" s="31">
        <f t="shared" si="17"/>
        <v>0</v>
      </c>
      <c r="V54" s="31">
        <f t="shared" si="17"/>
        <v>0</v>
      </c>
      <c r="W54" s="31">
        <f t="shared" si="17"/>
        <v>0</v>
      </c>
      <c r="X54" s="31">
        <f t="shared" si="17"/>
        <v>0</v>
      </c>
      <c r="Y54" s="31">
        <f t="shared" si="17"/>
        <v>0</v>
      </c>
      <c r="Z54" s="31">
        <f t="shared" si="17"/>
        <v>0</v>
      </c>
      <c r="AA54" s="31">
        <f t="shared" si="17"/>
        <v>0</v>
      </c>
      <c r="AB54" s="31">
        <f t="shared" si="17"/>
        <v>0</v>
      </c>
      <c r="AC54" s="31">
        <f t="shared" si="17"/>
        <v>0</v>
      </c>
      <c r="AD54" s="31">
        <f t="shared" si="17"/>
        <v>0</v>
      </c>
      <c r="AE54" s="67">
        <f t="shared" si="17"/>
        <v>0</v>
      </c>
      <c r="AF54" s="67">
        <f t="shared" si="17"/>
        <v>98182.39</v>
      </c>
      <c r="AG54" s="31">
        <f t="shared" si="17"/>
        <v>0</v>
      </c>
      <c r="AH54" s="35" t="s">
        <v>903</v>
      </c>
      <c r="AI54" s="35" t="s">
        <v>903</v>
      </c>
      <c r="AJ54" s="35" t="s">
        <v>903</v>
      </c>
    </row>
    <row r="55" spans="1:36" s="20" customFormat="1" ht="61.5" x14ac:dyDescent="0.85">
      <c r="A55" s="20">
        <v>1</v>
      </c>
      <c r="B55" s="66">
        <f>SUBTOTAL(103,$A$13:A55)</f>
        <v>29</v>
      </c>
      <c r="C55" s="24" t="s">
        <v>1050</v>
      </c>
      <c r="D55" s="68" t="s">
        <v>1055</v>
      </c>
      <c r="E55" s="69">
        <v>1.0001</v>
      </c>
      <c r="F55" s="31">
        <f t="shared" si="3"/>
        <v>3168456.39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76">
        <v>0</v>
      </c>
      <c r="N55" s="31">
        <v>0</v>
      </c>
      <c r="O55" s="31">
        <v>874</v>
      </c>
      <c r="P55" s="31">
        <v>3070274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67">
        <v>0</v>
      </c>
      <c r="AF55" s="67">
        <v>98182.39</v>
      </c>
      <c r="AG55" s="31">
        <v>0</v>
      </c>
      <c r="AH55" s="35">
        <v>2020</v>
      </c>
      <c r="AI55" s="35">
        <v>2020</v>
      </c>
      <c r="AJ55" s="35" t="s">
        <v>271</v>
      </c>
    </row>
    <row r="56" spans="1:36" s="20" customFormat="1" ht="61.5" x14ac:dyDescent="0.85">
      <c r="B56" s="70" t="s">
        <v>872</v>
      </c>
      <c r="C56" s="24"/>
      <c r="D56" s="68" t="s">
        <v>903</v>
      </c>
      <c r="E56" s="69">
        <f>AVERAGE(E57:E58)</f>
        <v>1.0058</v>
      </c>
      <c r="F56" s="31">
        <f>F58+F57+F59</f>
        <v>5843453.6200000001</v>
      </c>
      <c r="G56" s="31">
        <f t="shared" ref="G56:AG56" si="18">G58+G57+G59</f>
        <v>0</v>
      </c>
      <c r="H56" s="31">
        <f t="shared" si="18"/>
        <v>0</v>
      </c>
      <c r="I56" s="31">
        <f t="shared" si="18"/>
        <v>0</v>
      </c>
      <c r="J56" s="31">
        <f t="shared" si="18"/>
        <v>0</v>
      </c>
      <c r="K56" s="31">
        <f t="shared" si="18"/>
        <v>0</v>
      </c>
      <c r="L56" s="31">
        <f t="shared" si="18"/>
        <v>0</v>
      </c>
      <c r="M56" s="76">
        <f t="shared" si="18"/>
        <v>0</v>
      </c>
      <c r="N56" s="31">
        <f t="shared" si="18"/>
        <v>0</v>
      </c>
      <c r="O56" s="31">
        <f t="shared" si="18"/>
        <v>929.84999999999991</v>
      </c>
      <c r="P56" s="31">
        <f t="shared" si="18"/>
        <v>3427132.71</v>
      </c>
      <c r="Q56" s="31">
        <f t="shared" si="18"/>
        <v>0</v>
      </c>
      <c r="R56" s="31">
        <f t="shared" si="18"/>
        <v>0</v>
      </c>
      <c r="S56" s="31">
        <f t="shared" si="18"/>
        <v>435</v>
      </c>
      <c r="T56" s="31">
        <f t="shared" si="18"/>
        <v>2246773.7400000002</v>
      </c>
      <c r="U56" s="31">
        <f t="shared" si="18"/>
        <v>0</v>
      </c>
      <c r="V56" s="31">
        <f t="shared" si="18"/>
        <v>0</v>
      </c>
      <c r="W56" s="31">
        <f t="shared" si="18"/>
        <v>0</v>
      </c>
      <c r="X56" s="31">
        <f t="shared" si="18"/>
        <v>0</v>
      </c>
      <c r="Y56" s="31">
        <f t="shared" si="18"/>
        <v>0</v>
      </c>
      <c r="Z56" s="31">
        <f t="shared" si="18"/>
        <v>0</v>
      </c>
      <c r="AA56" s="31">
        <f t="shared" si="18"/>
        <v>0</v>
      </c>
      <c r="AB56" s="31">
        <f t="shared" si="18"/>
        <v>0</v>
      </c>
      <c r="AC56" s="31">
        <f t="shared" si="18"/>
        <v>0</v>
      </c>
      <c r="AD56" s="31">
        <f t="shared" si="18"/>
        <v>0</v>
      </c>
      <c r="AE56" s="31">
        <f t="shared" si="18"/>
        <v>85108.6</v>
      </c>
      <c r="AF56" s="31">
        <f t="shared" si="18"/>
        <v>84438.57</v>
      </c>
      <c r="AG56" s="31">
        <f t="shared" si="18"/>
        <v>0</v>
      </c>
      <c r="AH56" s="35" t="s">
        <v>903</v>
      </c>
      <c r="AI56" s="35" t="s">
        <v>903</v>
      </c>
      <c r="AJ56" s="35" t="s">
        <v>903</v>
      </c>
    </row>
    <row r="57" spans="1:36" s="20" customFormat="1" ht="61.5" x14ac:dyDescent="0.85">
      <c r="A57" s="20">
        <v>1</v>
      </c>
      <c r="B57" s="66">
        <f>SUBTOTAL(103,$A$13:A57)</f>
        <v>30</v>
      </c>
      <c r="C57" s="24" t="s">
        <v>1095</v>
      </c>
      <c r="D57" s="68" t="s">
        <v>1052</v>
      </c>
      <c r="E57" s="69">
        <v>1</v>
      </c>
      <c r="F57" s="31">
        <f>G57+H57+I57+J57+K57+L57+N57+P57+R57+T57+V57+W57+X57+Y57+Z57+AA57+AB57+AC57+AD57+AE57+AF57+AG57</f>
        <v>2125397.4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76">
        <v>0</v>
      </c>
      <c r="N57" s="31">
        <v>0</v>
      </c>
      <c r="O57" s="31">
        <v>620.9</v>
      </c>
      <c r="P57" s="31">
        <v>2093987.59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67">
        <f>ROUND(P57*1.5%,2)</f>
        <v>31409.81</v>
      </c>
      <c r="AF57" s="67">
        <v>0</v>
      </c>
      <c r="AG57" s="31">
        <v>0</v>
      </c>
      <c r="AH57" s="35" t="s">
        <v>271</v>
      </c>
      <c r="AI57" s="35">
        <v>2020</v>
      </c>
      <c r="AJ57" s="35">
        <v>2020</v>
      </c>
    </row>
    <row r="58" spans="1:36" s="20" customFormat="1" ht="61.5" x14ac:dyDescent="0.85">
      <c r="A58" s="20">
        <v>1</v>
      </c>
      <c r="B58" s="66">
        <f>SUBTOTAL(103,$A$13:A58)</f>
        <v>31</v>
      </c>
      <c r="C58" s="24" t="s">
        <v>1048</v>
      </c>
      <c r="D58" s="68" t="s">
        <v>1058</v>
      </c>
      <c r="E58" s="69">
        <v>1.0116000000000001</v>
      </c>
      <c r="F58" s="31">
        <f t="shared" si="3"/>
        <v>2324222.61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76">
        <v>0</v>
      </c>
      <c r="N58" s="31">
        <v>0</v>
      </c>
      <c r="O58" s="31">
        <v>0</v>
      </c>
      <c r="P58" s="31">
        <f>O58*4800</f>
        <v>0</v>
      </c>
      <c r="Q58" s="31">
        <v>0</v>
      </c>
      <c r="R58" s="31">
        <v>0</v>
      </c>
      <c r="S58" s="31">
        <v>435</v>
      </c>
      <c r="T58" s="31">
        <v>2246773.7400000002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67">
        <f>ROUND(T58*1.5%,2)</f>
        <v>33701.61</v>
      </c>
      <c r="AF58" s="67">
        <v>43747.26</v>
      </c>
      <c r="AG58" s="31">
        <v>0</v>
      </c>
      <c r="AH58" s="35">
        <v>2020</v>
      </c>
      <c r="AI58" s="35">
        <v>2020</v>
      </c>
      <c r="AJ58" s="35">
        <v>2020</v>
      </c>
    </row>
    <row r="59" spans="1:36" s="20" customFormat="1" ht="61.5" x14ac:dyDescent="0.85">
      <c r="A59" s="20">
        <v>1</v>
      </c>
      <c r="B59" s="66">
        <f>SUBTOTAL(103,$A$13:A59)</f>
        <v>32</v>
      </c>
      <c r="C59" s="24" t="s">
        <v>193</v>
      </c>
      <c r="D59" s="68" t="s">
        <v>1054</v>
      </c>
      <c r="E59" s="69">
        <v>1</v>
      </c>
      <c r="F59" s="31">
        <f t="shared" si="3"/>
        <v>1393833.61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76">
        <v>0</v>
      </c>
      <c r="N59" s="31">
        <v>0</v>
      </c>
      <c r="O59" s="272">
        <v>308.95</v>
      </c>
      <c r="P59" s="335">
        <v>1333145.1200000001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67">
        <f>ROUND(P59*1.5%,2)</f>
        <v>19997.18</v>
      </c>
      <c r="AF59" s="67">
        <v>40691.31</v>
      </c>
      <c r="AG59" s="31">
        <v>0</v>
      </c>
      <c r="AH59" s="35">
        <v>2020</v>
      </c>
      <c r="AI59" s="35">
        <v>2020</v>
      </c>
      <c r="AJ59" s="35">
        <v>2020</v>
      </c>
    </row>
    <row r="60" spans="1:36" s="20" customFormat="1" ht="61.5" x14ac:dyDescent="0.85">
      <c r="B60" s="70" t="s">
        <v>871</v>
      </c>
      <c r="C60" s="24"/>
      <c r="D60" s="68" t="s">
        <v>903</v>
      </c>
      <c r="E60" s="69">
        <f>AVERAGE(E61)</f>
        <v>1</v>
      </c>
      <c r="F60" s="31">
        <f>F61</f>
        <v>2164797.61</v>
      </c>
      <c r="G60" s="31">
        <f t="shared" ref="G60:AG60" si="19">G61</f>
        <v>0</v>
      </c>
      <c r="H60" s="31">
        <f t="shared" si="19"/>
        <v>0</v>
      </c>
      <c r="I60" s="31">
        <f t="shared" si="19"/>
        <v>0</v>
      </c>
      <c r="J60" s="31">
        <f t="shared" si="19"/>
        <v>0</v>
      </c>
      <c r="K60" s="31">
        <f t="shared" si="19"/>
        <v>0</v>
      </c>
      <c r="L60" s="31">
        <f t="shared" si="19"/>
        <v>0</v>
      </c>
      <c r="M60" s="76">
        <f t="shared" si="19"/>
        <v>0</v>
      </c>
      <c r="N60" s="31">
        <f t="shared" si="19"/>
        <v>0</v>
      </c>
      <c r="O60" s="31">
        <f t="shared" si="19"/>
        <v>575.20000000000005</v>
      </c>
      <c r="P60" s="31">
        <f t="shared" si="19"/>
        <v>2062746.98</v>
      </c>
      <c r="Q60" s="31">
        <f t="shared" si="19"/>
        <v>0</v>
      </c>
      <c r="R60" s="31">
        <f t="shared" si="19"/>
        <v>0</v>
      </c>
      <c r="S60" s="31">
        <f t="shared" si="19"/>
        <v>0</v>
      </c>
      <c r="T60" s="31">
        <f t="shared" si="19"/>
        <v>0</v>
      </c>
      <c r="U60" s="31">
        <f t="shared" si="19"/>
        <v>0</v>
      </c>
      <c r="V60" s="31">
        <f t="shared" si="19"/>
        <v>0</v>
      </c>
      <c r="W60" s="31">
        <f t="shared" si="19"/>
        <v>0</v>
      </c>
      <c r="X60" s="31">
        <f t="shared" si="19"/>
        <v>0</v>
      </c>
      <c r="Y60" s="31">
        <f t="shared" si="19"/>
        <v>0</v>
      </c>
      <c r="Z60" s="31">
        <f t="shared" si="19"/>
        <v>0</v>
      </c>
      <c r="AA60" s="31">
        <f t="shared" si="19"/>
        <v>0</v>
      </c>
      <c r="AB60" s="31">
        <f t="shared" si="19"/>
        <v>0</v>
      </c>
      <c r="AC60" s="31">
        <f t="shared" si="19"/>
        <v>0</v>
      </c>
      <c r="AD60" s="31">
        <f t="shared" si="19"/>
        <v>0</v>
      </c>
      <c r="AE60" s="67">
        <f t="shared" si="19"/>
        <v>30941.200000000001</v>
      </c>
      <c r="AF60" s="67">
        <f t="shared" si="19"/>
        <v>71109.429999999993</v>
      </c>
      <c r="AG60" s="31">
        <f t="shared" si="19"/>
        <v>0</v>
      </c>
      <c r="AH60" s="35" t="s">
        <v>903</v>
      </c>
      <c r="AI60" s="35" t="s">
        <v>903</v>
      </c>
      <c r="AJ60" s="35" t="s">
        <v>903</v>
      </c>
    </row>
    <row r="61" spans="1:36" s="20" customFormat="1" ht="61.5" x14ac:dyDescent="0.85">
      <c r="A61" s="20">
        <v>1</v>
      </c>
      <c r="B61" s="66">
        <f>SUBTOTAL(103,$A$13:A61)</f>
        <v>33</v>
      </c>
      <c r="C61" s="24" t="s">
        <v>1085</v>
      </c>
      <c r="D61" s="68" t="s">
        <v>1057</v>
      </c>
      <c r="E61" s="69">
        <v>1</v>
      </c>
      <c r="F61" s="31">
        <f t="shared" si="3"/>
        <v>2164797.61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76">
        <v>0</v>
      </c>
      <c r="N61" s="31">
        <v>0</v>
      </c>
      <c r="O61" s="31">
        <v>575.20000000000005</v>
      </c>
      <c r="P61" s="31">
        <v>2062746.98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67">
        <f>ROUND(P61*1.5%,2)</f>
        <v>30941.200000000001</v>
      </c>
      <c r="AF61" s="67">
        <v>71109.429999999993</v>
      </c>
      <c r="AG61" s="31">
        <v>0</v>
      </c>
      <c r="AH61" s="35">
        <v>2020</v>
      </c>
      <c r="AI61" s="35">
        <v>2020</v>
      </c>
      <c r="AJ61" s="35">
        <v>2020</v>
      </c>
    </row>
    <row r="62" spans="1:36" s="20" customFormat="1" ht="61.5" x14ac:dyDescent="0.85">
      <c r="B62" s="70" t="s">
        <v>847</v>
      </c>
      <c r="C62" s="24"/>
      <c r="D62" s="68" t="s">
        <v>903</v>
      </c>
      <c r="E62" s="69">
        <f>E63</f>
        <v>1.009761876417796</v>
      </c>
      <c r="F62" s="31">
        <f>F63</f>
        <v>3748526.4</v>
      </c>
      <c r="G62" s="31">
        <f t="shared" ref="G62:AG62" si="20">G63</f>
        <v>0</v>
      </c>
      <c r="H62" s="31">
        <f t="shared" si="20"/>
        <v>0</v>
      </c>
      <c r="I62" s="31">
        <f t="shared" si="20"/>
        <v>0</v>
      </c>
      <c r="J62" s="31">
        <f t="shared" si="20"/>
        <v>0</v>
      </c>
      <c r="K62" s="31">
        <f t="shared" si="20"/>
        <v>0</v>
      </c>
      <c r="L62" s="31">
        <f t="shared" si="20"/>
        <v>0</v>
      </c>
      <c r="M62" s="76">
        <f t="shared" si="20"/>
        <v>0</v>
      </c>
      <c r="N62" s="31">
        <f t="shared" si="20"/>
        <v>0</v>
      </c>
      <c r="O62" s="31">
        <f t="shared" si="20"/>
        <v>715</v>
      </c>
      <c r="P62" s="31">
        <f t="shared" si="20"/>
        <v>3575000</v>
      </c>
      <c r="Q62" s="31">
        <f t="shared" si="20"/>
        <v>0</v>
      </c>
      <c r="R62" s="31">
        <f t="shared" si="20"/>
        <v>0</v>
      </c>
      <c r="S62" s="31">
        <f t="shared" si="20"/>
        <v>0</v>
      </c>
      <c r="T62" s="31">
        <f t="shared" si="20"/>
        <v>0</v>
      </c>
      <c r="U62" s="31">
        <f t="shared" si="20"/>
        <v>0</v>
      </c>
      <c r="V62" s="31">
        <f t="shared" si="20"/>
        <v>0</v>
      </c>
      <c r="W62" s="31">
        <f t="shared" si="20"/>
        <v>0</v>
      </c>
      <c r="X62" s="31">
        <f t="shared" si="20"/>
        <v>0</v>
      </c>
      <c r="Y62" s="31">
        <f t="shared" si="20"/>
        <v>0</v>
      </c>
      <c r="Z62" s="31">
        <f t="shared" si="20"/>
        <v>0</v>
      </c>
      <c r="AA62" s="31">
        <f t="shared" si="20"/>
        <v>0</v>
      </c>
      <c r="AB62" s="31">
        <f t="shared" si="20"/>
        <v>0</v>
      </c>
      <c r="AC62" s="31">
        <f t="shared" si="20"/>
        <v>0</v>
      </c>
      <c r="AD62" s="31">
        <f t="shared" si="20"/>
        <v>0</v>
      </c>
      <c r="AE62" s="31">
        <f t="shared" si="20"/>
        <v>53625</v>
      </c>
      <c r="AF62" s="31">
        <f t="shared" si="20"/>
        <v>119901.4</v>
      </c>
      <c r="AG62" s="31">
        <f t="shared" si="20"/>
        <v>0</v>
      </c>
      <c r="AH62" s="35" t="s">
        <v>903</v>
      </c>
      <c r="AI62" s="35" t="s">
        <v>903</v>
      </c>
      <c r="AJ62" s="35" t="s">
        <v>903</v>
      </c>
    </row>
    <row r="63" spans="1:36" s="20" customFormat="1" ht="61.5" x14ac:dyDescent="0.85">
      <c r="A63" s="20">
        <v>1</v>
      </c>
      <c r="B63" s="66">
        <f>SUBTOTAL(103,$A$13:A63)</f>
        <v>34</v>
      </c>
      <c r="C63" s="24" t="s">
        <v>1419</v>
      </c>
      <c r="D63" s="68" t="s">
        <v>1057</v>
      </c>
      <c r="E63" s="69">
        <v>1.009761876417796</v>
      </c>
      <c r="F63" s="31">
        <f t="shared" si="3"/>
        <v>3748526.4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76">
        <v>0</v>
      </c>
      <c r="N63" s="31">
        <v>0</v>
      </c>
      <c r="O63" s="31">
        <v>715</v>
      </c>
      <c r="P63" s="31">
        <v>3575000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f>ROUND(P63*1.5%,2)</f>
        <v>53625</v>
      </c>
      <c r="AF63" s="224">
        <v>119901.4</v>
      </c>
      <c r="AG63" s="31">
        <v>0</v>
      </c>
      <c r="AH63" s="35">
        <v>2020</v>
      </c>
      <c r="AI63" s="35">
        <v>2020</v>
      </c>
      <c r="AJ63" s="35">
        <v>2020</v>
      </c>
    </row>
    <row r="64" spans="1:36" s="20" customFormat="1" ht="61.5" x14ac:dyDescent="0.85">
      <c r="B64" s="70" t="s">
        <v>883</v>
      </c>
      <c r="C64" s="24"/>
      <c r="D64" s="68" t="s">
        <v>903</v>
      </c>
      <c r="E64" s="69">
        <f>E65</f>
        <v>1.0869557735329547</v>
      </c>
      <c r="F64" s="31">
        <f>F65</f>
        <v>603261.75</v>
      </c>
      <c r="G64" s="31">
        <f t="shared" ref="G64:AG64" si="21">G65</f>
        <v>0</v>
      </c>
      <c r="H64" s="31">
        <f t="shared" si="21"/>
        <v>0</v>
      </c>
      <c r="I64" s="31">
        <f t="shared" si="21"/>
        <v>0</v>
      </c>
      <c r="J64" s="31">
        <f t="shared" si="21"/>
        <v>0</v>
      </c>
      <c r="K64" s="31">
        <f t="shared" si="21"/>
        <v>597348</v>
      </c>
      <c r="L64" s="31">
        <f t="shared" si="21"/>
        <v>0</v>
      </c>
      <c r="M64" s="76">
        <f t="shared" si="21"/>
        <v>0</v>
      </c>
      <c r="N64" s="31">
        <f t="shared" si="21"/>
        <v>0</v>
      </c>
      <c r="O64" s="31">
        <f t="shared" si="21"/>
        <v>0</v>
      </c>
      <c r="P64" s="31">
        <f t="shared" si="21"/>
        <v>0</v>
      </c>
      <c r="Q64" s="31">
        <f t="shared" si="21"/>
        <v>0</v>
      </c>
      <c r="R64" s="31">
        <f t="shared" si="21"/>
        <v>0</v>
      </c>
      <c r="S64" s="31">
        <f t="shared" si="21"/>
        <v>0</v>
      </c>
      <c r="T64" s="31">
        <f t="shared" si="21"/>
        <v>0</v>
      </c>
      <c r="U64" s="31">
        <f t="shared" si="21"/>
        <v>0</v>
      </c>
      <c r="V64" s="31">
        <f t="shared" si="21"/>
        <v>0</v>
      </c>
      <c r="W64" s="31">
        <f t="shared" si="21"/>
        <v>0</v>
      </c>
      <c r="X64" s="31">
        <f t="shared" si="21"/>
        <v>0</v>
      </c>
      <c r="Y64" s="31">
        <f t="shared" si="21"/>
        <v>0</v>
      </c>
      <c r="Z64" s="31">
        <f t="shared" si="21"/>
        <v>0</v>
      </c>
      <c r="AA64" s="31">
        <f t="shared" si="21"/>
        <v>0</v>
      </c>
      <c r="AB64" s="31">
        <f t="shared" si="21"/>
        <v>0</v>
      </c>
      <c r="AC64" s="31">
        <f t="shared" si="21"/>
        <v>0</v>
      </c>
      <c r="AD64" s="31">
        <f t="shared" si="21"/>
        <v>0</v>
      </c>
      <c r="AE64" s="31">
        <f t="shared" si="21"/>
        <v>5913.75</v>
      </c>
      <c r="AF64" s="31">
        <f t="shared" si="21"/>
        <v>0</v>
      </c>
      <c r="AG64" s="31">
        <f t="shared" si="21"/>
        <v>0</v>
      </c>
      <c r="AH64" s="35" t="s">
        <v>903</v>
      </c>
      <c r="AI64" s="35" t="s">
        <v>903</v>
      </c>
      <c r="AJ64" s="35" t="s">
        <v>903</v>
      </c>
    </row>
    <row r="65" spans="1:40" s="20" customFormat="1" ht="61.5" x14ac:dyDescent="0.85">
      <c r="A65" s="20">
        <v>1</v>
      </c>
      <c r="B65" s="66">
        <f>SUBTOTAL(103,$A$13:A65)</f>
        <v>35</v>
      </c>
      <c r="C65" s="24" t="s">
        <v>1420</v>
      </c>
      <c r="D65" s="68" t="s">
        <v>1057</v>
      </c>
      <c r="E65" s="69">
        <v>1.0869557735329547</v>
      </c>
      <c r="F65" s="31">
        <f t="shared" si="3"/>
        <v>603261.75</v>
      </c>
      <c r="G65" s="31">
        <v>0</v>
      </c>
      <c r="H65" s="31">
        <v>0</v>
      </c>
      <c r="I65" s="31">
        <v>0</v>
      </c>
      <c r="J65" s="31">
        <v>0</v>
      </c>
      <c r="K65" s="273">
        <v>597348</v>
      </c>
      <c r="L65" s="31">
        <v>0</v>
      </c>
      <c r="M65" s="76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273">
        <v>5913.75</v>
      </c>
      <c r="AF65" s="31">
        <v>0</v>
      </c>
      <c r="AG65" s="31">
        <v>0</v>
      </c>
      <c r="AH65" s="35" t="s">
        <v>271</v>
      </c>
      <c r="AI65" s="35">
        <v>2020</v>
      </c>
      <c r="AJ65" s="35">
        <v>2020</v>
      </c>
    </row>
    <row r="66" spans="1:40" customFormat="1" ht="61.5" x14ac:dyDescent="0.25">
      <c r="B66" s="483" t="s">
        <v>1421</v>
      </c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483"/>
      <c r="AJ66" s="483"/>
    </row>
    <row r="67" spans="1:40" customFormat="1" ht="61.5" x14ac:dyDescent="0.85">
      <c r="B67" s="481" t="s">
        <v>1064</v>
      </c>
      <c r="C67" s="482"/>
      <c r="D67" s="283" t="s">
        <v>903</v>
      </c>
      <c r="E67" s="284">
        <v>0.89549999999999996</v>
      </c>
      <c r="F67" s="208">
        <f t="shared" ref="F67:AG67" si="22">F68+F75+F79+F96+F104+F109+F140+F156+F162+F165+F168+F170+F175+F177+F180+F183+F187+F189+F191+F193+F197+F199+F201+F203+F205+F207+F209+F212+F214+F216</f>
        <v>38779424.080000013</v>
      </c>
      <c r="G67" s="208">
        <f t="shared" si="22"/>
        <v>7510</v>
      </c>
      <c r="H67" s="208">
        <f t="shared" si="22"/>
        <v>0</v>
      </c>
      <c r="I67" s="208">
        <f t="shared" si="22"/>
        <v>204413.62</v>
      </c>
      <c r="J67" s="208">
        <f t="shared" si="22"/>
        <v>0</v>
      </c>
      <c r="K67" s="208">
        <f t="shared" si="22"/>
        <v>265366.61</v>
      </c>
      <c r="L67" s="208">
        <f t="shared" si="22"/>
        <v>0</v>
      </c>
      <c r="M67" s="208">
        <f t="shared" si="22"/>
        <v>0</v>
      </c>
      <c r="N67" s="208">
        <f t="shared" si="22"/>
        <v>0</v>
      </c>
      <c r="O67" s="208">
        <f t="shared" si="22"/>
        <v>86470.61</v>
      </c>
      <c r="P67" s="208">
        <f t="shared" si="22"/>
        <v>35526626.790000007</v>
      </c>
      <c r="Q67" s="208">
        <f t="shared" si="22"/>
        <v>0</v>
      </c>
      <c r="R67" s="208">
        <f t="shared" si="22"/>
        <v>0</v>
      </c>
      <c r="S67" s="208">
        <f t="shared" si="22"/>
        <v>7004.24</v>
      </c>
      <c r="T67" s="208">
        <f t="shared" si="22"/>
        <v>1674150.27</v>
      </c>
      <c r="U67" s="208">
        <f t="shared" si="22"/>
        <v>143.80000000000001</v>
      </c>
      <c r="V67" s="208">
        <f t="shared" si="22"/>
        <v>128182</v>
      </c>
      <c r="W67" s="208">
        <f t="shared" si="22"/>
        <v>0</v>
      </c>
      <c r="X67" s="208">
        <f t="shared" si="22"/>
        <v>422247.37</v>
      </c>
      <c r="Y67" s="208">
        <f t="shared" si="22"/>
        <v>0</v>
      </c>
      <c r="Z67" s="208">
        <f t="shared" si="22"/>
        <v>0</v>
      </c>
      <c r="AA67" s="208">
        <f t="shared" si="22"/>
        <v>0</v>
      </c>
      <c r="AB67" s="208">
        <f t="shared" si="22"/>
        <v>0</v>
      </c>
      <c r="AC67" s="208">
        <f t="shared" si="22"/>
        <v>0</v>
      </c>
      <c r="AD67" s="208">
        <f t="shared" si="22"/>
        <v>0</v>
      </c>
      <c r="AE67" s="208">
        <f t="shared" si="22"/>
        <v>550927.42000000016</v>
      </c>
      <c r="AF67" s="208">
        <f t="shared" si="22"/>
        <v>0</v>
      </c>
      <c r="AG67" s="208">
        <f t="shared" si="22"/>
        <v>0</v>
      </c>
      <c r="AH67" s="285" t="s">
        <v>903</v>
      </c>
      <c r="AI67" s="285" t="s">
        <v>903</v>
      </c>
      <c r="AJ67" s="285" t="s">
        <v>903</v>
      </c>
    </row>
    <row r="68" spans="1:40" customFormat="1" ht="62.25" x14ac:dyDescent="0.9">
      <c r="B68" s="286" t="s">
        <v>828</v>
      </c>
      <c r="C68" s="287"/>
      <c r="D68" s="288" t="s">
        <v>903</v>
      </c>
      <c r="E68" s="284">
        <f>AVERAGE(E69:E74)</f>
        <v>0.82381693240432963</v>
      </c>
      <c r="F68" s="208">
        <f>SUM(F69:F74)</f>
        <v>3521522.9999999995</v>
      </c>
      <c r="G68" s="208">
        <f t="shared" ref="G68:AG68" si="23">SUM(G69:G74)</f>
        <v>0</v>
      </c>
      <c r="H68" s="208">
        <f t="shared" si="23"/>
        <v>0</v>
      </c>
      <c r="I68" s="208">
        <f t="shared" si="23"/>
        <v>0</v>
      </c>
      <c r="J68" s="208">
        <f t="shared" si="23"/>
        <v>0</v>
      </c>
      <c r="K68" s="208">
        <f t="shared" si="23"/>
        <v>0</v>
      </c>
      <c r="L68" s="208">
        <f t="shared" si="23"/>
        <v>0</v>
      </c>
      <c r="M68" s="276">
        <f t="shared" si="23"/>
        <v>0</v>
      </c>
      <c r="N68" s="208">
        <f t="shared" si="23"/>
        <v>0</v>
      </c>
      <c r="O68" s="208">
        <f t="shared" si="23"/>
        <v>4824.3</v>
      </c>
      <c r="P68" s="208">
        <f t="shared" si="23"/>
        <v>3132240.4100000006</v>
      </c>
      <c r="Q68" s="208">
        <f t="shared" si="23"/>
        <v>0</v>
      </c>
      <c r="R68" s="208">
        <f t="shared" si="23"/>
        <v>0</v>
      </c>
      <c r="S68" s="208">
        <f t="shared" si="23"/>
        <v>0</v>
      </c>
      <c r="T68" s="208">
        <f t="shared" si="23"/>
        <v>0</v>
      </c>
      <c r="U68" s="208">
        <f t="shared" si="23"/>
        <v>0</v>
      </c>
      <c r="V68" s="208">
        <f t="shared" si="23"/>
        <v>0</v>
      </c>
      <c r="W68" s="208">
        <f t="shared" si="23"/>
        <v>0</v>
      </c>
      <c r="X68" s="208">
        <f t="shared" si="23"/>
        <v>337240.37</v>
      </c>
      <c r="Y68" s="208">
        <f t="shared" si="23"/>
        <v>0</v>
      </c>
      <c r="Z68" s="208">
        <f t="shared" si="23"/>
        <v>0</v>
      </c>
      <c r="AA68" s="208">
        <f t="shared" si="23"/>
        <v>0</v>
      </c>
      <c r="AB68" s="208">
        <f t="shared" si="23"/>
        <v>0</v>
      </c>
      <c r="AC68" s="208">
        <f t="shared" si="23"/>
        <v>0</v>
      </c>
      <c r="AD68" s="208">
        <f t="shared" si="23"/>
        <v>0</v>
      </c>
      <c r="AE68" s="208">
        <f t="shared" si="23"/>
        <v>52042.219999999994</v>
      </c>
      <c r="AF68" s="208">
        <f t="shared" si="23"/>
        <v>0</v>
      </c>
      <c r="AG68" s="208">
        <f t="shared" si="23"/>
        <v>0</v>
      </c>
      <c r="AH68" s="285" t="s">
        <v>903</v>
      </c>
      <c r="AI68" s="285" t="s">
        <v>903</v>
      </c>
      <c r="AJ68" s="285" t="s">
        <v>903</v>
      </c>
    </row>
    <row r="69" spans="1:40" customFormat="1" ht="62.25" x14ac:dyDescent="0.9">
      <c r="A69">
        <v>1</v>
      </c>
      <c r="B69" s="274">
        <f>SUBTOTAL(103,$A$69:A69)</f>
        <v>1</v>
      </c>
      <c r="C69" s="289" t="s">
        <v>628</v>
      </c>
      <c r="D69" s="290" t="s">
        <v>1910</v>
      </c>
      <c r="E69" s="284">
        <v>0.68103653271030484</v>
      </c>
      <c r="F69" s="208">
        <f t="shared" ref="F69:F163" si="24">G69+H69+I69+J69+K69+L69+N69+P69+R69+T69+V69+W69+X69+Y69+Z69+AA69+AB69+AC69+AD69+AE69+AF69+AG69</f>
        <v>546602.54</v>
      </c>
      <c r="G69" s="208">
        <v>0</v>
      </c>
      <c r="H69" s="208">
        <v>0</v>
      </c>
      <c r="I69" s="208">
        <v>0</v>
      </c>
      <c r="J69" s="208">
        <v>0</v>
      </c>
      <c r="K69" s="208">
        <v>0</v>
      </c>
      <c r="L69" s="208">
        <v>0</v>
      </c>
      <c r="M69" s="276">
        <v>0</v>
      </c>
      <c r="N69" s="208">
        <v>0</v>
      </c>
      <c r="O69" s="208">
        <v>851.8</v>
      </c>
      <c r="P69" s="206">
        <v>538524.67000000004</v>
      </c>
      <c r="Q69" s="208">
        <v>0</v>
      </c>
      <c r="R69" s="208">
        <v>0</v>
      </c>
      <c r="S69" s="208">
        <v>0</v>
      </c>
      <c r="T69" s="291">
        <v>0</v>
      </c>
      <c r="U69" s="208">
        <v>0</v>
      </c>
      <c r="V69" s="208">
        <v>0</v>
      </c>
      <c r="W69" s="208">
        <v>0</v>
      </c>
      <c r="X69" s="208">
        <v>0</v>
      </c>
      <c r="Y69" s="208">
        <v>0</v>
      </c>
      <c r="Z69" s="208">
        <v>0</v>
      </c>
      <c r="AA69" s="208">
        <v>0</v>
      </c>
      <c r="AB69" s="208">
        <v>0</v>
      </c>
      <c r="AC69" s="208">
        <v>0</v>
      </c>
      <c r="AD69" s="208">
        <v>0</v>
      </c>
      <c r="AE69" s="208">
        <f>ROUND(P69*1.5%,2)</f>
        <v>8077.87</v>
      </c>
      <c r="AF69" s="208">
        <v>0</v>
      </c>
      <c r="AG69" s="208">
        <v>0</v>
      </c>
      <c r="AH69" s="285" t="s">
        <v>271</v>
      </c>
      <c r="AI69" s="285">
        <v>2020</v>
      </c>
      <c r="AJ69" s="285">
        <v>2020</v>
      </c>
      <c r="AK69" s="152"/>
      <c r="AL69" s="152"/>
      <c r="AM69" s="152"/>
      <c r="AN69" s="152"/>
    </row>
    <row r="70" spans="1:40" customFormat="1" ht="62.25" x14ac:dyDescent="0.9">
      <c r="A70">
        <v>1</v>
      </c>
      <c r="B70" s="274">
        <f>SUBTOTAL(103,$A$69:A70)</f>
        <v>2</v>
      </c>
      <c r="C70" s="289" t="s">
        <v>1425</v>
      </c>
      <c r="D70" s="290" t="s">
        <v>1910</v>
      </c>
      <c r="E70" s="284">
        <v>0.76770000000000005</v>
      </c>
      <c r="F70" s="208">
        <f t="shared" si="24"/>
        <v>491284.57</v>
      </c>
      <c r="G70" s="208">
        <v>0</v>
      </c>
      <c r="H70" s="208">
        <v>0</v>
      </c>
      <c r="I70" s="208">
        <v>0</v>
      </c>
      <c r="J70" s="208">
        <v>0</v>
      </c>
      <c r="K70" s="208">
        <v>0</v>
      </c>
      <c r="L70" s="208">
        <v>0</v>
      </c>
      <c r="M70" s="276">
        <v>0</v>
      </c>
      <c r="N70" s="208">
        <v>0</v>
      </c>
      <c r="O70" s="208">
        <v>901.5</v>
      </c>
      <c r="P70" s="206">
        <v>484024.21</v>
      </c>
      <c r="Q70" s="208">
        <v>0</v>
      </c>
      <c r="R70" s="208">
        <v>0</v>
      </c>
      <c r="S70" s="208">
        <v>0</v>
      </c>
      <c r="T70" s="208">
        <v>0</v>
      </c>
      <c r="U70" s="208">
        <v>0</v>
      </c>
      <c r="V70" s="208">
        <v>0</v>
      </c>
      <c r="W70" s="208">
        <v>0</v>
      </c>
      <c r="X70" s="208">
        <v>0</v>
      </c>
      <c r="Y70" s="208">
        <v>0</v>
      </c>
      <c r="Z70" s="208">
        <v>0</v>
      </c>
      <c r="AA70" s="208">
        <v>0</v>
      </c>
      <c r="AB70" s="208">
        <v>0</v>
      </c>
      <c r="AC70" s="208">
        <v>0</v>
      </c>
      <c r="AD70" s="208">
        <v>0</v>
      </c>
      <c r="AE70" s="208">
        <f>ROUND(P70*1.5%,2)</f>
        <v>7260.36</v>
      </c>
      <c r="AF70" s="208">
        <v>0</v>
      </c>
      <c r="AG70" s="208">
        <v>0</v>
      </c>
      <c r="AH70" s="285" t="s">
        <v>271</v>
      </c>
      <c r="AI70" s="285">
        <v>2020</v>
      </c>
      <c r="AJ70" s="285">
        <v>2020</v>
      </c>
      <c r="AK70" s="152"/>
      <c r="AL70" s="152"/>
      <c r="AM70" s="152"/>
      <c r="AN70" s="152"/>
    </row>
    <row r="71" spans="1:40" customFormat="1" ht="62.25" x14ac:dyDescent="0.9">
      <c r="A71">
        <v>1</v>
      </c>
      <c r="B71" s="274">
        <f>SUBTOTAL(103,$A$69:A71)</f>
        <v>3</v>
      </c>
      <c r="C71" s="289" t="s">
        <v>1426</v>
      </c>
      <c r="D71" s="290" t="s">
        <v>1910</v>
      </c>
      <c r="E71" s="284">
        <v>0.87790000000000001</v>
      </c>
      <c r="F71" s="208">
        <f t="shared" si="24"/>
        <v>1849341.27</v>
      </c>
      <c r="G71" s="208">
        <v>0</v>
      </c>
      <c r="H71" s="208">
        <v>0</v>
      </c>
      <c r="I71" s="208">
        <v>0</v>
      </c>
      <c r="J71" s="208">
        <v>0</v>
      </c>
      <c r="K71" s="208">
        <v>0</v>
      </c>
      <c r="L71" s="208">
        <v>0</v>
      </c>
      <c r="M71" s="276">
        <v>0</v>
      </c>
      <c r="N71" s="208">
        <v>0</v>
      </c>
      <c r="O71" s="208">
        <v>811</v>
      </c>
      <c r="P71" s="208">
        <v>1822011.1</v>
      </c>
      <c r="Q71" s="208">
        <v>0</v>
      </c>
      <c r="R71" s="208">
        <v>0</v>
      </c>
      <c r="S71" s="208">
        <v>0</v>
      </c>
      <c r="T71" s="208">
        <v>0</v>
      </c>
      <c r="U71" s="208">
        <v>0</v>
      </c>
      <c r="V71" s="208">
        <v>0</v>
      </c>
      <c r="W71" s="208">
        <v>0</v>
      </c>
      <c r="X71" s="208">
        <v>0</v>
      </c>
      <c r="Y71" s="208">
        <v>0</v>
      </c>
      <c r="Z71" s="208">
        <v>0</v>
      </c>
      <c r="AA71" s="208">
        <v>0</v>
      </c>
      <c r="AB71" s="208">
        <v>0</v>
      </c>
      <c r="AC71" s="208">
        <v>0</v>
      </c>
      <c r="AD71" s="208">
        <v>0</v>
      </c>
      <c r="AE71" s="208">
        <f>ROUND(P71*1.5%,2)</f>
        <v>27330.17</v>
      </c>
      <c r="AF71" s="208">
        <v>0</v>
      </c>
      <c r="AG71" s="208">
        <v>0</v>
      </c>
      <c r="AH71" s="285" t="s">
        <v>271</v>
      </c>
      <c r="AI71" s="285">
        <v>2020</v>
      </c>
      <c r="AJ71" s="285">
        <v>2020</v>
      </c>
      <c r="AK71" s="152"/>
      <c r="AL71" s="152"/>
      <c r="AM71" s="152"/>
      <c r="AN71" s="152"/>
    </row>
    <row r="72" spans="1:40" customFormat="1" ht="62.25" x14ac:dyDescent="0.9">
      <c r="A72">
        <v>1</v>
      </c>
      <c r="B72" s="274">
        <f>SUBTOTAL(103,$A$69:A72)</f>
        <v>4</v>
      </c>
      <c r="C72" s="289" t="s">
        <v>1427</v>
      </c>
      <c r="D72" s="292" t="s">
        <v>1910</v>
      </c>
      <c r="E72" s="284">
        <v>0.74686506171567224</v>
      </c>
      <c r="F72" s="208">
        <f t="shared" si="24"/>
        <v>342298.98</v>
      </c>
      <c r="G72" s="208">
        <v>0</v>
      </c>
      <c r="H72" s="208">
        <v>0</v>
      </c>
      <c r="I72" s="208">
        <v>0</v>
      </c>
      <c r="J72" s="208">
        <v>0</v>
      </c>
      <c r="K72" s="208">
        <v>0</v>
      </c>
      <c r="L72" s="208">
        <v>0</v>
      </c>
      <c r="M72" s="276">
        <v>0</v>
      </c>
      <c r="N72" s="208">
        <v>0</v>
      </c>
      <c r="O72" s="208">
        <v>0</v>
      </c>
      <c r="P72" s="208">
        <v>0</v>
      </c>
      <c r="Q72" s="208">
        <v>0</v>
      </c>
      <c r="R72" s="208">
        <v>0</v>
      </c>
      <c r="S72" s="208">
        <v>0</v>
      </c>
      <c r="T72" s="291">
        <v>0</v>
      </c>
      <c r="U72" s="208">
        <v>0</v>
      </c>
      <c r="V72" s="208">
        <v>0</v>
      </c>
      <c r="W72" s="208">
        <v>0</v>
      </c>
      <c r="X72" s="206">
        <v>337240.37</v>
      </c>
      <c r="Y72" s="208">
        <v>0</v>
      </c>
      <c r="Z72" s="208">
        <v>0</v>
      </c>
      <c r="AA72" s="208">
        <v>0</v>
      </c>
      <c r="AB72" s="208">
        <v>0</v>
      </c>
      <c r="AC72" s="208">
        <v>0</v>
      </c>
      <c r="AD72" s="208">
        <v>0</v>
      </c>
      <c r="AE72" s="208">
        <f>ROUND(X72*1.5%,2)</f>
        <v>5058.6099999999997</v>
      </c>
      <c r="AF72" s="208">
        <v>0</v>
      </c>
      <c r="AG72" s="208">
        <v>0</v>
      </c>
      <c r="AH72" s="285" t="s">
        <v>271</v>
      </c>
      <c r="AI72" s="285">
        <v>2020</v>
      </c>
      <c r="AJ72" s="285">
        <v>2020</v>
      </c>
      <c r="AK72" s="152"/>
      <c r="AL72" s="152"/>
      <c r="AM72" s="152"/>
      <c r="AN72" s="152"/>
    </row>
    <row r="73" spans="1:40" customFormat="1" ht="62.25" x14ac:dyDescent="0.9">
      <c r="A73">
        <v>1</v>
      </c>
      <c r="B73" s="274">
        <f>SUBTOTAL(103,$A$69:A73)</f>
        <v>5</v>
      </c>
      <c r="C73" s="289" t="s">
        <v>1428</v>
      </c>
      <c r="D73" s="290" t="s">
        <v>1911</v>
      </c>
      <c r="E73" s="284">
        <v>0.94499999999999995</v>
      </c>
      <c r="F73" s="208">
        <f t="shared" si="24"/>
        <v>179920.82</v>
      </c>
      <c r="G73" s="208">
        <v>0</v>
      </c>
      <c r="H73" s="208">
        <v>0</v>
      </c>
      <c r="I73" s="208">
        <v>0</v>
      </c>
      <c r="J73" s="208">
        <v>0</v>
      </c>
      <c r="K73" s="208">
        <v>0</v>
      </c>
      <c r="L73" s="208">
        <v>0</v>
      </c>
      <c r="M73" s="276">
        <v>0</v>
      </c>
      <c r="N73" s="208">
        <v>0</v>
      </c>
      <c r="O73" s="208">
        <v>1160</v>
      </c>
      <c r="P73" s="208">
        <v>177261.89</v>
      </c>
      <c r="Q73" s="208">
        <v>0</v>
      </c>
      <c r="R73" s="208">
        <v>0</v>
      </c>
      <c r="S73" s="208">
        <v>0</v>
      </c>
      <c r="T73" s="291">
        <v>0</v>
      </c>
      <c r="U73" s="208">
        <v>0</v>
      </c>
      <c r="V73" s="208">
        <v>0</v>
      </c>
      <c r="W73" s="208">
        <v>0</v>
      </c>
      <c r="X73" s="208">
        <v>0</v>
      </c>
      <c r="Y73" s="208">
        <v>0</v>
      </c>
      <c r="Z73" s="208">
        <v>0</v>
      </c>
      <c r="AA73" s="208">
        <v>0</v>
      </c>
      <c r="AB73" s="208">
        <v>0</v>
      </c>
      <c r="AC73" s="208">
        <v>0</v>
      </c>
      <c r="AD73" s="208">
        <v>0</v>
      </c>
      <c r="AE73" s="208">
        <f>ROUND(P73*1.5%,2)</f>
        <v>2658.93</v>
      </c>
      <c r="AF73" s="208">
        <v>0</v>
      </c>
      <c r="AG73" s="208">
        <v>0</v>
      </c>
      <c r="AH73" s="285" t="s">
        <v>271</v>
      </c>
      <c r="AI73" s="285">
        <v>2020</v>
      </c>
      <c r="AJ73" s="285">
        <v>2020</v>
      </c>
      <c r="AK73" s="152"/>
      <c r="AL73" s="152"/>
      <c r="AM73" s="152"/>
      <c r="AN73" s="152"/>
    </row>
    <row r="74" spans="1:40" customFormat="1" ht="62.25" x14ac:dyDescent="0.9">
      <c r="A74">
        <v>1</v>
      </c>
      <c r="B74" s="274">
        <f>SUBTOTAL(103,$A$69:A74)</f>
        <v>6</v>
      </c>
      <c r="C74" s="289" t="s">
        <v>1429</v>
      </c>
      <c r="D74" s="290" t="s">
        <v>1911</v>
      </c>
      <c r="E74" s="284">
        <v>0.9244</v>
      </c>
      <c r="F74" s="208">
        <f t="shared" si="24"/>
        <v>112074.81999999999</v>
      </c>
      <c r="G74" s="208">
        <v>0</v>
      </c>
      <c r="H74" s="208">
        <v>0</v>
      </c>
      <c r="I74" s="208">
        <v>0</v>
      </c>
      <c r="J74" s="208">
        <v>0</v>
      </c>
      <c r="K74" s="208">
        <v>0</v>
      </c>
      <c r="L74" s="208">
        <v>0</v>
      </c>
      <c r="M74" s="276">
        <v>0</v>
      </c>
      <c r="N74" s="208">
        <v>0</v>
      </c>
      <c r="O74" s="208">
        <v>1100</v>
      </c>
      <c r="P74" s="208">
        <v>110418.54</v>
      </c>
      <c r="Q74" s="208">
        <v>0</v>
      </c>
      <c r="R74" s="208">
        <v>0</v>
      </c>
      <c r="S74" s="208">
        <v>0</v>
      </c>
      <c r="T74" s="291">
        <v>0</v>
      </c>
      <c r="U74" s="208">
        <v>0</v>
      </c>
      <c r="V74" s="208">
        <v>0</v>
      </c>
      <c r="W74" s="208">
        <v>0</v>
      </c>
      <c r="X74" s="208">
        <v>0</v>
      </c>
      <c r="Y74" s="208">
        <v>0</v>
      </c>
      <c r="Z74" s="208">
        <v>0</v>
      </c>
      <c r="AA74" s="208">
        <v>0</v>
      </c>
      <c r="AB74" s="208">
        <v>0</v>
      </c>
      <c r="AC74" s="208">
        <v>0</v>
      </c>
      <c r="AD74" s="208">
        <v>0</v>
      </c>
      <c r="AE74" s="208">
        <f>ROUND(P74*1.5%,2)</f>
        <v>1656.28</v>
      </c>
      <c r="AF74" s="208">
        <v>0</v>
      </c>
      <c r="AG74" s="208">
        <v>0</v>
      </c>
      <c r="AH74" s="285" t="s">
        <v>271</v>
      </c>
      <c r="AI74" s="285">
        <v>2020</v>
      </c>
      <c r="AJ74" s="285">
        <v>2020</v>
      </c>
      <c r="AK74" s="152"/>
      <c r="AL74" s="152"/>
      <c r="AM74" s="152"/>
      <c r="AN74" s="152"/>
    </row>
    <row r="75" spans="1:40" customFormat="1" ht="62.25" x14ac:dyDescent="0.9">
      <c r="B75" s="286" t="s">
        <v>832</v>
      </c>
      <c r="C75" s="287"/>
      <c r="D75" s="288" t="s">
        <v>903</v>
      </c>
      <c r="E75" s="284">
        <f>AVERAGE(E76:E78)</f>
        <v>0.94748668819388027</v>
      </c>
      <c r="F75" s="208">
        <f>F76+F77+F78</f>
        <v>40366.19</v>
      </c>
      <c r="G75" s="208">
        <f t="shared" ref="G75:AG75" si="25">G76+G77+G78</f>
        <v>0</v>
      </c>
      <c r="H75" s="208">
        <f t="shared" si="25"/>
        <v>0</v>
      </c>
      <c r="I75" s="208">
        <f t="shared" si="25"/>
        <v>0</v>
      </c>
      <c r="J75" s="208">
        <f t="shared" si="25"/>
        <v>0</v>
      </c>
      <c r="K75" s="208">
        <f t="shared" si="25"/>
        <v>0</v>
      </c>
      <c r="L75" s="208">
        <f t="shared" si="25"/>
        <v>0</v>
      </c>
      <c r="M75" s="208">
        <f t="shared" si="25"/>
        <v>0</v>
      </c>
      <c r="N75" s="208">
        <f t="shared" si="25"/>
        <v>0</v>
      </c>
      <c r="O75" s="208">
        <f t="shared" si="25"/>
        <v>2012</v>
      </c>
      <c r="P75" s="208">
        <f t="shared" si="25"/>
        <v>39769.64</v>
      </c>
      <c r="Q75" s="208">
        <f t="shared" si="25"/>
        <v>0</v>
      </c>
      <c r="R75" s="208">
        <f t="shared" si="25"/>
        <v>0</v>
      </c>
      <c r="S75" s="208">
        <f t="shared" si="25"/>
        <v>0</v>
      </c>
      <c r="T75" s="208">
        <f t="shared" si="25"/>
        <v>0</v>
      </c>
      <c r="U75" s="208">
        <f t="shared" si="25"/>
        <v>0</v>
      </c>
      <c r="V75" s="208">
        <f t="shared" si="25"/>
        <v>0</v>
      </c>
      <c r="W75" s="208">
        <f t="shared" si="25"/>
        <v>0</v>
      </c>
      <c r="X75" s="208">
        <f t="shared" si="25"/>
        <v>0</v>
      </c>
      <c r="Y75" s="208">
        <f t="shared" si="25"/>
        <v>0</v>
      </c>
      <c r="Z75" s="208">
        <f t="shared" si="25"/>
        <v>0</v>
      </c>
      <c r="AA75" s="208">
        <f t="shared" si="25"/>
        <v>0</v>
      </c>
      <c r="AB75" s="208">
        <f t="shared" si="25"/>
        <v>0</v>
      </c>
      <c r="AC75" s="208">
        <f t="shared" si="25"/>
        <v>0</v>
      </c>
      <c r="AD75" s="208">
        <f t="shared" si="25"/>
        <v>0</v>
      </c>
      <c r="AE75" s="208">
        <f t="shared" si="25"/>
        <v>596.54999999999995</v>
      </c>
      <c r="AF75" s="208">
        <f t="shared" si="25"/>
        <v>0</v>
      </c>
      <c r="AG75" s="208">
        <f t="shared" si="25"/>
        <v>0</v>
      </c>
      <c r="AH75" s="285" t="s">
        <v>903</v>
      </c>
      <c r="AI75" s="285" t="s">
        <v>903</v>
      </c>
      <c r="AJ75" s="285" t="s">
        <v>903</v>
      </c>
      <c r="AK75" s="152"/>
      <c r="AL75" s="152"/>
      <c r="AM75" s="152"/>
      <c r="AN75" s="152"/>
    </row>
    <row r="76" spans="1:40" customFormat="1" ht="62.25" x14ac:dyDescent="0.9">
      <c r="A76">
        <v>1</v>
      </c>
      <c r="B76" s="274">
        <f>SUBTOTAL(103,$A$69:A76)</f>
        <v>7</v>
      </c>
      <c r="C76" s="289" t="s">
        <v>1430</v>
      </c>
      <c r="D76" s="290" t="s">
        <v>1911</v>
      </c>
      <c r="E76" s="284">
        <v>0.95197013899993665</v>
      </c>
      <c r="F76" s="208">
        <f t="shared" si="24"/>
        <v>11476.890000000001</v>
      </c>
      <c r="G76" s="208">
        <v>0</v>
      </c>
      <c r="H76" s="208">
        <v>0</v>
      </c>
      <c r="I76" s="208">
        <v>0</v>
      </c>
      <c r="J76" s="208">
        <v>0</v>
      </c>
      <c r="K76" s="208">
        <v>0</v>
      </c>
      <c r="L76" s="208">
        <v>0</v>
      </c>
      <c r="M76" s="276">
        <v>0</v>
      </c>
      <c r="N76" s="208">
        <v>0</v>
      </c>
      <c r="O76" s="208">
        <v>924</v>
      </c>
      <c r="P76" s="208">
        <v>11307.28</v>
      </c>
      <c r="Q76" s="208">
        <v>0</v>
      </c>
      <c r="R76" s="208">
        <v>0</v>
      </c>
      <c r="S76" s="208">
        <v>0</v>
      </c>
      <c r="T76" s="291">
        <v>0</v>
      </c>
      <c r="U76" s="208">
        <v>0</v>
      </c>
      <c r="V76" s="208">
        <v>0</v>
      </c>
      <c r="W76" s="208">
        <v>0</v>
      </c>
      <c r="X76" s="208">
        <v>0</v>
      </c>
      <c r="Y76" s="208">
        <v>0</v>
      </c>
      <c r="Z76" s="208">
        <v>0</v>
      </c>
      <c r="AA76" s="208">
        <v>0</v>
      </c>
      <c r="AB76" s="208">
        <v>0</v>
      </c>
      <c r="AC76" s="208">
        <v>0</v>
      </c>
      <c r="AD76" s="208">
        <v>0</v>
      </c>
      <c r="AE76" s="208">
        <f>ROUND(P76*1.5%,2)</f>
        <v>169.61</v>
      </c>
      <c r="AF76" s="208">
        <v>0</v>
      </c>
      <c r="AG76" s="208">
        <v>0</v>
      </c>
      <c r="AH76" s="285" t="s">
        <v>271</v>
      </c>
      <c r="AI76" s="285">
        <v>2020</v>
      </c>
      <c r="AJ76" s="285">
        <v>2020</v>
      </c>
      <c r="AK76" s="152"/>
      <c r="AL76" s="152"/>
      <c r="AM76" s="152"/>
      <c r="AN76" s="152"/>
    </row>
    <row r="77" spans="1:40" customFormat="1" ht="62.25" x14ac:dyDescent="0.9">
      <c r="A77">
        <v>1</v>
      </c>
      <c r="B77" s="274">
        <f>SUBTOTAL(103,$A$69:A77)</f>
        <v>8</v>
      </c>
      <c r="C77" s="289" t="s">
        <v>1431</v>
      </c>
      <c r="D77" s="290" t="s">
        <v>1911</v>
      </c>
      <c r="E77" s="284">
        <v>0.89759999999999995</v>
      </c>
      <c r="F77" s="208">
        <f t="shared" si="24"/>
        <v>25269.399999999998</v>
      </c>
      <c r="G77" s="208">
        <v>0</v>
      </c>
      <c r="H77" s="208">
        <v>0</v>
      </c>
      <c r="I77" s="208">
        <v>0</v>
      </c>
      <c r="J77" s="208">
        <v>0</v>
      </c>
      <c r="K77" s="208">
        <v>0</v>
      </c>
      <c r="L77" s="208">
        <v>0</v>
      </c>
      <c r="M77" s="276">
        <v>0</v>
      </c>
      <c r="N77" s="208">
        <v>0</v>
      </c>
      <c r="O77" s="208">
        <v>746</v>
      </c>
      <c r="P77" s="208">
        <v>24895.96</v>
      </c>
      <c r="Q77" s="208">
        <v>0</v>
      </c>
      <c r="R77" s="208">
        <v>0</v>
      </c>
      <c r="S77" s="208">
        <v>0</v>
      </c>
      <c r="T77" s="291">
        <v>0</v>
      </c>
      <c r="U77" s="208">
        <v>0</v>
      </c>
      <c r="V77" s="208">
        <v>0</v>
      </c>
      <c r="W77" s="208">
        <v>0</v>
      </c>
      <c r="X77" s="208">
        <v>0</v>
      </c>
      <c r="Y77" s="208">
        <v>0</v>
      </c>
      <c r="Z77" s="208">
        <v>0</v>
      </c>
      <c r="AA77" s="208">
        <v>0</v>
      </c>
      <c r="AB77" s="208">
        <v>0</v>
      </c>
      <c r="AC77" s="208">
        <v>0</v>
      </c>
      <c r="AD77" s="208">
        <v>0</v>
      </c>
      <c r="AE77" s="208">
        <f>ROUND(P77*1.5%,2)</f>
        <v>373.44</v>
      </c>
      <c r="AF77" s="208">
        <v>0</v>
      </c>
      <c r="AG77" s="208">
        <v>0</v>
      </c>
      <c r="AH77" s="285" t="s">
        <v>271</v>
      </c>
      <c r="AI77" s="285">
        <v>2020</v>
      </c>
      <c r="AJ77" s="285">
        <v>2020</v>
      </c>
      <c r="AK77" s="152"/>
      <c r="AL77" s="152"/>
      <c r="AM77" s="152"/>
      <c r="AN77" s="152"/>
    </row>
    <row r="78" spans="1:40" s="293" customFormat="1" ht="62.25" x14ac:dyDescent="0.9">
      <c r="B78" s="294">
        <v>9</v>
      </c>
      <c r="C78" s="295" t="s">
        <v>1912</v>
      </c>
      <c r="D78" s="221" t="s">
        <v>1910</v>
      </c>
      <c r="E78" s="296">
        <v>0.9928899255817043</v>
      </c>
      <c r="F78" s="206">
        <f>P78+AE78</f>
        <v>3619.9</v>
      </c>
      <c r="G78" s="206">
        <v>0</v>
      </c>
      <c r="H78" s="206">
        <v>0</v>
      </c>
      <c r="I78" s="206">
        <v>0</v>
      </c>
      <c r="J78" s="206">
        <v>0</v>
      </c>
      <c r="K78" s="206">
        <v>0</v>
      </c>
      <c r="L78" s="206">
        <v>0</v>
      </c>
      <c r="M78" s="297">
        <v>0</v>
      </c>
      <c r="N78" s="206">
        <v>0</v>
      </c>
      <c r="O78" s="206">
        <v>342</v>
      </c>
      <c r="P78" s="206">
        <v>3566.4</v>
      </c>
      <c r="Q78" s="206">
        <v>0</v>
      </c>
      <c r="R78" s="206">
        <v>0</v>
      </c>
      <c r="S78" s="206">
        <v>0</v>
      </c>
      <c r="T78" s="229">
        <v>0</v>
      </c>
      <c r="U78" s="206">
        <v>0</v>
      </c>
      <c r="V78" s="206">
        <v>0</v>
      </c>
      <c r="W78" s="206">
        <v>0</v>
      </c>
      <c r="X78" s="206">
        <v>0</v>
      </c>
      <c r="Y78" s="206">
        <v>0</v>
      </c>
      <c r="Z78" s="206">
        <v>0</v>
      </c>
      <c r="AA78" s="206">
        <v>0</v>
      </c>
      <c r="AB78" s="206">
        <v>0</v>
      </c>
      <c r="AC78" s="206">
        <v>0</v>
      </c>
      <c r="AD78" s="206">
        <v>0</v>
      </c>
      <c r="AE78" s="206">
        <f>ROUND(P78*1.5%,2)</f>
        <v>53.5</v>
      </c>
      <c r="AF78" s="206">
        <v>0</v>
      </c>
      <c r="AG78" s="206">
        <v>0</v>
      </c>
      <c r="AH78" s="298" t="s">
        <v>271</v>
      </c>
      <c r="AI78" s="298">
        <v>2020</v>
      </c>
      <c r="AJ78" s="298">
        <v>2020</v>
      </c>
      <c r="AK78" s="299"/>
      <c r="AL78" s="299"/>
      <c r="AM78" s="299"/>
      <c r="AN78" s="299"/>
    </row>
    <row r="79" spans="1:40" customFormat="1" ht="62.25" x14ac:dyDescent="0.9">
      <c r="B79" s="286" t="s">
        <v>1060</v>
      </c>
      <c r="C79" s="287"/>
      <c r="D79" s="288" t="s">
        <v>903</v>
      </c>
      <c r="E79" s="284">
        <f>AVERAGE(E80:E95)</f>
        <v>0.95278854188545492</v>
      </c>
      <c r="F79" s="208">
        <f>SUM(F80:F95)</f>
        <v>1918350.52</v>
      </c>
      <c r="G79" s="208">
        <f t="shared" ref="G79:AG79" si="26">SUM(G80:G95)</f>
        <v>0</v>
      </c>
      <c r="H79" s="208">
        <f t="shared" si="26"/>
        <v>0</v>
      </c>
      <c r="I79" s="208">
        <f t="shared" si="26"/>
        <v>0</v>
      </c>
      <c r="J79" s="208">
        <f t="shared" si="26"/>
        <v>0</v>
      </c>
      <c r="K79" s="208">
        <f t="shared" si="26"/>
        <v>0</v>
      </c>
      <c r="L79" s="208">
        <f t="shared" si="26"/>
        <v>0</v>
      </c>
      <c r="M79" s="208">
        <f t="shared" si="26"/>
        <v>0</v>
      </c>
      <c r="N79" s="208">
        <f t="shared" si="26"/>
        <v>0</v>
      </c>
      <c r="O79" s="208">
        <f t="shared" si="26"/>
        <v>10624.560000000001</v>
      </c>
      <c r="P79" s="208">
        <f t="shared" si="26"/>
        <v>1334806.9400000004</v>
      </c>
      <c r="Q79" s="208">
        <f t="shared" si="26"/>
        <v>0</v>
      </c>
      <c r="R79" s="208">
        <f t="shared" si="26"/>
        <v>0</v>
      </c>
      <c r="S79" s="208">
        <f t="shared" si="26"/>
        <v>853.2</v>
      </c>
      <c r="T79" s="208">
        <f t="shared" si="26"/>
        <v>427011.58</v>
      </c>
      <c r="U79" s="208">
        <f t="shared" si="26"/>
        <v>143.80000000000001</v>
      </c>
      <c r="V79" s="208">
        <f t="shared" si="26"/>
        <v>128182</v>
      </c>
      <c r="W79" s="208">
        <f t="shared" si="26"/>
        <v>0</v>
      </c>
      <c r="X79" s="208">
        <f t="shared" si="26"/>
        <v>0</v>
      </c>
      <c r="Y79" s="208">
        <f t="shared" si="26"/>
        <v>0</v>
      </c>
      <c r="Z79" s="208">
        <f t="shared" si="26"/>
        <v>0</v>
      </c>
      <c r="AA79" s="208">
        <f t="shared" si="26"/>
        <v>0</v>
      </c>
      <c r="AB79" s="208">
        <f t="shared" si="26"/>
        <v>0</v>
      </c>
      <c r="AC79" s="208">
        <f t="shared" si="26"/>
        <v>0</v>
      </c>
      <c r="AD79" s="208">
        <f t="shared" si="26"/>
        <v>0</v>
      </c>
      <c r="AE79" s="208">
        <f t="shared" si="26"/>
        <v>28350</v>
      </c>
      <c r="AF79" s="208">
        <f t="shared" si="26"/>
        <v>0</v>
      </c>
      <c r="AG79" s="208">
        <f t="shared" si="26"/>
        <v>0</v>
      </c>
      <c r="AH79" s="285" t="s">
        <v>903</v>
      </c>
      <c r="AI79" s="285" t="s">
        <v>903</v>
      </c>
      <c r="AJ79" s="285" t="s">
        <v>903</v>
      </c>
      <c r="AK79" s="152"/>
      <c r="AL79" s="152"/>
      <c r="AM79" s="152"/>
      <c r="AN79" s="152"/>
    </row>
    <row r="80" spans="1:40" customFormat="1" ht="62.25" x14ac:dyDescent="0.9">
      <c r="A80">
        <v>1</v>
      </c>
      <c r="B80" s="274">
        <v>10</v>
      </c>
      <c r="C80" s="289" t="s">
        <v>1432</v>
      </c>
      <c r="D80" s="290" t="s">
        <v>1911</v>
      </c>
      <c r="E80" s="284">
        <v>0.97330000000000005</v>
      </c>
      <c r="F80" s="208">
        <f t="shared" si="24"/>
        <v>13061.27</v>
      </c>
      <c r="G80" s="208">
        <v>0</v>
      </c>
      <c r="H80" s="208">
        <v>0</v>
      </c>
      <c r="I80" s="208">
        <v>0</v>
      </c>
      <c r="J80" s="208">
        <v>0</v>
      </c>
      <c r="K80" s="208">
        <v>0</v>
      </c>
      <c r="L80" s="208">
        <v>0</v>
      </c>
      <c r="M80" s="276">
        <v>0</v>
      </c>
      <c r="N80" s="208">
        <v>0</v>
      </c>
      <c r="O80" s="208">
        <v>1120</v>
      </c>
      <c r="P80" s="208">
        <v>12868.25</v>
      </c>
      <c r="Q80" s="208">
        <v>0</v>
      </c>
      <c r="R80" s="208">
        <v>0</v>
      </c>
      <c r="S80" s="208">
        <v>0</v>
      </c>
      <c r="T80" s="291">
        <v>0</v>
      </c>
      <c r="U80" s="208">
        <v>0</v>
      </c>
      <c r="V80" s="208">
        <v>0</v>
      </c>
      <c r="W80" s="208">
        <v>0</v>
      </c>
      <c r="X80" s="208">
        <v>0</v>
      </c>
      <c r="Y80" s="208">
        <v>0</v>
      </c>
      <c r="Z80" s="208">
        <v>0</v>
      </c>
      <c r="AA80" s="208">
        <v>0</v>
      </c>
      <c r="AB80" s="208">
        <v>0</v>
      </c>
      <c r="AC80" s="208">
        <v>0</v>
      </c>
      <c r="AD80" s="208">
        <v>0</v>
      </c>
      <c r="AE80" s="208">
        <f>ROUND(P80*1.5%,2)</f>
        <v>193.02</v>
      </c>
      <c r="AF80" s="208">
        <v>0</v>
      </c>
      <c r="AG80" s="208">
        <v>0</v>
      </c>
      <c r="AH80" s="285" t="s">
        <v>271</v>
      </c>
      <c r="AI80" s="285">
        <v>2020</v>
      </c>
      <c r="AJ80" s="285">
        <v>2020</v>
      </c>
      <c r="AK80" s="152"/>
      <c r="AL80" s="152"/>
      <c r="AM80" s="152"/>
      <c r="AN80" s="152"/>
    </row>
    <row r="81" spans="1:40" customFormat="1" ht="62.25" x14ac:dyDescent="0.9">
      <c r="A81">
        <v>1</v>
      </c>
      <c r="B81" s="274">
        <v>11</v>
      </c>
      <c r="C81" s="289" t="s">
        <v>1433</v>
      </c>
      <c r="D81" s="290" t="s">
        <v>1910</v>
      </c>
      <c r="E81" s="284">
        <v>0.86990000000000001</v>
      </c>
      <c r="F81" s="208">
        <f t="shared" si="24"/>
        <v>165591.97</v>
      </c>
      <c r="G81" s="208">
        <v>0</v>
      </c>
      <c r="H81" s="208">
        <v>0</v>
      </c>
      <c r="I81" s="208">
        <v>0</v>
      </c>
      <c r="J81" s="208">
        <v>0</v>
      </c>
      <c r="K81" s="208">
        <v>0</v>
      </c>
      <c r="L81" s="208">
        <v>0</v>
      </c>
      <c r="M81" s="276">
        <v>0</v>
      </c>
      <c r="N81" s="208">
        <v>0</v>
      </c>
      <c r="O81" s="208">
        <v>728.12</v>
      </c>
      <c r="P81" s="208">
        <v>163144.79999999999</v>
      </c>
      <c r="Q81" s="208">
        <v>0</v>
      </c>
      <c r="R81" s="208">
        <v>0</v>
      </c>
      <c r="S81" s="208">
        <v>0</v>
      </c>
      <c r="T81" s="208">
        <v>0</v>
      </c>
      <c r="U81" s="208">
        <v>0</v>
      </c>
      <c r="V81" s="208">
        <v>0</v>
      </c>
      <c r="W81" s="208">
        <v>0</v>
      </c>
      <c r="X81" s="208">
        <v>0</v>
      </c>
      <c r="Y81" s="208">
        <v>0</v>
      </c>
      <c r="Z81" s="208">
        <v>0</v>
      </c>
      <c r="AA81" s="208">
        <v>0</v>
      </c>
      <c r="AB81" s="208">
        <v>0</v>
      </c>
      <c r="AC81" s="208">
        <v>0</v>
      </c>
      <c r="AD81" s="208">
        <v>0</v>
      </c>
      <c r="AE81" s="208">
        <f t="shared" ref="AE81:AE86" si="27">ROUND(P81*1.5%,2)</f>
        <v>2447.17</v>
      </c>
      <c r="AF81" s="208">
        <v>0</v>
      </c>
      <c r="AG81" s="208">
        <v>0</v>
      </c>
      <c r="AH81" s="285" t="s">
        <v>271</v>
      </c>
      <c r="AI81" s="285">
        <v>2020</v>
      </c>
      <c r="AJ81" s="285">
        <v>2020</v>
      </c>
      <c r="AK81" s="152"/>
      <c r="AL81" s="152"/>
      <c r="AM81" s="152"/>
      <c r="AN81" s="152"/>
    </row>
    <row r="82" spans="1:40" customFormat="1" ht="62.25" x14ac:dyDescent="0.9">
      <c r="A82">
        <v>1</v>
      </c>
      <c r="B82" s="274">
        <v>12</v>
      </c>
      <c r="C82" s="289" t="s">
        <v>1434</v>
      </c>
      <c r="D82" s="290" t="s">
        <v>1911</v>
      </c>
      <c r="E82" s="284">
        <v>0.95440000000000003</v>
      </c>
      <c r="F82" s="208">
        <f t="shared" si="24"/>
        <v>170151.06</v>
      </c>
      <c r="G82" s="208">
        <v>0</v>
      </c>
      <c r="H82" s="208">
        <v>0</v>
      </c>
      <c r="I82" s="208">
        <v>0</v>
      </c>
      <c r="J82" s="208">
        <v>0</v>
      </c>
      <c r="K82" s="208">
        <v>0</v>
      </c>
      <c r="L82" s="208">
        <v>0</v>
      </c>
      <c r="M82" s="276">
        <v>0</v>
      </c>
      <c r="N82" s="208">
        <v>0</v>
      </c>
      <c r="O82" s="208">
        <v>755</v>
      </c>
      <c r="P82" s="206">
        <v>167636.51</v>
      </c>
      <c r="Q82" s="208">
        <v>0</v>
      </c>
      <c r="R82" s="208">
        <v>0</v>
      </c>
      <c r="S82" s="208">
        <v>0</v>
      </c>
      <c r="T82" s="291">
        <v>0</v>
      </c>
      <c r="U82" s="208">
        <v>0</v>
      </c>
      <c r="V82" s="208">
        <v>0</v>
      </c>
      <c r="W82" s="208">
        <v>0</v>
      </c>
      <c r="X82" s="208">
        <v>0</v>
      </c>
      <c r="Y82" s="208">
        <v>0</v>
      </c>
      <c r="Z82" s="208">
        <v>0</v>
      </c>
      <c r="AA82" s="208">
        <v>0</v>
      </c>
      <c r="AB82" s="208">
        <v>0</v>
      </c>
      <c r="AC82" s="208">
        <v>0</v>
      </c>
      <c r="AD82" s="208">
        <v>0</v>
      </c>
      <c r="AE82" s="208">
        <f t="shared" si="27"/>
        <v>2514.5500000000002</v>
      </c>
      <c r="AF82" s="208">
        <v>0</v>
      </c>
      <c r="AG82" s="208">
        <v>0</v>
      </c>
      <c r="AH82" s="285" t="s">
        <v>271</v>
      </c>
      <c r="AI82" s="285">
        <v>2020</v>
      </c>
      <c r="AJ82" s="285">
        <v>2020</v>
      </c>
      <c r="AK82" s="152"/>
      <c r="AL82" s="152"/>
      <c r="AM82" s="152"/>
      <c r="AN82" s="152"/>
    </row>
    <row r="83" spans="1:40" customFormat="1" ht="62.25" x14ac:dyDescent="0.9">
      <c r="A83">
        <v>1</v>
      </c>
      <c r="B83" s="274">
        <v>13</v>
      </c>
      <c r="C83" s="289" t="s">
        <v>1435</v>
      </c>
      <c r="D83" s="290" t="s">
        <v>1911</v>
      </c>
      <c r="E83" s="284">
        <v>1.0023</v>
      </c>
      <c r="F83" s="208">
        <f t="shared" si="24"/>
        <v>48424.71</v>
      </c>
      <c r="G83" s="208">
        <v>0</v>
      </c>
      <c r="H83" s="208">
        <v>0</v>
      </c>
      <c r="I83" s="208">
        <v>0</v>
      </c>
      <c r="J83" s="208">
        <v>0</v>
      </c>
      <c r="K83" s="208">
        <v>0</v>
      </c>
      <c r="L83" s="208">
        <v>0</v>
      </c>
      <c r="M83" s="276">
        <v>0</v>
      </c>
      <c r="N83" s="208">
        <v>0</v>
      </c>
      <c r="O83" s="208">
        <v>497</v>
      </c>
      <c r="P83" s="208">
        <v>47709.07</v>
      </c>
      <c r="Q83" s="208">
        <v>0</v>
      </c>
      <c r="R83" s="208">
        <v>0</v>
      </c>
      <c r="S83" s="208">
        <v>0</v>
      </c>
      <c r="T83" s="208">
        <v>0</v>
      </c>
      <c r="U83" s="208">
        <v>0</v>
      </c>
      <c r="V83" s="208">
        <v>0</v>
      </c>
      <c r="W83" s="208">
        <v>0</v>
      </c>
      <c r="X83" s="208">
        <v>0</v>
      </c>
      <c r="Y83" s="208">
        <v>0</v>
      </c>
      <c r="Z83" s="208">
        <v>0</v>
      </c>
      <c r="AA83" s="208">
        <v>0</v>
      </c>
      <c r="AB83" s="208">
        <v>0</v>
      </c>
      <c r="AC83" s="208">
        <v>0</v>
      </c>
      <c r="AD83" s="208">
        <v>0</v>
      </c>
      <c r="AE83" s="208">
        <f t="shared" si="27"/>
        <v>715.64</v>
      </c>
      <c r="AF83" s="208">
        <v>0</v>
      </c>
      <c r="AG83" s="208">
        <v>0</v>
      </c>
      <c r="AH83" s="285" t="s">
        <v>271</v>
      </c>
      <c r="AI83" s="285">
        <v>2020</v>
      </c>
      <c r="AJ83" s="285">
        <v>2020</v>
      </c>
      <c r="AK83" s="152"/>
      <c r="AL83" s="152"/>
      <c r="AM83" s="152"/>
      <c r="AN83" s="152"/>
    </row>
    <row r="84" spans="1:40" customFormat="1" ht="62.25" x14ac:dyDescent="0.9">
      <c r="A84">
        <v>1</v>
      </c>
      <c r="B84" s="274">
        <v>14</v>
      </c>
      <c r="C84" s="289" t="s">
        <v>1436</v>
      </c>
      <c r="D84" s="290" t="s">
        <v>1910</v>
      </c>
      <c r="E84" s="284">
        <v>0.96599999999999997</v>
      </c>
      <c r="F84" s="208">
        <f t="shared" si="24"/>
        <v>26187</v>
      </c>
      <c r="G84" s="208">
        <v>0</v>
      </c>
      <c r="H84" s="208">
        <v>0</v>
      </c>
      <c r="I84" s="208">
        <v>0</v>
      </c>
      <c r="J84" s="208">
        <v>0</v>
      </c>
      <c r="K84" s="208">
        <v>0</v>
      </c>
      <c r="L84" s="208">
        <v>0</v>
      </c>
      <c r="M84" s="276">
        <v>0</v>
      </c>
      <c r="N84" s="208">
        <v>0</v>
      </c>
      <c r="O84" s="208">
        <v>636</v>
      </c>
      <c r="P84" s="208">
        <v>25800</v>
      </c>
      <c r="Q84" s="208">
        <v>0</v>
      </c>
      <c r="R84" s="208">
        <v>0</v>
      </c>
      <c r="S84" s="208">
        <v>0</v>
      </c>
      <c r="T84" s="208">
        <v>0</v>
      </c>
      <c r="U84" s="208">
        <v>0</v>
      </c>
      <c r="V84" s="208">
        <v>0</v>
      </c>
      <c r="W84" s="208">
        <v>0</v>
      </c>
      <c r="X84" s="208">
        <v>0</v>
      </c>
      <c r="Y84" s="208">
        <v>0</v>
      </c>
      <c r="Z84" s="208">
        <v>0</v>
      </c>
      <c r="AA84" s="208">
        <v>0</v>
      </c>
      <c r="AB84" s="208">
        <v>0</v>
      </c>
      <c r="AC84" s="208">
        <v>0</v>
      </c>
      <c r="AD84" s="208">
        <v>0</v>
      </c>
      <c r="AE84" s="208">
        <f t="shared" si="27"/>
        <v>387</v>
      </c>
      <c r="AF84" s="208">
        <v>0</v>
      </c>
      <c r="AG84" s="208">
        <v>0</v>
      </c>
      <c r="AH84" s="285" t="s">
        <v>271</v>
      </c>
      <c r="AI84" s="285">
        <v>2020</v>
      </c>
      <c r="AJ84" s="285">
        <v>2020</v>
      </c>
      <c r="AK84" s="152"/>
      <c r="AL84" s="152"/>
      <c r="AM84" s="152"/>
      <c r="AN84" s="152"/>
    </row>
    <row r="85" spans="1:40" customFormat="1" ht="62.25" x14ac:dyDescent="0.9">
      <c r="A85">
        <v>1</v>
      </c>
      <c r="B85" s="274">
        <v>15</v>
      </c>
      <c r="C85" s="289" t="s">
        <v>1437</v>
      </c>
      <c r="D85" s="290" t="s">
        <v>1911</v>
      </c>
      <c r="E85" s="284">
        <v>0.90890000000000004</v>
      </c>
      <c r="F85" s="208">
        <f t="shared" si="24"/>
        <v>381944.5</v>
      </c>
      <c r="G85" s="208">
        <v>0</v>
      </c>
      <c r="H85" s="208">
        <v>0</v>
      </c>
      <c r="I85" s="208">
        <v>0</v>
      </c>
      <c r="J85" s="208">
        <v>0</v>
      </c>
      <c r="K85" s="208">
        <v>0</v>
      </c>
      <c r="L85" s="208">
        <v>0</v>
      </c>
      <c r="M85" s="276">
        <v>0</v>
      </c>
      <c r="N85" s="208">
        <v>0</v>
      </c>
      <c r="O85" s="208">
        <v>645</v>
      </c>
      <c r="P85" s="208">
        <v>376300</v>
      </c>
      <c r="Q85" s="208">
        <v>0</v>
      </c>
      <c r="R85" s="208">
        <v>0</v>
      </c>
      <c r="S85" s="208">
        <v>0</v>
      </c>
      <c r="T85" s="208">
        <v>0</v>
      </c>
      <c r="U85" s="208">
        <v>0</v>
      </c>
      <c r="V85" s="208">
        <v>0</v>
      </c>
      <c r="W85" s="208">
        <v>0</v>
      </c>
      <c r="X85" s="208">
        <v>0</v>
      </c>
      <c r="Y85" s="208">
        <v>0</v>
      </c>
      <c r="Z85" s="208">
        <v>0</v>
      </c>
      <c r="AA85" s="208">
        <v>0</v>
      </c>
      <c r="AB85" s="208">
        <v>0</v>
      </c>
      <c r="AC85" s="208">
        <v>0</v>
      </c>
      <c r="AD85" s="208">
        <v>0</v>
      </c>
      <c r="AE85" s="208">
        <f t="shared" si="27"/>
        <v>5644.5</v>
      </c>
      <c r="AF85" s="208">
        <v>0</v>
      </c>
      <c r="AG85" s="208">
        <v>0</v>
      </c>
      <c r="AH85" s="285" t="s">
        <v>271</v>
      </c>
      <c r="AI85" s="285">
        <v>2020</v>
      </c>
      <c r="AJ85" s="285">
        <v>2020</v>
      </c>
      <c r="AK85" s="152"/>
      <c r="AL85" s="152"/>
      <c r="AM85" s="152"/>
      <c r="AN85" s="152"/>
    </row>
    <row r="86" spans="1:40" customFormat="1" ht="62.25" x14ac:dyDescent="0.9">
      <c r="A86">
        <v>1</v>
      </c>
      <c r="B86" s="274">
        <v>16</v>
      </c>
      <c r="C86" s="289" t="s">
        <v>1438</v>
      </c>
      <c r="D86" s="290" t="s">
        <v>1910</v>
      </c>
      <c r="E86" s="284">
        <v>0.97260000000000002</v>
      </c>
      <c r="F86" s="208">
        <f t="shared" si="24"/>
        <v>14784.77</v>
      </c>
      <c r="G86" s="208">
        <v>0</v>
      </c>
      <c r="H86" s="208">
        <v>0</v>
      </c>
      <c r="I86" s="208">
        <v>0</v>
      </c>
      <c r="J86" s="208">
        <v>0</v>
      </c>
      <c r="K86" s="208">
        <v>0</v>
      </c>
      <c r="L86" s="208">
        <v>0</v>
      </c>
      <c r="M86" s="276">
        <v>0</v>
      </c>
      <c r="N86" s="208">
        <v>0</v>
      </c>
      <c r="O86" s="208">
        <v>691.81</v>
      </c>
      <c r="P86" s="208">
        <v>14566.28</v>
      </c>
      <c r="Q86" s="208">
        <v>0</v>
      </c>
      <c r="R86" s="208">
        <v>0</v>
      </c>
      <c r="S86" s="208">
        <v>0</v>
      </c>
      <c r="T86" s="208">
        <v>0</v>
      </c>
      <c r="U86" s="208">
        <v>0</v>
      </c>
      <c r="V86" s="208">
        <v>0</v>
      </c>
      <c r="W86" s="208">
        <v>0</v>
      </c>
      <c r="X86" s="208">
        <v>0</v>
      </c>
      <c r="Y86" s="208">
        <v>0</v>
      </c>
      <c r="Z86" s="208">
        <v>0</v>
      </c>
      <c r="AA86" s="208">
        <v>0</v>
      </c>
      <c r="AB86" s="208">
        <v>0</v>
      </c>
      <c r="AC86" s="208">
        <v>0</v>
      </c>
      <c r="AD86" s="208">
        <v>0</v>
      </c>
      <c r="AE86" s="208">
        <f t="shared" si="27"/>
        <v>218.49</v>
      </c>
      <c r="AF86" s="208">
        <v>0</v>
      </c>
      <c r="AG86" s="208">
        <v>0</v>
      </c>
      <c r="AH86" s="285" t="s">
        <v>271</v>
      </c>
      <c r="AI86" s="285">
        <v>2020</v>
      </c>
      <c r="AJ86" s="285">
        <v>2020</v>
      </c>
      <c r="AK86" s="152"/>
      <c r="AL86" s="152"/>
      <c r="AM86" s="152"/>
      <c r="AN86" s="152"/>
    </row>
    <row r="87" spans="1:40" customFormat="1" ht="62.25" x14ac:dyDescent="0.9">
      <c r="A87">
        <v>1</v>
      </c>
      <c r="B87" s="274">
        <v>17</v>
      </c>
      <c r="C87" s="289" t="s">
        <v>1439</v>
      </c>
      <c r="D87" s="292" t="s">
        <v>1911</v>
      </c>
      <c r="E87" s="284">
        <v>0.9919</v>
      </c>
      <c r="F87" s="208">
        <f t="shared" si="24"/>
        <v>433416.75</v>
      </c>
      <c r="G87" s="208">
        <v>0</v>
      </c>
      <c r="H87" s="208">
        <v>0</v>
      </c>
      <c r="I87" s="208">
        <v>0</v>
      </c>
      <c r="J87" s="208">
        <v>0</v>
      </c>
      <c r="K87" s="208">
        <v>0</v>
      </c>
      <c r="L87" s="208">
        <v>0</v>
      </c>
      <c r="M87" s="276">
        <v>0</v>
      </c>
      <c r="N87" s="208">
        <v>0</v>
      </c>
      <c r="O87" s="208">
        <v>0</v>
      </c>
      <c r="P87" s="208">
        <v>0</v>
      </c>
      <c r="Q87" s="208">
        <v>0</v>
      </c>
      <c r="R87" s="208">
        <v>0</v>
      </c>
      <c r="S87" s="208">
        <v>853.2</v>
      </c>
      <c r="T87" s="291">
        <v>427011.58</v>
      </c>
      <c r="U87" s="208">
        <v>0</v>
      </c>
      <c r="V87" s="208">
        <v>0</v>
      </c>
      <c r="W87" s="208">
        <v>0</v>
      </c>
      <c r="X87" s="208">
        <v>0</v>
      </c>
      <c r="Y87" s="208">
        <v>0</v>
      </c>
      <c r="Z87" s="208">
        <v>0</v>
      </c>
      <c r="AA87" s="208">
        <v>0</v>
      </c>
      <c r="AB87" s="208">
        <v>0</v>
      </c>
      <c r="AC87" s="208">
        <v>0</v>
      </c>
      <c r="AD87" s="208">
        <v>0</v>
      </c>
      <c r="AE87" s="208">
        <f>ROUND(T87*1.5%,2)</f>
        <v>6405.17</v>
      </c>
      <c r="AF87" s="208">
        <v>0</v>
      </c>
      <c r="AG87" s="208">
        <v>0</v>
      </c>
      <c r="AH87" s="285" t="s">
        <v>271</v>
      </c>
      <c r="AI87" s="285">
        <v>2020</v>
      </c>
      <c r="AJ87" s="285">
        <v>2020</v>
      </c>
      <c r="AK87" s="152"/>
      <c r="AL87" s="152"/>
      <c r="AM87" s="152"/>
      <c r="AN87" s="152"/>
    </row>
    <row r="88" spans="1:40" customFormat="1" ht="62.25" x14ac:dyDescent="0.9">
      <c r="A88">
        <v>1</v>
      </c>
      <c r="B88" s="274">
        <v>18</v>
      </c>
      <c r="C88" s="289" t="s">
        <v>1135</v>
      </c>
      <c r="D88" s="290" t="s">
        <v>1550</v>
      </c>
      <c r="E88" s="284">
        <v>0.96870000000000001</v>
      </c>
      <c r="F88" s="208">
        <f t="shared" si="24"/>
        <v>168023.84</v>
      </c>
      <c r="G88" s="208">
        <v>0</v>
      </c>
      <c r="H88" s="208">
        <v>0</v>
      </c>
      <c r="I88" s="208">
        <v>0</v>
      </c>
      <c r="J88" s="208">
        <v>0</v>
      </c>
      <c r="K88" s="208">
        <v>0</v>
      </c>
      <c r="L88" s="208">
        <v>0</v>
      </c>
      <c r="M88" s="276">
        <v>0</v>
      </c>
      <c r="N88" s="208">
        <v>0</v>
      </c>
      <c r="O88" s="208">
        <v>404</v>
      </c>
      <c r="P88" s="206">
        <v>165540.73000000001</v>
      </c>
      <c r="Q88" s="208">
        <v>0</v>
      </c>
      <c r="R88" s="208">
        <v>0</v>
      </c>
      <c r="S88" s="208">
        <v>0</v>
      </c>
      <c r="T88" s="291">
        <v>0</v>
      </c>
      <c r="U88" s="208">
        <v>0</v>
      </c>
      <c r="V88" s="208">
        <v>0</v>
      </c>
      <c r="W88" s="208">
        <v>0</v>
      </c>
      <c r="X88" s="208">
        <v>0</v>
      </c>
      <c r="Y88" s="208">
        <v>0</v>
      </c>
      <c r="Z88" s="208">
        <v>0</v>
      </c>
      <c r="AA88" s="208">
        <v>0</v>
      </c>
      <c r="AB88" s="208">
        <v>0</v>
      </c>
      <c r="AC88" s="208">
        <v>0</v>
      </c>
      <c r="AD88" s="208">
        <v>0</v>
      </c>
      <c r="AE88" s="208">
        <f>ROUND(P88*1.5%,2)</f>
        <v>2483.11</v>
      </c>
      <c r="AF88" s="208">
        <v>0</v>
      </c>
      <c r="AG88" s="208">
        <v>0</v>
      </c>
      <c r="AH88" s="285" t="s">
        <v>271</v>
      </c>
      <c r="AI88" s="285">
        <v>2020</v>
      </c>
      <c r="AJ88" s="285">
        <v>2020</v>
      </c>
      <c r="AK88" s="152"/>
      <c r="AL88" s="152"/>
      <c r="AM88" s="152"/>
      <c r="AN88" s="152"/>
    </row>
    <row r="89" spans="1:40" customFormat="1" ht="62.25" x14ac:dyDescent="0.9">
      <c r="A89">
        <v>1</v>
      </c>
      <c r="B89" s="274">
        <v>19</v>
      </c>
      <c r="C89" s="289" t="s">
        <v>1440</v>
      </c>
      <c r="D89" s="290" t="s">
        <v>1913</v>
      </c>
      <c r="E89" s="284">
        <v>1.0038</v>
      </c>
      <c r="F89" s="208">
        <f t="shared" si="24"/>
        <v>15481.01</v>
      </c>
      <c r="G89" s="208">
        <v>0</v>
      </c>
      <c r="H89" s="208">
        <v>0</v>
      </c>
      <c r="I89" s="208">
        <v>0</v>
      </c>
      <c r="J89" s="208">
        <v>0</v>
      </c>
      <c r="K89" s="208">
        <v>0</v>
      </c>
      <c r="L89" s="208">
        <v>0</v>
      </c>
      <c r="M89" s="276">
        <v>0</v>
      </c>
      <c r="N89" s="208">
        <v>0</v>
      </c>
      <c r="O89" s="208">
        <v>1156</v>
      </c>
      <c r="P89" s="208">
        <v>15252.23</v>
      </c>
      <c r="Q89" s="208">
        <v>0</v>
      </c>
      <c r="R89" s="208">
        <v>0</v>
      </c>
      <c r="S89" s="208">
        <v>0</v>
      </c>
      <c r="T89" s="291">
        <v>0</v>
      </c>
      <c r="U89" s="208">
        <v>0</v>
      </c>
      <c r="V89" s="208">
        <v>0</v>
      </c>
      <c r="W89" s="208">
        <v>0</v>
      </c>
      <c r="X89" s="208">
        <v>0</v>
      </c>
      <c r="Y89" s="208">
        <v>0</v>
      </c>
      <c r="Z89" s="208">
        <v>0</v>
      </c>
      <c r="AA89" s="208">
        <v>0</v>
      </c>
      <c r="AB89" s="208">
        <v>0</v>
      </c>
      <c r="AC89" s="208">
        <v>0</v>
      </c>
      <c r="AD89" s="208">
        <v>0</v>
      </c>
      <c r="AE89" s="208">
        <f>ROUND(P89*1.5%,2)</f>
        <v>228.78</v>
      </c>
      <c r="AF89" s="208">
        <v>0</v>
      </c>
      <c r="AG89" s="208">
        <v>0</v>
      </c>
      <c r="AH89" s="285" t="s">
        <v>271</v>
      </c>
      <c r="AI89" s="285">
        <v>2020</v>
      </c>
      <c r="AJ89" s="285">
        <v>2020</v>
      </c>
      <c r="AK89" s="152"/>
      <c r="AL89" s="152"/>
      <c r="AM89" s="152"/>
      <c r="AN89" s="152"/>
    </row>
    <row r="90" spans="1:40" customFormat="1" ht="62.25" x14ac:dyDescent="0.9">
      <c r="A90">
        <v>1</v>
      </c>
      <c r="B90" s="274">
        <v>20</v>
      </c>
      <c r="C90" s="289" t="s">
        <v>1511</v>
      </c>
      <c r="D90" s="292" t="s">
        <v>1550</v>
      </c>
      <c r="E90" s="284">
        <v>0.97260000000000002</v>
      </c>
      <c r="F90" s="208">
        <f t="shared" si="24"/>
        <v>130104.73</v>
      </c>
      <c r="G90" s="208">
        <v>0</v>
      </c>
      <c r="H90" s="208">
        <v>0</v>
      </c>
      <c r="I90" s="208">
        <v>0</v>
      </c>
      <c r="J90" s="208">
        <v>0</v>
      </c>
      <c r="K90" s="208">
        <v>0</v>
      </c>
      <c r="L90" s="208">
        <v>0</v>
      </c>
      <c r="M90" s="276">
        <v>0</v>
      </c>
      <c r="N90" s="208">
        <v>0</v>
      </c>
      <c r="O90" s="208">
        <v>0</v>
      </c>
      <c r="P90" s="208">
        <v>0</v>
      </c>
      <c r="Q90" s="208">
        <v>0</v>
      </c>
      <c r="R90" s="208">
        <v>0</v>
      </c>
      <c r="S90" s="208">
        <v>0</v>
      </c>
      <c r="T90" s="291">
        <v>0</v>
      </c>
      <c r="U90" s="208">
        <v>143.80000000000001</v>
      </c>
      <c r="V90" s="208">
        <v>128182</v>
      </c>
      <c r="W90" s="208">
        <v>0</v>
      </c>
      <c r="X90" s="208">
        <v>0</v>
      </c>
      <c r="Y90" s="208">
        <v>0</v>
      </c>
      <c r="Z90" s="208">
        <v>0</v>
      </c>
      <c r="AA90" s="208">
        <v>0</v>
      </c>
      <c r="AB90" s="208">
        <v>0</v>
      </c>
      <c r="AC90" s="208">
        <v>0</v>
      </c>
      <c r="AD90" s="208">
        <v>0</v>
      </c>
      <c r="AE90" s="208">
        <f>ROUND(V90*1.5%,2)</f>
        <v>1922.73</v>
      </c>
      <c r="AF90" s="208">
        <v>0</v>
      </c>
      <c r="AG90" s="208">
        <v>0</v>
      </c>
      <c r="AH90" s="285" t="s">
        <v>271</v>
      </c>
      <c r="AI90" s="285">
        <v>2020</v>
      </c>
      <c r="AJ90" s="285">
        <v>2020</v>
      </c>
      <c r="AK90" s="152"/>
      <c r="AL90" s="152"/>
      <c r="AM90" s="152"/>
      <c r="AN90" s="152"/>
    </row>
    <row r="91" spans="1:40" customFormat="1" ht="62.25" x14ac:dyDescent="0.9">
      <c r="A91">
        <v>1</v>
      </c>
      <c r="B91" s="274">
        <v>21</v>
      </c>
      <c r="C91" s="289" t="s">
        <v>1512</v>
      </c>
      <c r="D91" s="290" t="s">
        <v>1910</v>
      </c>
      <c r="E91" s="284">
        <v>0.9859</v>
      </c>
      <c r="F91" s="208">
        <f t="shared" si="24"/>
        <v>159880.51999999999</v>
      </c>
      <c r="G91" s="208">
        <v>0</v>
      </c>
      <c r="H91" s="208">
        <v>0</v>
      </c>
      <c r="I91" s="208">
        <v>0</v>
      </c>
      <c r="J91" s="208">
        <v>0</v>
      </c>
      <c r="K91" s="208">
        <v>0</v>
      </c>
      <c r="L91" s="208">
        <v>0</v>
      </c>
      <c r="M91" s="276">
        <v>0</v>
      </c>
      <c r="N91" s="208">
        <v>0</v>
      </c>
      <c r="O91" s="208">
        <v>622.63</v>
      </c>
      <c r="P91" s="208">
        <v>157517.75</v>
      </c>
      <c r="Q91" s="208">
        <v>0</v>
      </c>
      <c r="R91" s="208">
        <v>0</v>
      </c>
      <c r="S91" s="208">
        <v>0</v>
      </c>
      <c r="T91" s="291">
        <v>0</v>
      </c>
      <c r="U91" s="208">
        <v>0</v>
      </c>
      <c r="V91" s="208">
        <v>0</v>
      </c>
      <c r="W91" s="208">
        <v>0</v>
      </c>
      <c r="X91" s="208">
        <v>0</v>
      </c>
      <c r="Y91" s="208">
        <v>0</v>
      </c>
      <c r="Z91" s="208">
        <v>0</v>
      </c>
      <c r="AA91" s="208">
        <v>0</v>
      </c>
      <c r="AB91" s="208">
        <v>0</v>
      </c>
      <c r="AC91" s="208">
        <v>0</v>
      </c>
      <c r="AD91" s="208">
        <v>0</v>
      </c>
      <c r="AE91" s="208">
        <f>ROUND(P91*1.5%,2)</f>
        <v>2362.77</v>
      </c>
      <c r="AF91" s="208">
        <v>0</v>
      </c>
      <c r="AG91" s="208">
        <v>0</v>
      </c>
      <c r="AH91" s="285" t="s">
        <v>271</v>
      </c>
      <c r="AI91" s="285">
        <v>2020</v>
      </c>
      <c r="AJ91" s="285">
        <v>2020</v>
      </c>
      <c r="AK91" s="152"/>
      <c r="AL91" s="152"/>
      <c r="AM91" s="152"/>
      <c r="AN91" s="152"/>
    </row>
    <row r="92" spans="1:40" customFormat="1" ht="62.25" x14ac:dyDescent="0.9">
      <c r="A92">
        <v>1</v>
      </c>
      <c r="B92" s="274">
        <v>22</v>
      </c>
      <c r="C92" s="289" t="s">
        <v>1513</v>
      </c>
      <c r="D92" s="290" t="s">
        <v>1911</v>
      </c>
      <c r="E92" s="284">
        <v>1.0001</v>
      </c>
      <c r="F92" s="208">
        <f t="shared" si="24"/>
        <v>9497.9600000000009</v>
      </c>
      <c r="G92" s="208">
        <v>0</v>
      </c>
      <c r="H92" s="208">
        <v>0</v>
      </c>
      <c r="I92" s="208">
        <v>0</v>
      </c>
      <c r="J92" s="208">
        <v>0</v>
      </c>
      <c r="K92" s="208">
        <v>0</v>
      </c>
      <c r="L92" s="208">
        <v>0</v>
      </c>
      <c r="M92" s="276">
        <v>0</v>
      </c>
      <c r="N92" s="208">
        <v>0</v>
      </c>
      <c r="O92" s="208">
        <v>550</v>
      </c>
      <c r="P92" s="208">
        <v>9357.6</v>
      </c>
      <c r="Q92" s="208">
        <v>0</v>
      </c>
      <c r="R92" s="208">
        <v>0</v>
      </c>
      <c r="S92" s="208">
        <v>0</v>
      </c>
      <c r="T92" s="291">
        <v>0</v>
      </c>
      <c r="U92" s="208">
        <v>0</v>
      </c>
      <c r="V92" s="208">
        <v>0</v>
      </c>
      <c r="W92" s="208">
        <v>0</v>
      </c>
      <c r="X92" s="208">
        <v>0</v>
      </c>
      <c r="Y92" s="208">
        <v>0</v>
      </c>
      <c r="Z92" s="208">
        <v>0</v>
      </c>
      <c r="AA92" s="208">
        <v>0</v>
      </c>
      <c r="AB92" s="208">
        <v>0</v>
      </c>
      <c r="AC92" s="208">
        <v>0</v>
      </c>
      <c r="AD92" s="208">
        <v>0</v>
      </c>
      <c r="AE92" s="208">
        <f>ROUND(P92*1.5%,2)</f>
        <v>140.36000000000001</v>
      </c>
      <c r="AF92" s="208">
        <v>0</v>
      </c>
      <c r="AG92" s="208">
        <v>0</v>
      </c>
      <c r="AH92" s="285" t="s">
        <v>271</v>
      </c>
      <c r="AI92" s="285">
        <v>2020</v>
      </c>
      <c r="AJ92" s="285">
        <v>2020</v>
      </c>
      <c r="AK92" s="152"/>
      <c r="AL92" s="152"/>
      <c r="AM92" s="152"/>
      <c r="AN92" s="152"/>
    </row>
    <row r="93" spans="1:40" customFormat="1" ht="62.25" x14ac:dyDescent="0.9">
      <c r="A93">
        <v>1</v>
      </c>
      <c r="B93" s="274">
        <v>23</v>
      </c>
      <c r="C93" s="289" t="s">
        <v>1514</v>
      </c>
      <c r="D93" s="290" t="s">
        <v>1913</v>
      </c>
      <c r="E93" s="284">
        <v>0.95650000000000002</v>
      </c>
      <c r="F93" s="208">
        <f t="shared" si="24"/>
        <v>61000.020000000004</v>
      </c>
      <c r="G93" s="208">
        <v>0</v>
      </c>
      <c r="H93" s="208">
        <v>0</v>
      </c>
      <c r="I93" s="208">
        <v>0</v>
      </c>
      <c r="J93" s="208">
        <v>0</v>
      </c>
      <c r="K93" s="208">
        <v>0</v>
      </c>
      <c r="L93" s="208">
        <v>0</v>
      </c>
      <c r="M93" s="276">
        <v>0</v>
      </c>
      <c r="N93" s="208">
        <v>0</v>
      </c>
      <c r="O93" s="208">
        <v>807</v>
      </c>
      <c r="P93" s="208">
        <v>60098.54</v>
      </c>
      <c r="Q93" s="208">
        <v>0</v>
      </c>
      <c r="R93" s="208">
        <v>0</v>
      </c>
      <c r="S93" s="208">
        <v>0</v>
      </c>
      <c r="T93" s="291">
        <v>0</v>
      </c>
      <c r="U93" s="208">
        <v>0</v>
      </c>
      <c r="V93" s="208">
        <v>0</v>
      </c>
      <c r="W93" s="208">
        <v>0</v>
      </c>
      <c r="X93" s="208">
        <v>0</v>
      </c>
      <c r="Y93" s="208">
        <v>0</v>
      </c>
      <c r="Z93" s="208">
        <v>0</v>
      </c>
      <c r="AA93" s="208">
        <v>0</v>
      </c>
      <c r="AB93" s="208">
        <v>0</v>
      </c>
      <c r="AC93" s="208">
        <v>0</v>
      </c>
      <c r="AD93" s="208">
        <v>0</v>
      </c>
      <c r="AE93" s="208">
        <f>ROUND(P93*1.5%,2)</f>
        <v>901.48</v>
      </c>
      <c r="AF93" s="208">
        <v>0</v>
      </c>
      <c r="AG93" s="208">
        <v>0</v>
      </c>
      <c r="AH93" s="285" t="s">
        <v>271</v>
      </c>
      <c r="AI93" s="285">
        <v>2020</v>
      </c>
      <c r="AJ93" s="285">
        <v>2020</v>
      </c>
      <c r="AK93" s="152"/>
      <c r="AL93" s="152"/>
      <c r="AM93" s="152"/>
      <c r="AN93" s="152"/>
    </row>
    <row r="94" spans="1:40" customFormat="1" ht="62.25" x14ac:dyDescent="0.9">
      <c r="A94">
        <v>1</v>
      </c>
      <c r="B94" s="274">
        <v>24</v>
      </c>
      <c r="C94" s="289" t="s">
        <v>1623</v>
      </c>
      <c r="D94" s="290" t="s">
        <v>1911</v>
      </c>
      <c r="E94" s="284">
        <v>0.76249999999999996</v>
      </c>
      <c r="F94" s="208">
        <f t="shared" si="24"/>
        <v>91802</v>
      </c>
      <c r="G94" s="208">
        <v>0</v>
      </c>
      <c r="H94" s="208">
        <v>0</v>
      </c>
      <c r="I94" s="208">
        <v>0</v>
      </c>
      <c r="J94" s="208">
        <v>0</v>
      </c>
      <c r="K94" s="208">
        <v>0</v>
      </c>
      <c r="L94" s="208">
        <v>0</v>
      </c>
      <c r="M94" s="276">
        <v>0</v>
      </c>
      <c r="N94" s="208">
        <v>0</v>
      </c>
      <c r="O94" s="208">
        <v>1059</v>
      </c>
      <c r="P94" s="208">
        <v>90445.32</v>
      </c>
      <c r="Q94" s="208">
        <v>0</v>
      </c>
      <c r="R94" s="208">
        <v>0</v>
      </c>
      <c r="S94" s="208">
        <v>0</v>
      </c>
      <c r="T94" s="291">
        <v>0</v>
      </c>
      <c r="U94" s="208">
        <v>0</v>
      </c>
      <c r="V94" s="208">
        <v>0</v>
      </c>
      <c r="W94" s="208">
        <v>0</v>
      </c>
      <c r="X94" s="208">
        <v>0</v>
      </c>
      <c r="Y94" s="208">
        <v>0</v>
      </c>
      <c r="Z94" s="208">
        <v>0</v>
      </c>
      <c r="AA94" s="208">
        <v>0</v>
      </c>
      <c r="AB94" s="208">
        <v>0</v>
      </c>
      <c r="AC94" s="208">
        <v>0</v>
      </c>
      <c r="AD94" s="208">
        <v>0</v>
      </c>
      <c r="AE94" s="208">
        <f>ROUND(P94*1.5%,2)</f>
        <v>1356.68</v>
      </c>
      <c r="AF94" s="208">
        <v>0</v>
      </c>
      <c r="AG94" s="208">
        <v>0</v>
      </c>
      <c r="AH94" s="285" t="s">
        <v>271</v>
      </c>
      <c r="AI94" s="285">
        <v>2020</v>
      </c>
      <c r="AJ94" s="285">
        <v>2020</v>
      </c>
      <c r="AK94" s="152"/>
      <c r="AL94" s="152"/>
      <c r="AM94" s="152"/>
      <c r="AN94" s="152"/>
    </row>
    <row r="95" spans="1:40" s="293" customFormat="1" ht="62.25" x14ac:dyDescent="0.9">
      <c r="B95" s="294">
        <v>25</v>
      </c>
      <c r="C95" s="295" t="s">
        <v>1914</v>
      </c>
      <c r="D95" s="221" t="s">
        <v>1913</v>
      </c>
      <c r="E95" s="296">
        <v>0.95521667016728007</v>
      </c>
      <c r="F95" s="206">
        <f>P95+AE95</f>
        <v>28998.41</v>
      </c>
      <c r="G95" s="206">
        <v>0</v>
      </c>
      <c r="H95" s="206">
        <v>0</v>
      </c>
      <c r="I95" s="206">
        <v>0</v>
      </c>
      <c r="J95" s="206">
        <v>0</v>
      </c>
      <c r="K95" s="206">
        <v>0</v>
      </c>
      <c r="L95" s="206">
        <v>0</v>
      </c>
      <c r="M95" s="297">
        <v>0</v>
      </c>
      <c r="N95" s="206">
        <v>0</v>
      </c>
      <c r="O95" s="206">
        <v>953</v>
      </c>
      <c r="P95" s="206">
        <v>28569.86</v>
      </c>
      <c r="Q95" s="206">
        <v>0</v>
      </c>
      <c r="R95" s="206">
        <v>0</v>
      </c>
      <c r="S95" s="206">
        <v>0</v>
      </c>
      <c r="T95" s="229">
        <v>0</v>
      </c>
      <c r="U95" s="206">
        <v>0</v>
      </c>
      <c r="V95" s="206">
        <v>0</v>
      </c>
      <c r="W95" s="206">
        <v>0</v>
      </c>
      <c r="X95" s="206">
        <v>0</v>
      </c>
      <c r="Y95" s="206">
        <v>0</v>
      </c>
      <c r="Z95" s="206">
        <v>0</v>
      </c>
      <c r="AA95" s="206">
        <v>0</v>
      </c>
      <c r="AB95" s="206">
        <v>0</v>
      </c>
      <c r="AC95" s="206">
        <v>0</v>
      </c>
      <c r="AD95" s="206">
        <v>0</v>
      </c>
      <c r="AE95" s="206">
        <f>ROUND(P95*1.5%,2)</f>
        <v>428.55</v>
      </c>
      <c r="AF95" s="206">
        <v>0</v>
      </c>
      <c r="AG95" s="206">
        <v>0</v>
      </c>
      <c r="AH95" s="298" t="s">
        <v>271</v>
      </c>
      <c r="AI95" s="298">
        <v>2020</v>
      </c>
      <c r="AJ95" s="298">
        <v>2020</v>
      </c>
      <c r="AK95" s="299"/>
      <c r="AL95" s="299"/>
      <c r="AM95" s="299"/>
      <c r="AN95" s="299"/>
    </row>
    <row r="96" spans="1:40" customFormat="1" ht="62.25" x14ac:dyDescent="0.9">
      <c r="B96" s="286" t="s">
        <v>836</v>
      </c>
      <c r="C96" s="287"/>
      <c r="D96" s="288" t="s">
        <v>903</v>
      </c>
      <c r="E96" s="284">
        <f>AVERAGE(E97:E103)</f>
        <v>0.79046997917439299</v>
      </c>
      <c r="F96" s="208">
        <f>SUM(F97:F103)</f>
        <v>2685320.57</v>
      </c>
      <c r="G96" s="208">
        <f t="shared" ref="G96:AG96" si="28">SUM(G97:G103)</f>
        <v>0</v>
      </c>
      <c r="H96" s="208">
        <f t="shared" si="28"/>
        <v>0</v>
      </c>
      <c r="I96" s="208">
        <f t="shared" si="28"/>
        <v>0</v>
      </c>
      <c r="J96" s="208">
        <f t="shared" si="28"/>
        <v>0</v>
      </c>
      <c r="K96" s="208">
        <f t="shared" si="28"/>
        <v>0</v>
      </c>
      <c r="L96" s="208">
        <f t="shared" si="28"/>
        <v>0</v>
      </c>
      <c r="M96" s="208">
        <f t="shared" si="28"/>
        <v>0</v>
      </c>
      <c r="N96" s="208">
        <f t="shared" si="28"/>
        <v>0</v>
      </c>
      <c r="O96" s="208">
        <f t="shared" si="28"/>
        <v>6319.26</v>
      </c>
      <c r="P96" s="208">
        <f t="shared" si="28"/>
        <v>2645636.04</v>
      </c>
      <c r="Q96" s="208">
        <f t="shared" si="28"/>
        <v>0</v>
      </c>
      <c r="R96" s="208">
        <f t="shared" si="28"/>
        <v>0</v>
      </c>
      <c r="S96" s="208">
        <f t="shared" si="28"/>
        <v>0</v>
      </c>
      <c r="T96" s="208">
        <f t="shared" si="28"/>
        <v>0</v>
      </c>
      <c r="U96" s="208">
        <f t="shared" si="28"/>
        <v>0</v>
      </c>
      <c r="V96" s="208">
        <f t="shared" si="28"/>
        <v>0</v>
      </c>
      <c r="W96" s="208">
        <f t="shared" si="28"/>
        <v>0</v>
      </c>
      <c r="X96" s="208">
        <f t="shared" si="28"/>
        <v>0</v>
      </c>
      <c r="Y96" s="208">
        <f t="shared" si="28"/>
        <v>0</v>
      </c>
      <c r="Z96" s="208">
        <f t="shared" si="28"/>
        <v>0</v>
      </c>
      <c r="AA96" s="208">
        <f t="shared" si="28"/>
        <v>0</v>
      </c>
      <c r="AB96" s="208">
        <f t="shared" si="28"/>
        <v>0</v>
      </c>
      <c r="AC96" s="208">
        <f t="shared" si="28"/>
        <v>0</v>
      </c>
      <c r="AD96" s="208">
        <f t="shared" si="28"/>
        <v>0</v>
      </c>
      <c r="AE96" s="208">
        <f t="shared" si="28"/>
        <v>39684.529999999992</v>
      </c>
      <c r="AF96" s="208">
        <f t="shared" si="28"/>
        <v>0</v>
      </c>
      <c r="AG96" s="208">
        <f t="shared" si="28"/>
        <v>0</v>
      </c>
      <c r="AH96" s="285" t="s">
        <v>903</v>
      </c>
      <c r="AI96" s="285" t="s">
        <v>903</v>
      </c>
      <c r="AJ96" s="285" t="s">
        <v>903</v>
      </c>
      <c r="AK96" s="152"/>
      <c r="AL96" s="152"/>
      <c r="AM96" s="152"/>
      <c r="AN96" s="152"/>
    </row>
    <row r="97" spans="1:40" customFormat="1" ht="62.25" x14ac:dyDescent="0.9">
      <c r="A97">
        <v>1</v>
      </c>
      <c r="B97" s="274">
        <v>26</v>
      </c>
      <c r="C97" s="289" t="s">
        <v>1441</v>
      </c>
      <c r="D97" s="290" t="s">
        <v>1911</v>
      </c>
      <c r="E97" s="284">
        <v>0.79441212856856191</v>
      </c>
      <c r="F97" s="208">
        <f t="shared" si="24"/>
        <v>505301.78</v>
      </c>
      <c r="G97" s="208">
        <v>0</v>
      </c>
      <c r="H97" s="208">
        <v>0</v>
      </c>
      <c r="I97" s="208">
        <v>0</v>
      </c>
      <c r="J97" s="208">
        <v>0</v>
      </c>
      <c r="K97" s="208">
        <v>0</v>
      </c>
      <c r="L97" s="208">
        <v>0</v>
      </c>
      <c r="M97" s="276">
        <v>0</v>
      </c>
      <c r="N97" s="208">
        <v>0</v>
      </c>
      <c r="O97" s="208">
        <v>1148</v>
      </c>
      <c r="P97" s="206">
        <v>497834.27</v>
      </c>
      <c r="Q97" s="208">
        <v>0</v>
      </c>
      <c r="R97" s="208">
        <v>0</v>
      </c>
      <c r="S97" s="208">
        <v>0</v>
      </c>
      <c r="T97" s="291">
        <v>0</v>
      </c>
      <c r="U97" s="208">
        <v>0</v>
      </c>
      <c r="V97" s="208">
        <v>0</v>
      </c>
      <c r="W97" s="208">
        <v>0</v>
      </c>
      <c r="X97" s="208">
        <v>0</v>
      </c>
      <c r="Y97" s="208">
        <v>0</v>
      </c>
      <c r="Z97" s="208">
        <v>0</v>
      </c>
      <c r="AA97" s="208">
        <v>0</v>
      </c>
      <c r="AB97" s="208">
        <v>0</v>
      </c>
      <c r="AC97" s="208">
        <v>0</v>
      </c>
      <c r="AD97" s="208">
        <v>0</v>
      </c>
      <c r="AE97" s="208">
        <f t="shared" ref="AE97:AE103" si="29">ROUND(P97*1.5%,2)</f>
        <v>7467.51</v>
      </c>
      <c r="AF97" s="208">
        <v>0</v>
      </c>
      <c r="AG97" s="208">
        <v>0</v>
      </c>
      <c r="AH97" s="285" t="s">
        <v>271</v>
      </c>
      <c r="AI97" s="285">
        <v>2020</v>
      </c>
      <c r="AJ97" s="285">
        <v>2020</v>
      </c>
      <c r="AK97" s="152"/>
      <c r="AL97" s="152"/>
      <c r="AM97" s="152"/>
      <c r="AN97" s="152"/>
    </row>
    <row r="98" spans="1:40" customFormat="1" ht="62.25" x14ac:dyDescent="0.9">
      <c r="A98">
        <v>1</v>
      </c>
      <c r="B98" s="274">
        <v>27</v>
      </c>
      <c r="C98" s="289" t="s">
        <v>1442</v>
      </c>
      <c r="D98" s="290" t="s">
        <v>1911</v>
      </c>
      <c r="E98" s="284">
        <v>0.77911652932310516</v>
      </c>
      <c r="F98" s="208">
        <f t="shared" si="24"/>
        <v>1853524.39</v>
      </c>
      <c r="G98" s="208">
        <v>0</v>
      </c>
      <c r="H98" s="208">
        <v>0</v>
      </c>
      <c r="I98" s="208">
        <v>0</v>
      </c>
      <c r="J98" s="208">
        <v>0</v>
      </c>
      <c r="K98" s="208">
        <v>0</v>
      </c>
      <c r="L98" s="208">
        <v>0</v>
      </c>
      <c r="M98" s="276">
        <v>0</v>
      </c>
      <c r="N98" s="208">
        <v>0</v>
      </c>
      <c r="O98" s="208">
        <v>812.5</v>
      </c>
      <c r="P98" s="206">
        <v>1826132.4</v>
      </c>
      <c r="Q98" s="208">
        <v>0</v>
      </c>
      <c r="R98" s="208">
        <v>0</v>
      </c>
      <c r="S98" s="208">
        <v>0</v>
      </c>
      <c r="T98" s="291">
        <v>0</v>
      </c>
      <c r="U98" s="208">
        <v>0</v>
      </c>
      <c r="V98" s="208">
        <v>0</v>
      </c>
      <c r="W98" s="208">
        <v>0</v>
      </c>
      <c r="X98" s="208">
        <v>0</v>
      </c>
      <c r="Y98" s="208">
        <v>0</v>
      </c>
      <c r="Z98" s="208">
        <v>0</v>
      </c>
      <c r="AA98" s="208">
        <v>0</v>
      </c>
      <c r="AB98" s="208">
        <v>0</v>
      </c>
      <c r="AC98" s="208">
        <v>0</v>
      </c>
      <c r="AD98" s="208">
        <v>0</v>
      </c>
      <c r="AE98" s="208">
        <f t="shared" si="29"/>
        <v>27391.99</v>
      </c>
      <c r="AF98" s="208">
        <v>0</v>
      </c>
      <c r="AG98" s="208">
        <v>0</v>
      </c>
      <c r="AH98" s="285" t="s">
        <v>271</v>
      </c>
      <c r="AI98" s="285">
        <v>2020</v>
      </c>
      <c r="AJ98" s="285">
        <v>2020</v>
      </c>
      <c r="AK98" s="152"/>
      <c r="AL98" s="152"/>
      <c r="AM98" s="152"/>
      <c r="AN98" s="152"/>
    </row>
    <row r="99" spans="1:40" customFormat="1" ht="62.25" x14ac:dyDescent="0.9">
      <c r="A99">
        <v>1</v>
      </c>
      <c r="B99" s="274">
        <v>28</v>
      </c>
      <c r="C99" s="289" t="s">
        <v>1443</v>
      </c>
      <c r="D99" s="290" t="s">
        <v>1550</v>
      </c>
      <c r="E99" s="284">
        <v>0.64500000000000002</v>
      </c>
      <c r="F99" s="208">
        <f t="shared" si="24"/>
        <v>58266.54</v>
      </c>
      <c r="G99" s="208">
        <v>0</v>
      </c>
      <c r="H99" s="208">
        <v>0</v>
      </c>
      <c r="I99" s="208">
        <v>0</v>
      </c>
      <c r="J99" s="208">
        <v>0</v>
      </c>
      <c r="K99" s="208">
        <v>0</v>
      </c>
      <c r="L99" s="208">
        <v>0</v>
      </c>
      <c r="M99" s="276">
        <v>0</v>
      </c>
      <c r="N99" s="208">
        <v>0</v>
      </c>
      <c r="O99" s="208">
        <v>1240.56</v>
      </c>
      <c r="P99" s="229">
        <v>57405.46</v>
      </c>
      <c r="Q99" s="208">
        <v>0</v>
      </c>
      <c r="R99" s="208">
        <v>0</v>
      </c>
      <c r="S99" s="208">
        <v>0</v>
      </c>
      <c r="T99" s="291">
        <v>0</v>
      </c>
      <c r="U99" s="208">
        <v>0</v>
      </c>
      <c r="V99" s="208">
        <v>0</v>
      </c>
      <c r="W99" s="208">
        <v>0</v>
      </c>
      <c r="X99" s="208">
        <v>0</v>
      </c>
      <c r="Y99" s="208">
        <v>0</v>
      </c>
      <c r="Z99" s="208">
        <v>0</v>
      </c>
      <c r="AA99" s="208">
        <v>0</v>
      </c>
      <c r="AB99" s="208">
        <v>0</v>
      </c>
      <c r="AC99" s="208">
        <v>0</v>
      </c>
      <c r="AD99" s="208">
        <v>0</v>
      </c>
      <c r="AE99" s="208">
        <f t="shared" si="29"/>
        <v>861.08</v>
      </c>
      <c r="AF99" s="208">
        <v>0</v>
      </c>
      <c r="AG99" s="208">
        <v>0</v>
      </c>
      <c r="AH99" s="285" t="s">
        <v>271</v>
      </c>
      <c r="AI99" s="285">
        <v>2020</v>
      </c>
      <c r="AJ99" s="285">
        <v>2020</v>
      </c>
      <c r="AK99" s="152"/>
      <c r="AL99" s="152"/>
      <c r="AM99" s="152"/>
      <c r="AN99" s="152"/>
    </row>
    <row r="100" spans="1:40" customFormat="1" ht="62.25" x14ac:dyDescent="0.9">
      <c r="A100">
        <v>1</v>
      </c>
      <c r="B100" s="274">
        <v>29</v>
      </c>
      <c r="C100" s="289" t="s">
        <v>1444</v>
      </c>
      <c r="D100" s="290" t="s">
        <v>1911</v>
      </c>
      <c r="E100" s="284">
        <v>0.88700000000000001</v>
      </c>
      <c r="F100" s="208">
        <f t="shared" si="24"/>
        <v>177653.64</v>
      </c>
      <c r="G100" s="208">
        <v>0</v>
      </c>
      <c r="H100" s="208">
        <v>0</v>
      </c>
      <c r="I100" s="208">
        <v>0</v>
      </c>
      <c r="J100" s="208">
        <v>0</v>
      </c>
      <c r="K100" s="208">
        <v>0</v>
      </c>
      <c r="L100" s="208">
        <v>0</v>
      </c>
      <c r="M100" s="276">
        <v>0</v>
      </c>
      <c r="N100" s="208">
        <v>0</v>
      </c>
      <c r="O100" s="208">
        <v>838</v>
      </c>
      <c r="P100" s="206">
        <v>175028.22</v>
      </c>
      <c r="Q100" s="208">
        <v>0</v>
      </c>
      <c r="R100" s="208">
        <v>0</v>
      </c>
      <c r="S100" s="208">
        <v>0</v>
      </c>
      <c r="T100" s="291">
        <v>0</v>
      </c>
      <c r="U100" s="208">
        <v>0</v>
      </c>
      <c r="V100" s="208">
        <v>0</v>
      </c>
      <c r="W100" s="208">
        <v>0</v>
      </c>
      <c r="X100" s="208">
        <v>0</v>
      </c>
      <c r="Y100" s="208">
        <v>0</v>
      </c>
      <c r="Z100" s="208">
        <v>0</v>
      </c>
      <c r="AA100" s="208">
        <v>0</v>
      </c>
      <c r="AB100" s="208">
        <v>0</v>
      </c>
      <c r="AC100" s="208">
        <v>0</v>
      </c>
      <c r="AD100" s="208">
        <v>0</v>
      </c>
      <c r="AE100" s="208">
        <f t="shared" si="29"/>
        <v>2625.42</v>
      </c>
      <c r="AF100" s="208">
        <v>0</v>
      </c>
      <c r="AG100" s="208">
        <v>0</v>
      </c>
      <c r="AH100" s="285" t="s">
        <v>271</v>
      </c>
      <c r="AI100" s="285">
        <v>2020</v>
      </c>
      <c r="AJ100" s="285">
        <v>2020</v>
      </c>
      <c r="AK100" s="152"/>
      <c r="AL100" s="152"/>
      <c r="AM100" s="152"/>
      <c r="AN100" s="152"/>
    </row>
    <row r="101" spans="1:40" customFormat="1" ht="62.25" x14ac:dyDescent="0.9">
      <c r="A101">
        <v>1</v>
      </c>
      <c r="B101" s="274">
        <v>30</v>
      </c>
      <c r="C101" s="289" t="s">
        <v>1445</v>
      </c>
      <c r="D101" s="290" t="s">
        <v>1911</v>
      </c>
      <c r="E101" s="284">
        <v>0.78459999999999996</v>
      </c>
      <c r="F101" s="208">
        <f t="shared" si="24"/>
        <v>63876.88</v>
      </c>
      <c r="G101" s="208">
        <v>0</v>
      </c>
      <c r="H101" s="208">
        <v>0</v>
      </c>
      <c r="I101" s="208">
        <v>0</v>
      </c>
      <c r="J101" s="208">
        <v>0</v>
      </c>
      <c r="K101" s="208">
        <v>0</v>
      </c>
      <c r="L101" s="208">
        <v>0</v>
      </c>
      <c r="M101" s="276">
        <v>0</v>
      </c>
      <c r="N101" s="208">
        <v>0</v>
      </c>
      <c r="O101" s="208">
        <v>823.2</v>
      </c>
      <c r="P101" s="206">
        <v>62932.89</v>
      </c>
      <c r="Q101" s="208">
        <v>0</v>
      </c>
      <c r="R101" s="208">
        <v>0</v>
      </c>
      <c r="S101" s="208">
        <v>0</v>
      </c>
      <c r="T101" s="291">
        <v>0</v>
      </c>
      <c r="U101" s="208">
        <v>0</v>
      </c>
      <c r="V101" s="208">
        <v>0</v>
      </c>
      <c r="W101" s="208">
        <v>0</v>
      </c>
      <c r="X101" s="208">
        <v>0</v>
      </c>
      <c r="Y101" s="208">
        <v>0</v>
      </c>
      <c r="Z101" s="208">
        <v>0</v>
      </c>
      <c r="AA101" s="208">
        <v>0</v>
      </c>
      <c r="AB101" s="208">
        <v>0</v>
      </c>
      <c r="AC101" s="208">
        <v>0</v>
      </c>
      <c r="AD101" s="208">
        <v>0</v>
      </c>
      <c r="AE101" s="208">
        <f t="shared" si="29"/>
        <v>943.99</v>
      </c>
      <c r="AF101" s="208">
        <v>0</v>
      </c>
      <c r="AG101" s="208">
        <v>0</v>
      </c>
      <c r="AH101" s="285" t="s">
        <v>271</v>
      </c>
      <c r="AI101" s="285">
        <v>2020</v>
      </c>
      <c r="AJ101" s="285">
        <v>2020</v>
      </c>
      <c r="AK101" s="152"/>
      <c r="AL101" s="152"/>
      <c r="AM101" s="152"/>
      <c r="AN101" s="152"/>
    </row>
    <row r="102" spans="1:40" customFormat="1" ht="62.25" x14ac:dyDescent="0.9">
      <c r="A102">
        <v>1</v>
      </c>
      <c r="B102" s="274">
        <v>31</v>
      </c>
      <c r="C102" s="289" t="s">
        <v>1446</v>
      </c>
      <c r="D102" s="290" t="s">
        <v>1911</v>
      </c>
      <c r="E102" s="284">
        <v>0.70240000000000002</v>
      </c>
      <c r="F102" s="208">
        <f t="shared" si="24"/>
        <v>2454.27</v>
      </c>
      <c r="G102" s="208">
        <v>0</v>
      </c>
      <c r="H102" s="208">
        <v>0</v>
      </c>
      <c r="I102" s="208">
        <v>0</v>
      </c>
      <c r="J102" s="208">
        <v>0</v>
      </c>
      <c r="K102" s="208">
        <v>0</v>
      </c>
      <c r="L102" s="208">
        <v>0</v>
      </c>
      <c r="M102" s="276">
        <v>0</v>
      </c>
      <c r="N102" s="208">
        <v>0</v>
      </c>
      <c r="O102" s="208">
        <v>472</v>
      </c>
      <c r="P102" s="206">
        <v>2418</v>
      </c>
      <c r="Q102" s="208">
        <v>0</v>
      </c>
      <c r="R102" s="208">
        <v>0</v>
      </c>
      <c r="S102" s="208">
        <v>0</v>
      </c>
      <c r="T102" s="291">
        <v>0</v>
      </c>
      <c r="U102" s="208">
        <v>0</v>
      </c>
      <c r="V102" s="208">
        <v>0</v>
      </c>
      <c r="W102" s="208">
        <v>0</v>
      </c>
      <c r="X102" s="208">
        <v>0</v>
      </c>
      <c r="Y102" s="208">
        <v>0</v>
      </c>
      <c r="Z102" s="208">
        <v>0</v>
      </c>
      <c r="AA102" s="208">
        <v>0</v>
      </c>
      <c r="AB102" s="208">
        <v>0</v>
      </c>
      <c r="AC102" s="208">
        <v>0</v>
      </c>
      <c r="AD102" s="208">
        <v>0</v>
      </c>
      <c r="AE102" s="208">
        <f t="shared" si="29"/>
        <v>36.270000000000003</v>
      </c>
      <c r="AF102" s="208">
        <v>0</v>
      </c>
      <c r="AG102" s="208">
        <v>0</v>
      </c>
      <c r="AH102" s="285" t="s">
        <v>271</v>
      </c>
      <c r="AI102" s="285">
        <v>2020</v>
      </c>
      <c r="AJ102" s="285">
        <v>2020</v>
      </c>
      <c r="AK102" s="152"/>
      <c r="AL102" s="152"/>
      <c r="AM102" s="152"/>
      <c r="AN102" s="152"/>
    </row>
    <row r="103" spans="1:40" s="293" customFormat="1" ht="62.25" x14ac:dyDescent="0.9">
      <c r="B103" s="294">
        <v>32</v>
      </c>
      <c r="C103" s="295" t="s">
        <v>1915</v>
      </c>
      <c r="D103" s="221" t="s">
        <v>1550</v>
      </c>
      <c r="E103" s="296">
        <v>0.94076119632908406</v>
      </c>
      <c r="F103" s="206">
        <f>P103+AE103</f>
        <v>24243.07</v>
      </c>
      <c r="G103" s="206">
        <v>0</v>
      </c>
      <c r="H103" s="206">
        <v>0</v>
      </c>
      <c r="I103" s="206">
        <v>0</v>
      </c>
      <c r="J103" s="206">
        <v>0</v>
      </c>
      <c r="K103" s="206">
        <v>0</v>
      </c>
      <c r="L103" s="206">
        <v>0</v>
      </c>
      <c r="M103" s="297">
        <v>0</v>
      </c>
      <c r="N103" s="206">
        <v>0</v>
      </c>
      <c r="O103" s="206">
        <v>985</v>
      </c>
      <c r="P103" s="206">
        <v>23884.799999999999</v>
      </c>
      <c r="Q103" s="206">
        <v>0</v>
      </c>
      <c r="R103" s="206">
        <v>0</v>
      </c>
      <c r="S103" s="206">
        <v>0</v>
      </c>
      <c r="T103" s="229">
        <v>0</v>
      </c>
      <c r="U103" s="206">
        <v>0</v>
      </c>
      <c r="V103" s="206">
        <v>0</v>
      </c>
      <c r="W103" s="206">
        <v>0</v>
      </c>
      <c r="X103" s="206">
        <v>0</v>
      </c>
      <c r="Y103" s="206">
        <v>0</v>
      </c>
      <c r="Z103" s="206">
        <v>0</v>
      </c>
      <c r="AA103" s="206">
        <v>0</v>
      </c>
      <c r="AB103" s="206">
        <v>0</v>
      </c>
      <c r="AC103" s="206">
        <v>0</v>
      </c>
      <c r="AD103" s="206">
        <v>0</v>
      </c>
      <c r="AE103" s="206">
        <f t="shared" si="29"/>
        <v>358.27</v>
      </c>
      <c r="AF103" s="206">
        <v>0</v>
      </c>
      <c r="AG103" s="206">
        <v>0</v>
      </c>
      <c r="AH103" s="298" t="s">
        <v>271</v>
      </c>
      <c r="AI103" s="298">
        <v>2020</v>
      </c>
      <c r="AJ103" s="298">
        <v>2020</v>
      </c>
      <c r="AK103" s="299"/>
      <c r="AL103" s="299"/>
      <c r="AM103" s="299"/>
      <c r="AN103" s="299"/>
    </row>
    <row r="104" spans="1:40" customFormat="1" ht="62.25" x14ac:dyDescent="0.9">
      <c r="B104" s="286" t="s">
        <v>835</v>
      </c>
      <c r="C104" s="287"/>
      <c r="D104" s="288" t="s">
        <v>903</v>
      </c>
      <c r="E104" s="284">
        <f>AVERAGE(E105:E108)</f>
        <v>0.6400023136337607</v>
      </c>
      <c r="F104" s="208">
        <f>SUM(F105:F108)</f>
        <v>3093758.95</v>
      </c>
      <c r="G104" s="208">
        <f t="shared" ref="G104:AG104" si="30">SUM(G105:G108)</f>
        <v>0</v>
      </c>
      <c r="H104" s="208">
        <f t="shared" si="30"/>
        <v>0</v>
      </c>
      <c r="I104" s="208">
        <f t="shared" si="30"/>
        <v>0</v>
      </c>
      <c r="J104" s="208">
        <f t="shared" si="30"/>
        <v>0</v>
      </c>
      <c r="K104" s="208">
        <f t="shared" si="30"/>
        <v>0</v>
      </c>
      <c r="L104" s="208">
        <f t="shared" si="30"/>
        <v>0</v>
      </c>
      <c r="M104" s="276">
        <f t="shared" si="30"/>
        <v>0</v>
      </c>
      <c r="N104" s="208">
        <f t="shared" si="30"/>
        <v>0</v>
      </c>
      <c r="O104" s="208">
        <f t="shared" si="30"/>
        <v>1984</v>
      </c>
      <c r="P104" s="208">
        <f t="shared" si="30"/>
        <v>3048038.37</v>
      </c>
      <c r="Q104" s="208">
        <f t="shared" si="30"/>
        <v>0</v>
      </c>
      <c r="R104" s="208">
        <f t="shared" si="30"/>
        <v>0</v>
      </c>
      <c r="S104" s="208">
        <f t="shared" si="30"/>
        <v>0</v>
      </c>
      <c r="T104" s="208">
        <f t="shared" si="30"/>
        <v>0</v>
      </c>
      <c r="U104" s="208">
        <f t="shared" si="30"/>
        <v>0</v>
      </c>
      <c r="V104" s="208">
        <f t="shared" si="30"/>
        <v>0</v>
      </c>
      <c r="W104" s="208">
        <f t="shared" si="30"/>
        <v>0</v>
      </c>
      <c r="X104" s="208">
        <f t="shared" si="30"/>
        <v>0</v>
      </c>
      <c r="Y104" s="208">
        <f t="shared" si="30"/>
        <v>0</v>
      </c>
      <c r="Z104" s="208">
        <f t="shared" si="30"/>
        <v>0</v>
      </c>
      <c r="AA104" s="208">
        <f t="shared" si="30"/>
        <v>0</v>
      </c>
      <c r="AB104" s="208">
        <f t="shared" si="30"/>
        <v>0</v>
      </c>
      <c r="AC104" s="208">
        <f t="shared" si="30"/>
        <v>0</v>
      </c>
      <c r="AD104" s="208">
        <f t="shared" si="30"/>
        <v>0</v>
      </c>
      <c r="AE104" s="208">
        <f t="shared" si="30"/>
        <v>45720.58</v>
      </c>
      <c r="AF104" s="208">
        <f t="shared" si="30"/>
        <v>0</v>
      </c>
      <c r="AG104" s="208">
        <f t="shared" si="30"/>
        <v>0</v>
      </c>
      <c r="AH104" s="285" t="s">
        <v>903</v>
      </c>
      <c r="AI104" s="285" t="s">
        <v>903</v>
      </c>
      <c r="AJ104" s="285" t="s">
        <v>903</v>
      </c>
      <c r="AK104" s="152"/>
      <c r="AL104" s="152"/>
      <c r="AM104" s="152"/>
      <c r="AN104" s="152"/>
    </row>
    <row r="105" spans="1:40" customFormat="1" ht="62.25" x14ac:dyDescent="0.9">
      <c r="A105">
        <v>1</v>
      </c>
      <c r="B105" s="274">
        <v>33</v>
      </c>
      <c r="C105" s="289" t="s">
        <v>1447</v>
      </c>
      <c r="D105" s="290" t="s">
        <v>1911</v>
      </c>
      <c r="E105" s="284">
        <v>0.4062203289705193</v>
      </c>
      <c r="F105" s="208">
        <f t="shared" si="24"/>
        <v>49155.21</v>
      </c>
      <c r="G105" s="208">
        <v>0</v>
      </c>
      <c r="H105" s="208">
        <v>0</v>
      </c>
      <c r="I105" s="208">
        <v>0</v>
      </c>
      <c r="J105" s="208">
        <v>0</v>
      </c>
      <c r="K105" s="208">
        <v>0</v>
      </c>
      <c r="L105" s="208">
        <v>0</v>
      </c>
      <c r="M105" s="276">
        <v>0</v>
      </c>
      <c r="N105" s="208">
        <v>0</v>
      </c>
      <c r="O105" s="300">
        <v>412</v>
      </c>
      <c r="P105" s="208">
        <v>48428.78</v>
      </c>
      <c r="Q105" s="208">
        <v>0</v>
      </c>
      <c r="R105" s="208">
        <v>0</v>
      </c>
      <c r="S105" s="208">
        <v>0</v>
      </c>
      <c r="T105" s="291">
        <v>0</v>
      </c>
      <c r="U105" s="208">
        <v>0</v>
      </c>
      <c r="V105" s="208">
        <v>0</v>
      </c>
      <c r="W105" s="208">
        <v>0</v>
      </c>
      <c r="X105" s="208">
        <v>0</v>
      </c>
      <c r="Y105" s="208">
        <v>0</v>
      </c>
      <c r="Z105" s="208">
        <v>0</v>
      </c>
      <c r="AA105" s="208">
        <v>0</v>
      </c>
      <c r="AB105" s="208">
        <v>0</v>
      </c>
      <c r="AC105" s="208">
        <v>0</v>
      </c>
      <c r="AD105" s="208">
        <v>0</v>
      </c>
      <c r="AE105" s="208">
        <f>ROUND(P105*1.5%,2)</f>
        <v>726.43</v>
      </c>
      <c r="AF105" s="208">
        <v>0</v>
      </c>
      <c r="AG105" s="208">
        <v>0</v>
      </c>
      <c r="AH105" s="285" t="s">
        <v>271</v>
      </c>
      <c r="AI105" s="285">
        <v>2020</v>
      </c>
      <c r="AJ105" s="285">
        <v>2020</v>
      </c>
      <c r="AK105" s="152"/>
      <c r="AL105" s="152"/>
      <c r="AM105" s="152"/>
      <c r="AN105" s="152"/>
    </row>
    <row r="106" spans="1:40" customFormat="1" ht="62.25" x14ac:dyDescent="0.9">
      <c r="A106">
        <v>1</v>
      </c>
      <c r="B106" s="274">
        <v>34</v>
      </c>
      <c r="C106" s="289" t="s">
        <v>1448</v>
      </c>
      <c r="D106" s="290" t="s">
        <v>1911</v>
      </c>
      <c r="E106" s="284">
        <v>0.69908892556452351</v>
      </c>
      <c r="F106" s="208">
        <f t="shared" si="24"/>
        <v>14754.83</v>
      </c>
      <c r="G106" s="208">
        <v>0</v>
      </c>
      <c r="H106" s="208">
        <v>0</v>
      </c>
      <c r="I106" s="208">
        <v>0</v>
      </c>
      <c r="J106" s="208">
        <v>0</v>
      </c>
      <c r="K106" s="208">
        <v>0</v>
      </c>
      <c r="L106" s="208">
        <v>0</v>
      </c>
      <c r="M106" s="276">
        <v>0</v>
      </c>
      <c r="N106" s="208">
        <v>0</v>
      </c>
      <c r="O106" s="208">
        <v>508</v>
      </c>
      <c r="P106" s="208">
        <v>14536.78</v>
      </c>
      <c r="Q106" s="208">
        <v>0</v>
      </c>
      <c r="R106" s="208">
        <v>0</v>
      </c>
      <c r="S106" s="208">
        <v>0</v>
      </c>
      <c r="T106" s="291">
        <v>0</v>
      </c>
      <c r="U106" s="208">
        <v>0</v>
      </c>
      <c r="V106" s="208">
        <v>0</v>
      </c>
      <c r="W106" s="208">
        <v>0</v>
      </c>
      <c r="X106" s="208">
        <v>0</v>
      </c>
      <c r="Y106" s="208">
        <v>0</v>
      </c>
      <c r="Z106" s="208">
        <v>0</v>
      </c>
      <c r="AA106" s="208">
        <v>0</v>
      </c>
      <c r="AB106" s="208">
        <v>0</v>
      </c>
      <c r="AC106" s="208">
        <v>0</v>
      </c>
      <c r="AD106" s="208">
        <v>0</v>
      </c>
      <c r="AE106" s="208">
        <f>ROUND(P106*1.5%,2)</f>
        <v>218.05</v>
      </c>
      <c r="AF106" s="208">
        <v>0</v>
      </c>
      <c r="AG106" s="208">
        <v>0</v>
      </c>
      <c r="AH106" s="285" t="s">
        <v>271</v>
      </c>
      <c r="AI106" s="285">
        <v>2020</v>
      </c>
      <c r="AJ106" s="285">
        <v>2020</v>
      </c>
      <c r="AK106" s="152"/>
      <c r="AL106" s="152"/>
      <c r="AM106" s="152"/>
      <c r="AN106" s="152"/>
    </row>
    <row r="107" spans="1:40" customFormat="1" ht="62.25" x14ac:dyDescent="0.9">
      <c r="A107">
        <v>1</v>
      </c>
      <c r="B107" s="274">
        <v>35</v>
      </c>
      <c r="C107" s="289" t="s">
        <v>1449</v>
      </c>
      <c r="D107" s="290" t="s">
        <v>1911</v>
      </c>
      <c r="E107" s="284">
        <v>0.53310000000000002</v>
      </c>
      <c r="F107" s="208">
        <f t="shared" si="24"/>
        <v>2981100.72</v>
      </c>
      <c r="G107" s="208">
        <v>0</v>
      </c>
      <c r="H107" s="208">
        <v>0</v>
      </c>
      <c r="I107" s="208">
        <v>0</v>
      </c>
      <c r="J107" s="208">
        <v>0</v>
      </c>
      <c r="K107" s="208">
        <v>0</v>
      </c>
      <c r="L107" s="208">
        <v>0</v>
      </c>
      <c r="M107" s="276">
        <v>0</v>
      </c>
      <c r="N107" s="208">
        <v>0</v>
      </c>
      <c r="O107" s="208">
        <v>730</v>
      </c>
      <c r="P107" s="208">
        <v>2937045.04</v>
      </c>
      <c r="Q107" s="208">
        <v>0</v>
      </c>
      <c r="R107" s="208">
        <v>0</v>
      </c>
      <c r="S107" s="208">
        <v>0</v>
      </c>
      <c r="T107" s="291">
        <v>0</v>
      </c>
      <c r="U107" s="208">
        <v>0</v>
      </c>
      <c r="V107" s="208">
        <v>0</v>
      </c>
      <c r="W107" s="208">
        <v>0</v>
      </c>
      <c r="X107" s="208">
        <v>0</v>
      </c>
      <c r="Y107" s="208">
        <v>0</v>
      </c>
      <c r="Z107" s="208">
        <v>0</v>
      </c>
      <c r="AA107" s="208">
        <v>0</v>
      </c>
      <c r="AB107" s="208">
        <v>0</v>
      </c>
      <c r="AC107" s="208">
        <v>0</v>
      </c>
      <c r="AD107" s="208">
        <v>0</v>
      </c>
      <c r="AE107" s="208">
        <f>ROUND(P107*1.5%,2)</f>
        <v>44055.68</v>
      </c>
      <c r="AF107" s="208">
        <v>0</v>
      </c>
      <c r="AG107" s="208">
        <v>0</v>
      </c>
      <c r="AH107" s="285" t="s">
        <v>271</v>
      </c>
      <c r="AI107" s="285">
        <v>2020</v>
      </c>
      <c r="AJ107" s="285">
        <v>2020</v>
      </c>
      <c r="AK107" s="152"/>
      <c r="AL107" s="152"/>
      <c r="AM107" s="152"/>
      <c r="AN107" s="152"/>
    </row>
    <row r="108" spans="1:40" customFormat="1" ht="62.25" x14ac:dyDescent="0.9">
      <c r="A108">
        <v>1</v>
      </c>
      <c r="B108" s="274">
        <v>36</v>
      </c>
      <c r="C108" s="289" t="s">
        <v>1450</v>
      </c>
      <c r="D108" s="290" t="s">
        <v>1910</v>
      </c>
      <c r="E108" s="284">
        <v>0.92159999999999997</v>
      </c>
      <c r="F108" s="208">
        <f t="shared" si="24"/>
        <v>48748.189999999995</v>
      </c>
      <c r="G108" s="208">
        <v>0</v>
      </c>
      <c r="H108" s="208">
        <v>0</v>
      </c>
      <c r="I108" s="208">
        <v>0</v>
      </c>
      <c r="J108" s="208">
        <v>0</v>
      </c>
      <c r="K108" s="208">
        <v>0</v>
      </c>
      <c r="L108" s="208">
        <v>0</v>
      </c>
      <c r="M108" s="276">
        <v>0</v>
      </c>
      <c r="N108" s="208">
        <v>0</v>
      </c>
      <c r="O108" s="208">
        <v>334</v>
      </c>
      <c r="P108" s="208">
        <v>48027.77</v>
      </c>
      <c r="Q108" s="208">
        <v>0</v>
      </c>
      <c r="R108" s="208">
        <v>0</v>
      </c>
      <c r="S108" s="208">
        <v>0</v>
      </c>
      <c r="T108" s="291">
        <v>0</v>
      </c>
      <c r="U108" s="208">
        <v>0</v>
      </c>
      <c r="V108" s="208">
        <v>0</v>
      </c>
      <c r="W108" s="208">
        <v>0</v>
      </c>
      <c r="X108" s="208">
        <v>0</v>
      </c>
      <c r="Y108" s="208">
        <v>0</v>
      </c>
      <c r="Z108" s="208">
        <v>0</v>
      </c>
      <c r="AA108" s="208">
        <v>0</v>
      </c>
      <c r="AB108" s="208">
        <v>0</v>
      </c>
      <c r="AC108" s="208">
        <v>0</v>
      </c>
      <c r="AD108" s="208">
        <v>0</v>
      </c>
      <c r="AE108" s="208">
        <f>ROUND(P108*1.5%,2)</f>
        <v>720.42</v>
      </c>
      <c r="AF108" s="208">
        <v>0</v>
      </c>
      <c r="AG108" s="208">
        <v>0</v>
      </c>
      <c r="AH108" s="285" t="s">
        <v>271</v>
      </c>
      <c r="AI108" s="285">
        <v>2020</v>
      </c>
      <c r="AJ108" s="285">
        <v>2020</v>
      </c>
      <c r="AK108" s="152"/>
      <c r="AL108" s="152"/>
      <c r="AM108" s="152"/>
      <c r="AN108" s="152"/>
    </row>
    <row r="109" spans="1:40" customFormat="1" ht="62.25" x14ac:dyDescent="0.9">
      <c r="B109" s="286" t="s">
        <v>773</v>
      </c>
      <c r="C109" s="287"/>
      <c r="D109" s="288" t="s">
        <v>903</v>
      </c>
      <c r="E109" s="284">
        <f>AVERAGE(E110:E139)</f>
        <v>0.86356413161943657</v>
      </c>
      <c r="F109" s="208">
        <f t="shared" ref="F109:AG109" si="31">SUM(F110:F139)</f>
        <v>9399611.4600000028</v>
      </c>
      <c r="G109" s="208">
        <f t="shared" si="31"/>
        <v>7510</v>
      </c>
      <c r="H109" s="208">
        <f t="shared" si="31"/>
        <v>0</v>
      </c>
      <c r="I109" s="208">
        <f t="shared" si="31"/>
        <v>0</v>
      </c>
      <c r="J109" s="208">
        <f t="shared" si="31"/>
        <v>0</v>
      </c>
      <c r="K109" s="208">
        <f t="shared" si="31"/>
        <v>265366.61</v>
      </c>
      <c r="L109" s="208">
        <f t="shared" si="31"/>
        <v>0</v>
      </c>
      <c r="M109" s="208">
        <f t="shared" si="31"/>
        <v>0</v>
      </c>
      <c r="N109" s="208">
        <f t="shared" si="31"/>
        <v>0</v>
      </c>
      <c r="O109" s="208">
        <f t="shared" si="31"/>
        <v>18074.939999999999</v>
      </c>
      <c r="P109" s="208">
        <f t="shared" si="31"/>
        <v>8325809.54</v>
      </c>
      <c r="Q109" s="208">
        <f t="shared" si="31"/>
        <v>0</v>
      </c>
      <c r="R109" s="208">
        <f t="shared" si="31"/>
        <v>0</v>
      </c>
      <c r="S109" s="208">
        <f t="shared" si="31"/>
        <v>5134.45</v>
      </c>
      <c r="T109" s="208">
        <f t="shared" si="31"/>
        <v>662014.80000000005</v>
      </c>
      <c r="U109" s="208">
        <f t="shared" si="31"/>
        <v>0</v>
      </c>
      <c r="V109" s="208">
        <f t="shared" si="31"/>
        <v>0</v>
      </c>
      <c r="W109" s="208">
        <f t="shared" si="31"/>
        <v>0</v>
      </c>
      <c r="X109" s="208">
        <f t="shared" si="31"/>
        <v>0</v>
      </c>
      <c r="Y109" s="208">
        <f t="shared" si="31"/>
        <v>0</v>
      </c>
      <c r="Z109" s="208">
        <f t="shared" si="31"/>
        <v>0</v>
      </c>
      <c r="AA109" s="208">
        <f t="shared" si="31"/>
        <v>0</v>
      </c>
      <c r="AB109" s="208">
        <f t="shared" si="31"/>
        <v>0</v>
      </c>
      <c r="AC109" s="208">
        <f t="shared" si="31"/>
        <v>0</v>
      </c>
      <c r="AD109" s="208">
        <f t="shared" si="31"/>
        <v>0</v>
      </c>
      <c r="AE109" s="208">
        <f t="shared" si="31"/>
        <v>138910.50999999995</v>
      </c>
      <c r="AF109" s="208">
        <f t="shared" si="31"/>
        <v>0</v>
      </c>
      <c r="AG109" s="208">
        <f t="shared" si="31"/>
        <v>0</v>
      </c>
      <c r="AH109" s="285" t="s">
        <v>903</v>
      </c>
      <c r="AI109" s="285" t="s">
        <v>903</v>
      </c>
      <c r="AJ109" s="285" t="s">
        <v>903</v>
      </c>
      <c r="AK109" s="152"/>
      <c r="AL109" s="152"/>
      <c r="AM109" s="152"/>
      <c r="AN109" s="152"/>
    </row>
    <row r="110" spans="1:40" customFormat="1" ht="62.25" x14ac:dyDescent="0.9">
      <c r="A110">
        <v>1</v>
      </c>
      <c r="B110" s="274">
        <v>37</v>
      </c>
      <c r="C110" s="289" t="s">
        <v>1451</v>
      </c>
      <c r="D110" s="290" t="s">
        <v>1910</v>
      </c>
      <c r="E110" s="284">
        <v>0.87120114478643584</v>
      </c>
      <c r="F110" s="208">
        <f t="shared" si="24"/>
        <v>15597.11</v>
      </c>
      <c r="G110" s="208">
        <v>0</v>
      </c>
      <c r="H110" s="208">
        <v>0</v>
      </c>
      <c r="I110" s="208">
        <v>0</v>
      </c>
      <c r="J110" s="208">
        <v>0</v>
      </c>
      <c r="K110" s="208">
        <v>15366.61</v>
      </c>
      <c r="L110" s="208">
        <v>0</v>
      </c>
      <c r="M110" s="276">
        <v>0</v>
      </c>
      <c r="N110" s="208">
        <v>0</v>
      </c>
      <c r="O110" s="208">
        <v>0</v>
      </c>
      <c r="P110" s="208">
        <v>0</v>
      </c>
      <c r="Q110" s="208">
        <v>0</v>
      </c>
      <c r="R110" s="208">
        <v>0</v>
      </c>
      <c r="S110" s="208">
        <v>0</v>
      </c>
      <c r="T110" s="291">
        <v>0</v>
      </c>
      <c r="U110" s="208">
        <v>0</v>
      </c>
      <c r="V110" s="208">
        <v>0</v>
      </c>
      <c r="W110" s="208">
        <v>0</v>
      </c>
      <c r="X110" s="208">
        <v>0</v>
      </c>
      <c r="Y110" s="208">
        <v>0</v>
      </c>
      <c r="Z110" s="208">
        <v>0</v>
      </c>
      <c r="AA110" s="208">
        <v>0</v>
      </c>
      <c r="AB110" s="208">
        <v>0</v>
      </c>
      <c r="AC110" s="208">
        <v>0</v>
      </c>
      <c r="AD110" s="208">
        <v>0</v>
      </c>
      <c r="AE110" s="208">
        <f>ROUND(K110*1.5%,2)</f>
        <v>230.5</v>
      </c>
      <c r="AF110" s="208">
        <v>0</v>
      </c>
      <c r="AG110" s="208">
        <v>0</v>
      </c>
      <c r="AH110" s="285" t="s">
        <v>271</v>
      </c>
      <c r="AI110" s="285">
        <v>2020</v>
      </c>
      <c r="AJ110" s="285">
        <v>2020</v>
      </c>
      <c r="AK110" s="152"/>
      <c r="AL110" s="152"/>
      <c r="AM110" s="152"/>
      <c r="AN110" s="152"/>
    </row>
    <row r="111" spans="1:40" customFormat="1" ht="62.25" x14ac:dyDescent="0.9">
      <c r="A111">
        <v>1</v>
      </c>
      <c r="B111" s="274">
        <v>38</v>
      </c>
      <c r="C111" s="289" t="s">
        <v>1452</v>
      </c>
      <c r="D111" s="290" t="s">
        <v>1910</v>
      </c>
      <c r="E111" s="284">
        <v>0.88725132075072177</v>
      </c>
      <c r="F111" s="208">
        <f t="shared" si="24"/>
        <v>2190830</v>
      </c>
      <c r="G111" s="208">
        <v>0</v>
      </c>
      <c r="H111" s="208">
        <v>0</v>
      </c>
      <c r="I111" s="208">
        <v>0</v>
      </c>
      <c r="J111" s="208">
        <v>0</v>
      </c>
      <c r="K111" s="208">
        <v>0</v>
      </c>
      <c r="L111" s="208">
        <v>0</v>
      </c>
      <c r="M111" s="276">
        <v>0</v>
      </c>
      <c r="N111" s="208">
        <v>0</v>
      </c>
      <c r="O111" s="208">
        <v>1600</v>
      </c>
      <c r="P111" s="208">
        <v>2158453.2000000002</v>
      </c>
      <c r="Q111" s="208">
        <v>0</v>
      </c>
      <c r="R111" s="208">
        <v>0</v>
      </c>
      <c r="S111" s="208">
        <v>0</v>
      </c>
      <c r="T111" s="291">
        <v>0</v>
      </c>
      <c r="U111" s="208">
        <v>0</v>
      </c>
      <c r="V111" s="208">
        <v>0</v>
      </c>
      <c r="W111" s="208">
        <v>0</v>
      </c>
      <c r="X111" s="208">
        <v>0</v>
      </c>
      <c r="Y111" s="208">
        <v>0</v>
      </c>
      <c r="Z111" s="208">
        <v>0</v>
      </c>
      <c r="AA111" s="208">
        <v>0</v>
      </c>
      <c r="AB111" s="208">
        <v>0</v>
      </c>
      <c r="AC111" s="208">
        <v>0</v>
      </c>
      <c r="AD111" s="208">
        <v>0</v>
      </c>
      <c r="AE111" s="208">
        <f t="shared" ref="AE111:AE118" si="32">ROUND(P111*1.5%,2)</f>
        <v>32376.799999999999</v>
      </c>
      <c r="AF111" s="208">
        <v>0</v>
      </c>
      <c r="AG111" s="208">
        <v>0</v>
      </c>
      <c r="AH111" s="285" t="s">
        <v>271</v>
      </c>
      <c r="AI111" s="285">
        <v>2020</v>
      </c>
      <c r="AJ111" s="285">
        <v>2020</v>
      </c>
      <c r="AK111" s="152"/>
      <c r="AL111" s="152"/>
      <c r="AM111" s="152"/>
      <c r="AN111" s="152"/>
    </row>
    <row r="112" spans="1:40" customFormat="1" ht="62.25" x14ac:dyDescent="0.9">
      <c r="A112">
        <v>1</v>
      </c>
      <c r="B112" s="274">
        <v>39</v>
      </c>
      <c r="C112" s="289" t="s">
        <v>1453</v>
      </c>
      <c r="D112" s="290" t="s">
        <v>1550</v>
      </c>
      <c r="E112" s="284">
        <v>0.86073469797958557</v>
      </c>
      <c r="F112" s="208">
        <f t="shared" si="24"/>
        <v>485978.33</v>
      </c>
      <c r="G112" s="208">
        <v>0</v>
      </c>
      <c r="H112" s="208">
        <v>0</v>
      </c>
      <c r="I112" s="208">
        <v>0</v>
      </c>
      <c r="J112" s="208">
        <v>0</v>
      </c>
      <c r="K112" s="208">
        <v>0</v>
      </c>
      <c r="L112" s="208">
        <v>0</v>
      </c>
      <c r="M112" s="276">
        <v>0</v>
      </c>
      <c r="N112" s="208">
        <v>0</v>
      </c>
      <c r="O112" s="208">
        <v>824.88</v>
      </c>
      <c r="P112" s="208">
        <v>478796.38</v>
      </c>
      <c r="Q112" s="208">
        <v>0</v>
      </c>
      <c r="R112" s="208">
        <v>0</v>
      </c>
      <c r="S112" s="208">
        <v>0</v>
      </c>
      <c r="T112" s="291">
        <v>0</v>
      </c>
      <c r="U112" s="208">
        <v>0</v>
      </c>
      <c r="V112" s="208">
        <v>0</v>
      </c>
      <c r="W112" s="208">
        <v>0</v>
      </c>
      <c r="X112" s="208">
        <v>0</v>
      </c>
      <c r="Y112" s="208">
        <v>0</v>
      </c>
      <c r="Z112" s="208">
        <v>0</v>
      </c>
      <c r="AA112" s="208">
        <v>0</v>
      </c>
      <c r="AB112" s="208">
        <v>0</v>
      </c>
      <c r="AC112" s="208">
        <v>0</v>
      </c>
      <c r="AD112" s="208">
        <v>0</v>
      </c>
      <c r="AE112" s="208">
        <f t="shared" si="32"/>
        <v>7181.95</v>
      </c>
      <c r="AF112" s="208">
        <v>0</v>
      </c>
      <c r="AG112" s="208">
        <v>0</v>
      </c>
      <c r="AH112" s="285" t="s">
        <v>271</v>
      </c>
      <c r="AI112" s="285">
        <v>2020</v>
      </c>
      <c r="AJ112" s="285">
        <v>2020</v>
      </c>
      <c r="AK112" s="152"/>
      <c r="AL112" s="152"/>
      <c r="AM112" s="152"/>
      <c r="AN112" s="152"/>
    </row>
    <row r="113" spans="1:40" customFormat="1" ht="62.25" x14ac:dyDescent="0.9">
      <c r="A113">
        <v>1</v>
      </c>
      <c r="B113" s="274">
        <v>40</v>
      </c>
      <c r="C113" s="289" t="s">
        <v>1454</v>
      </c>
      <c r="D113" s="290" t="s">
        <v>1911</v>
      </c>
      <c r="E113" s="284">
        <v>0.94940000000000002</v>
      </c>
      <c r="F113" s="208">
        <f t="shared" si="24"/>
        <v>450455.92</v>
      </c>
      <c r="G113" s="208">
        <v>0</v>
      </c>
      <c r="H113" s="208">
        <v>0</v>
      </c>
      <c r="I113" s="208">
        <v>0</v>
      </c>
      <c r="J113" s="208">
        <v>0</v>
      </c>
      <c r="K113" s="208">
        <v>0</v>
      </c>
      <c r="L113" s="208">
        <v>0</v>
      </c>
      <c r="M113" s="276">
        <v>0</v>
      </c>
      <c r="N113" s="208">
        <v>0</v>
      </c>
      <c r="O113" s="208">
        <v>477.6</v>
      </c>
      <c r="P113" s="208">
        <v>443798.94</v>
      </c>
      <c r="Q113" s="208">
        <v>0</v>
      </c>
      <c r="R113" s="208">
        <v>0</v>
      </c>
      <c r="S113" s="208">
        <v>0</v>
      </c>
      <c r="T113" s="291">
        <v>0</v>
      </c>
      <c r="U113" s="208">
        <v>0</v>
      </c>
      <c r="V113" s="208">
        <v>0</v>
      </c>
      <c r="W113" s="208">
        <v>0</v>
      </c>
      <c r="X113" s="208">
        <v>0</v>
      </c>
      <c r="Y113" s="208">
        <v>0</v>
      </c>
      <c r="Z113" s="208">
        <v>0</v>
      </c>
      <c r="AA113" s="208">
        <v>0</v>
      </c>
      <c r="AB113" s="208">
        <v>0</v>
      </c>
      <c r="AC113" s="208">
        <v>0</v>
      </c>
      <c r="AD113" s="208">
        <v>0</v>
      </c>
      <c r="AE113" s="208">
        <f t="shared" si="32"/>
        <v>6656.98</v>
      </c>
      <c r="AF113" s="208">
        <v>0</v>
      </c>
      <c r="AG113" s="208">
        <v>0</v>
      </c>
      <c r="AH113" s="285" t="s">
        <v>271</v>
      </c>
      <c r="AI113" s="285">
        <v>2020</v>
      </c>
      <c r="AJ113" s="285">
        <v>2020</v>
      </c>
      <c r="AK113" s="152"/>
      <c r="AL113" s="152"/>
      <c r="AM113" s="152"/>
      <c r="AN113" s="152"/>
    </row>
    <row r="114" spans="1:40" customFormat="1" ht="62.25" x14ac:dyDescent="0.9">
      <c r="A114">
        <v>1</v>
      </c>
      <c r="B114" s="274">
        <v>41</v>
      </c>
      <c r="C114" s="289" t="s">
        <v>1455</v>
      </c>
      <c r="D114" s="290" t="s">
        <v>1910</v>
      </c>
      <c r="E114" s="284">
        <v>0.50380000000000003</v>
      </c>
      <c r="F114" s="208">
        <f t="shared" si="24"/>
        <v>428766.45</v>
      </c>
      <c r="G114" s="208">
        <v>0</v>
      </c>
      <c r="H114" s="208">
        <v>0</v>
      </c>
      <c r="I114" s="208">
        <v>0</v>
      </c>
      <c r="J114" s="208">
        <v>0</v>
      </c>
      <c r="K114" s="208">
        <v>0</v>
      </c>
      <c r="L114" s="208">
        <v>0</v>
      </c>
      <c r="M114" s="276">
        <v>0</v>
      </c>
      <c r="N114" s="208">
        <v>0</v>
      </c>
      <c r="O114" s="208">
        <v>431.8</v>
      </c>
      <c r="P114" s="208">
        <v>422430</v>
      </c>
      <c r="Q114" s="208">
        <v>0</v>
      </c>
      <c r="R114" s="208">
        <v>0</v>
      </c>
      <c r="S114" s="208">
        <v>0</v>
      </c>
      <c r="T114" s="291">
        <v>0</v>
      </c>
      <c r="U114" s="208">
        <v>0</v>
      </c>
      <c r="V114" s="208">
        <v>0</v>
      </c>
      <c r="W114" s="208">
        <v>0</v>
      </c>
      <c r="X114" s="208">
        <v>0</v>
      </c>
      <c r="Y114" s="208">
        <v>0</v>
      </c>
      <c r="Z114" s="208">
        <v>0</v>
      </c>
      <c r="AA114" s="208">
        <v>0</v>
      </c>
      <c r="AB114" s="208">
        <v>0</v>
      </c>
      <c r="AC114" s="208">
        <v>0</v>
      </c>
      <c r="AD114" s="208">
        <v>0</v>
      </c>
      <c r="AE114" s="208">
        <f t="shared" si="32"/>
        <v>6336.45</v>
      </c>
      <c r="AF114" s="208">
        <v>0</v>
      </c>
      <c r="AG114" s="208">
        <v>0</v>
      </c>
      <c r="AH114" s="285" t="s">
        <v>271</v>
      </c>
      <c r="AI114" s="285">
        <v>2020</v>
      </c>
      <c r="AJ114" s="285">
        <v>2020</v>
      </c>
      <c r="AK114" s="152"/>
      <c r="AL114" s="152"/>
      <c r="AM114" s="152"/>
      <c r="AN114" s="152"/>
    </row>
    <row r="115" spans="1:40" customFormat="1" ht="62.25" x14ac:dyDescent="0.9">
      <c r="A115">
        <v>1</v>
      </c>
      <c r="B115" s="274">
        <v>42</v>
      </c>
      <c r="C115" s="289" t="s">
        <v>1456</v>
      </c>
      <c r="D115" s="290" t="s">
        <v>1910</v>
      </c>
      <c r="E115" s="284">
        <v>0.97430000000000005</v>
      </c>
      <c r="F115" s="208">
        <f t="shared" si="24"/>
        <v>32554.69</v>
      </c>
      <c r="G115" s="208">
        <v>0</v>
      </c>
      <c r="H115" s="208">
        <v>0</v>
      </c>
      <c r="I115" s="208">
        <v>0</v>
      </c>
      <c r="J115" s="208">
        <v>0</v>
      </c>
      <c r="K115" s="208">
        <v>0</v>
      </c>
      <c r="L115" s="208">
        <v>0</v>
      </c>
      <c r="M115" s="276">
        <v>0</v>
      </c>
      <c r="N115" s="208">
        <v>0</v>
      </c>
      <c r="O115" s="208">
        <v>775</v>
      </c>
      <c r="P115" s="208">
        <v>32073.59</v>
      </c>
      <c r="Q115" s="208">
        <v>0</v>
      </c>
      <c r="R115" s="208">
        <v>0</v>
      </c>
      <c r="S115" s="208">
        <v>0</v>
      </c>
      <c r="T115" s="291">
        <v>0</v>
      </c>
      <c r="U115" s="208">
        <v>0</v>
      </c>
      <c r="V115" s="208">
        <v>0</v>
      </c>
      <c r="W115" s="208">
        <v>0</v>
      </c>
      <c r="X115" s="208">
        <v>0</v>
      </c>
      <c r="Y115" s="208">
        <v>0</v>
      </c>
      <c r="Z115" s="208">
        <v>0</v>
      </c>
      <c r="AA115" s="208">
        <v>0</v>
      </c>
      <c r="AB115" s="208">
        <v>0</v>
      </c>
      <c r="AC115" s="208">
        <v>0</v>
      </c>
      <c r="AD115" s="208">
        <v>0</v>
      </c>
      <c r="AE115" s="208">
        <f t="shared" si="32"/>
        <v>481.1</v>
      </c>
      <c r="AF115" s="208">
        <v>0</v>
      </c>
      <c r="AG115" s="208">
        <v>0</v>
      </c>
      <c r="AH115" s="285" t="s">
        <v>271</v>
      </c>
      <c r="AI115" s="285">
        <v>2020</v>
      </c>
      <c r="AJ115" s="285">
        <v>2020</v>
      </c>
      <c r="AK115" s="152"/>
      <c r="AL115" s="152"/>
      <c r="AM115" s="152"/>
      <c r="AN115" s="152"/>
    </row>
    <row r="116" spans="1:40" customFormat="1" ht="62.25" x14ac:dyDescent="0.9">
      <c r="A116">
        <v>1</v>
      </c>
      <c r="B116" s="274">
        <v>43</v>
      </c>
      <c r="C116" s="289" t="s">
        <v>1457</v>
      </c>
      <c r="D116" s="290" t="s">
        <v>1910</v>
      </c>
      <c r="E116" s="284">
        <v>0.93600000000000005</v>
      </c>
      <c r="F116" s="208">
        <f t="shared" si="24"/>
        <v>1176153.3600000001</v>
      </c>
      <c r="G116" s="208">
        <v>0</v>
      </c>
      <c r="H116" s="208">
        <v>0</v>
      </c>
      <c r="I116" s="208">
        <v>0</v>
      </c>
      <c r="J116" s="208">
        <v>0</v>
      </c>
      <c r="K116" s="208">
        <v>0</v>
      </c>
      <c r="L116" s="208">
        <v>0</v>
      </c>
      <c r="M116" s="276">
        <v>0</v>
      </c>
      <c r="N116" s="208">
        <v>0</v>
      </c>
      <c r="O116" s="208">
        <v>1110</v>
      </c>
      <c r="P116" s="208">
        <v>1158771.78</v>
      </c>
      <c r="Q116" s="208">
        <v>0</v>
      </c>
      <c r="R116" s="208">
        <v>0</v>
      </c>
      <c r="S116" s="208">
        <v>0</v>
      </c>
      <c r="T116" s="291">
        <v>0</v>
      </c>
      <c r="U116" s="208">
        <v>0</v>
      </c>
      <c r="V116" s="208">
        <v>0</v>
      </c>
      <c r="W116" s="208">
        <v>0</v>
      </c>
      <c r="X116" s="208">
        <v>0</v>
      </c>
      <c r="Y116" s="208">
        <v>0</v>
      </c>
      <c r="Z116" s="208">
        <v>0</v>
      </c>
      <c r="AA116" s="208">
        <v>0</v>
      </c>
      <c r="AB116" s="208">
        <v>0</v>
      </c>
      <c r="AC116" s="208">
        <v>0</v>
      </c>
      <c r="AD116" s="208">
        <v>0</v>
      </c>
      <c r="AE116" s="208">
        <f t="shared" si="32"/>
        <v>17381.580000000002</v>
      </c>
      <c r="AF116" s="208">
        <v>0</v>
      </c>
      <c r="AG116" s="208">
        <v>0</v>
      </c>
      <c r="AH116" s="285" t="s">
        <v>271</v>
      </c>
      <c r="AI116" s="285">
        <v>2020</v>
      </c>
      <c r="AJ116" s="285">
        <v>2020</v>
      </c>
      <c r="AK116" s="152"/>
      <c r="AL116" s="152"/>
      <c r="AM116" s="152"/>
      <c r="AN116" s="152"/>
    </row>
    <row r="117" spans="1:40" customFormat="1" ht="62.25" x14ac:dyDescent="0.9">
      <c r="A117">
        <v>1</v>
      </c>
      <c r="B117" s="274">
        <v>44</v>
      </c>
      <c r="C117" s="289" t="s">
        <v>1458</v>
      </c>
      <c r="D117" s="290" t="s">
        <v>1910</v>
      </c>
      <c r="E117" s="284">
        <v>0.91669999999999996</v>
      </c>
      <c r="F117" s="208">
        <f t="shared" si="24"/>
        <v>99562.97</v>
      </c>
      <c r="G117" s="208">
        <v>0</v>
      </c>
      <c r="H117" s="208">
        <v>0</v>
      </c>
      <c r="I117" s="208">
        <v>0</v>
      </c>
      <c r="J117" s="208">
        <v>0</v>
      </c>
      <c r="K117" s="208">
        <v>0</v>
      </c>
      <c r="L117" s="208">
        <v>0</v>
      </c>
      <c r="M117" s="276">
        <v>0</v>
      </c>
      <c r="N117" s="208">
        <v>0</v>
      </c>
      <c r="O117" s="208">
        <v>1586.2</v>
      </c>
      <c r="P117" s="208">
        <v>98091.6</v>
      </c>
      <c r="Q117" s="208">
        <v>0</v>
      </c>
      <c r="R117" s="208">
        <v>0</v>
      </c>
      <c r="S117" s="208">
        <v>0</v>
      </c>
      <c r="T117" s="208">
        <v>0</v>
      </c>
      <c r="U117" s="208">
        <v>0</v>
      </c>
      <c r="V117" s="208">
        <v>0</v>
      </c>
      <c r="W117" s="208">
        <v>0</v>
      </c>
      <c r="X117" s="208">
        <v>0</v>
      </c>
      <c r="Y117" s="208">
        <v>0</v>
      </c>
      <c r="Z117" s="208">
        <v>0</v>
      </c>
      <c r="AA117" s="208">
        <v>0</v>
      </c>
      <c r="AB117" s="208">
        <v>0</v>
      </c>
      <c r="AC117" s="208">
        <v>0</v>
      </c>
      <c r="AD117" s="208">
        <v>0</v>
      </c>
      <c r="AE117" s="208">
        <f t="shared" si="32"/>
        <v>1471.37</v>
      </c>
      <c r="AF117" s="208">
        <v>0</v>
      </c>
      <c r="AG117" s="208">
        <v>0</v>
      </c>
      <c r="AH117" s="285" t="s">
        <v>271</v>
      </c>
      <c r="AI117" s="285">
        <v>2020</v>
      </c>
      <c r="AJ117" s="285">
        <v>2020</v>
      </c>
      <c r="AK117" s="152"/>
      <c r="AL117" s="152"/>
      <c r="AM117" s="152"/>
      <c r="AN117" s="152"/>
    </row>
    <row r="118" spans="1:40" customFormat="1" ht="62.25" x14ac:dyDescent="0.9">
      <c r="A118">
        <v>1</v>
      </c>
      <c r="B118" s="274">
        <v>45</v>
      </c>
      <c r="C118" s="289" t="s">
        <v>1459</v>
      </c>
      <c r="D118" s="290" t="s">
        <v>1910</v>
      </c>
      <c r="E118" s="284">
        <v>0.87539999999999996</v>
      </c>
      <c r="F118" s="208">
        <f t="shared" si="24"/>
        <v>2522.4300000000003</v>
      </c>
      <c r="G118" s="208">
        <v>0</v>
      </c>
      <c r="H118" s="208">
        <v>0</v>
      </c>
      <c r="I118" s="208">
        <v>0</v>
      </c>
      <c r="J118" s="208">
        <v>0</v>
      </c>
      <c r="K118" s="208">
        <v>0</v>
      </c>
      <c r="L118" s="208">
        <v>0</v>
      </c>
      <c r="M118" s="276">
        <v>0</v>
      </c>
      <c r="N118" s="208">
        <v>0</v>
      </c>
      <c r="O118" s="208">
        <v>711</v>
      </c>
      <c r="P118" s="208">
        <v>2485.15</v>
      </c>
      <c r="Q118" s="208">
        <v>0</v>
      </c>
      <c r="R118" s="208">
        <v>0</v>
      </c>
      <c r="S118" s="208">
        <v>0</v>
      </c>
      <c r="T118" s="208">
        <v>0</v>
      </c>
      <c r="U118" s="208">
        <v>0</v>
      </c>
      <c r="V118" s="208">
        <v>0</v>
      </c>
      <c r="W118" s="208">
        <v>0</v>
      </c>
      <c r="X118" s="208">
        <v>0</v>
      </c>
      <c r="Y118" s="208">
        <v>0</v>
      </c>
      <c r="Z118" s="208">
        <v>0</v>
      </c>
      <c r="AA118" s="208">
        <v>0</v>
      </c>
      <c r="AB118" s="208">
        <v>0</v>
      </c>
      <c r="AC118" s="208">
        <v>0</v>
      </c>
      <c r="AD118" s="208">
        <v>0</v>
      </c>
      <c r="AE118" s="208">
        <f t="shared" si="32"/>
        <v>37.28</v>
      </c>
      <c r="AF118" s="208">
        <v>0</v>
      </c>
      <c r="AG118" s="208">
        <v>0</v>
      </c>
      <c r="AH118" s="285" t="s">
        <v>271</v>
      </c>
      <c r="AI118" s="285">
        <v>2020</v>
      </c>
      <c r="AJ118" s="285">
        <v>2020</v>
      </c>
      <c r="AK118" s="152"/>
      <c r="AL118" s="152"/>
      <c r="AM118" s="152"/>
      <c r="AN118" s="152"/>
    </row>
    <row r="119" spans="1:40" customFormat="1" ht="62.25" x14ac:dyDescent="0.9">
      <c r="A119">
        <v>1</v>
      </c>
      <c r="B119" s="274">
        <v>46</v>
      </c>
      <c r="C119" s="289" t="s">
        <v>1460</v>
      </c>
      <c r="D119" s="292" t="s">
        <v>1910</v>
      </c>
      <c r="E119" s="284">
        <v>0.86950000000000005</v>
      </c>
      <c r="F119" s="208">
        <f t="shared" si="24"/>
        <v>253750</v>
      </c>
      <c r="G119" s="208">
        <v>0</v>
      </c>
      <c r="H119" s="208">
        <v>0</v>
      </c>
      <c r="I119" s="208">
        <v>0</v>
      </c>
      <c r="J119" s="208">
        <v>0</v>
      </c>
      <c r="K119" s="208">
        <v>250000</v>
      </c>
      <c r="L119" s="208">
        <v>0</v>
      </c>
      <c r="M119" s="276">
        <v>0</v>
      </c>
      <c r="N119" s="208">
        <v>0</v>
      </c>
      <c r="O119" s="208">
        <v>0</v>
      </c>
      <c r="P119" s="208">
        <v>0</v>
      </c>
      <c r="Q119" s="208">
        <v>0</v>
      </c>
      <c r="R119" s="208">
        <v>0</v>
      </c>
      <c r="S119" s="208">
        <v>0</v>
      </c>
      <c r="T119" s="208">
        <v>0</v>
      </c>
      <c r="U119" s="208">
        <v>0</v>
      </c>
      <c r="V119" s="208">
        <v>0</v>
      </c>
      <c r="W119" s="208">
        <v>0</v>
      </c>
      <c r="X119" s="208">
        <v>0</v>
      </c>
      <c r="Y119" s="208">
        <v>0</v>
      </c>
      <c r="Z119" s="208">
        <v>0</v>
      </c>
      <c r="AA119" s="208">
        <v>0</v>
      </c>
      <c r="AB119" s="208">
        <v>0</v>
      </c>
      <c r="AC119" s="208">
        <v>0</v>
      </c>
      <c r="AD119" s="208">
        <v>0</v>
      </c>
      <c r="AE119" s="208">
        <f>ROUND(K119*1.5%,2)</f>
        <v>3750</v>
      </c>
      <c r="AF119" s="208">
        <v>0</v>
      </c>
      <c r="AG119" s="208">
        <v>0</v>
      </c>
      <c r="AH119" s="285" t="s">
        <v>271</v>
      </c>
      <c r="AI119" s="285">
        <v>2020</v>
      </c>
      <c r="AJ119" s="285">
        <v>2020</v>
      </c>
      <c r="AK119" s="152"/>
      <c r="AL119" s="152"/>
      <c r="AM119" s="152"/>
      <c r="AN119" s="152"/>
    </row>
    <row r="120" spans="1:40" customFormat="1" ht="62.25" x14ac:dyDescent="0.9">
      <c r="A120">
        <v>1</v>
      </c>
      <c r="B120" s="274">
        <v>47</v>
      </c>
      <c r="C120" s="289" t="s">
        <v>1461</v>
      </c>
      <c r="D120" s="290" t="s">
        <v>1910</v>
      </c>
      <c r="E120" s="284">
        <v>0.94930000000000003</v>
      </c>
      <c r="F120" s="208">
        <f t="shared" si="24"/>
        <v>48135.66</v>
      </c>
      <c r="G120" s="208">
        <v>0</v>
      </c>
      <c r="H120" s="208">
        <v>0</v>
      </c>
      <c r="I120" s="208">
        <v>0</v>
      </c>
      <c r="J120" s="208">
        <v>0</v>
      </c>
      <c r="K120" s="208">
        <v>0</v>
      </c>
      <c r="L120" s="208">
        <v>0</v>
      </c>
      <c r="M120" s="276">
        <v>0</v>
      </c>
      <c r="N120" s="208">
        <v>0</v>
      </c>
      <c r="O120" s="208">
        <v>649.79999999999995</v>
      </c>
      <c r="P120" s="208">
        <v>47424.3</v>
      </c>
      <c r="Q120" s="208">
        <v>0</v>
      </c>
      <c r="R120" s="208">
        <v>0</v>
      </c>
      <c r="S120" s="208">
        <v>0</v>
      </c>
      <c r="T120" s="208">
        <v>0</v>
      </c>
      <c r="U120" s="208">
        <v>0</v>
      </c>
      <c r="V120" s="208">
        <v>0</v>
      </c>
      <c r="W120" s="208">
        <v>0</v>
      </c>
      <c r="X120" s="208">
        <v>0</v>
      </c>
      <c r="Y120" s="208">
        <v>0</v>
      </c>
      <c r="Z120" s="208">
        <v>0</v>
      </c>
      <c r="AA120" s="208">
        <v>0</v>
      </c>
      <c r="AB120" s="208">
        <v>0</v>
      </c>
      <c r="AC120" s="208">
        <v>0</v>
      </c>
      <c r="AD120" s="208">
        <v>0</v>
      </c>
      <c r="AE120" s="208">
        <f>ROUND(P120*1.5%,2)</f>
        <v>711.36</v>
      </c>
      <c r="AF120" s="208">
        <v>0</v>
      </c>
      <c r="AG120" s="208">
        <v>0</v>
      </c>
      <c r="AH120" s="285" t="s">
        <v>271</v>
      </c>
      <c r="AI120" s="285">
        <v>2020</v>
      </c>
      <c r="AJ120" s="285">
        <v>2020</v>
      </c>
      <c r="AK120" s="152"/>
      <c r="AL120" s="152"/>
      <c r="AM120" s="152"/>
      <c r="AN120" s="152"/>
    </row>
    <row r="121" spans="1:40" customFormat="1" ht="62.25" x14ac:dyDescent="0.9">
      <c r="A121">
        <v>1</v>
      </c>
      <c r="B121" s="274">
        <v>48</v>
      </c>
      <c r="C121" s="289" t="s">
        <v>1462</v>
      </c>
      <c r="D121" s="290" t="s">
        <v>1911</v>
      </c>
      <c r="E121" s="284">
        <v>0.79333438101544396</v>
      </c>
      <c r="F121" s="208">
        <f t="shared" si="24"/>
        <v>1177488.75</v>
      </c>
      <c r="G121" s="208">
        <v>0</v>
      </c>
      <c r="H121" s="208">
        <v>0</v>
      </c>
      <c r="I121" s="208">
        <v>0</v>
      </c>
      <c r="J121" s="208">
        <v>0</v>
      </c>
      <c r="K121" s="208">
        <v>0</v>
      </c>
      <c r="L121" s="208">
        <v>0</v>
      </c>
      <c r="M121" s="276">
        <v>0</v>
      </c>
      <c r="N121" s="208">
        <v>0</v>
      </c>
      <c r="O121" s="208">
        <v>1265</v>
      </c>
      <c r="P121" s="208">
        <v>1160087.44</v>
      </c>
      <c r="Q121" s="208">
        <v>0</v>
      </c>
      <c r="R121" s="208">
        <v>0</v>
      </c>
      <c r="S121" s="208">
        <v>0</v>
      </c>
      <c r="T121" s="208">
        <v>0</v>
      </c>
      <c r="U121" s="208">
        <v>0</v>
      </c>
      <c r="V121" s="208">
        <v>0</v>
      </c>
      <c r="W121" s="208">
        <v>0</v>
      </c>
      <c r="X121" s="208">
        <v>0</v>
      </c>
      <c r="Y121" s="208">
        <v>0</v>
      </c>
      <c r="Z121" s="208">
        <v>0</v>
      </c>
      <c r="AA121" s="208">
        <v>0</v>
      </c>
      <c r="AB121" s="208">
        <v>0</v>
      </c>
      <c r="AC121" s="208">
        <v>0</v>
      </c>
      <c r="AD121" s="208">
        <v>0</v>
      </c>
      <c r="AE121" s="208">
        <f>ROUND(P121*1.5%,2)</f>
        <v>17401.310000000001</v>
      </c>
      <c r="AF121" s="208">
        <v>0</v>
      </c>
      <c r="AG121" s="208">
        <v>0</v>
      </c>
      <c r="AH121" s="285" t="s">
        <v>271</v>
      </c>
      <c r="AI121" s="285">
        <v>2020</v>
      </c>
      <c r="AJ121" s="285">
        <v>2020</v>
      </c>
      <c r="AK121" s="152"/>
      <c r="AL121" s="152"/>
      <c r="AM121" s="152"/>
      <c r="AN121" s="152"/>
    </row>
    <row r="122" spans="1:40" customFormat="1" ht="62.25" x14ac:dyDescent="0.9">
      <c r="A122">
        <v>1</v>
      </c>
      <c r="B122" s="274">
        <v>49</v>
      </c>
      <c r="C122" s="289" t="s">
        <v>1463</v>
      </c>
      <c r="D122" s="290" t="s">
        <v>1910</v>
      </c>
      <c r="E122" s="284">
        <v>0.91920000000000002</v>
      </c>
      <c r="F122" s="208">
        <f t="shared" si="24"/>
        <v>186610.06</v>
      </c>
      <c r="G122" s="208">
        <v>0</v>
      </c>
      <c r="H122" s="208">
        <v>0</v>
      </c>
      <c r="I122" s="208">
        <v>0</v>
      </c>
      <c r="J122" s="208">
        <v>0</v>
      </c>
      <c r="K122" s="208">
        <v>0</v>
      </c>
      <c r="L122" s="208">
        <v>0</v>
      </c>
      <c r="M122" s="276">
        <v>0</v>
      </c>
      <c r="N122" s="208">
        <v>0</v>
      </c>
      <c r="O122" s="208">
        <v>1166</v>
      </c>
      <c r="P122" s="208">
        <v>183852.28</v>
      </c>
      <c r="Q122" s="208">
        <v>0</v>
      </c>
      <c r="R122" s="208">
        <v>0</v>
      </c>
      <c r="S122" s="208">
        <v>0</v>
      </c>
      <c r="T122" s="291">
        <v>0</v>
      </c>
      <c r="U122" s="208">
        <v>0</v>
      </c>
      <c r="V122" s="208">
        <v>0</v>
      </c>
      <c r="W122" s="208">
        <v>0</v>
      </c>
      <c r="X122" s="208">
        <v>0</v>
      </c>
      <c r="Y122" s="208">
        <v>0</v>
      </c>
      <c r="Z122" s="208">
        <v>0</v>
      </c>
      <c r="AA122" s="208">
        <v>0</v>
      </c>
      <c r="AB122" s="208">
        <v>0</v>
      </c>
      <c r="AC122" s="208">
        <v>0</v>
      </c>
      <c r="AD122" s="208">
        <v>0</v>
      </c>
      <c r="AE122" s="208">
        <f>ROUND(P122*1.5%,2)</f>
        <v>2757.78</v>
      </c>
      <c r="AF122" s="208">
        <v>0</v>
      </c>
      <c r="AG122" s="208">
        <v>0</v>
      </c>
      <c r="AH122" s="285" t="s">
        <v>271</v>
      </c>
      <c r="AI122" s="285">
        <v>2020</v>
      </c>
      <c r="AJ122" s="285">
        <v>2020</v>
      </c>
      <c r="AK122" s="152"/>
      <c r="AL122" s="152"/>
      <c r="AM122" s="152"/>
      <c r="AN122" s="152"/>
    </row>
    <row r="123" spans="1:40" customFormat="1" ht="62.25" x14ac:dyDescent="0.9">
      <c r="A123">
        <v>1</v>
      </c>
      <c r="B123" s="274">
        <v>50</v>
      </c>
      <c r="C123" s="289" t="s">
        <v>1464</v>
      </c>
      <c r="D123" s="292" t="s">
        <v>1911</v>
      </c>
      <c r="E123" s="284">
        <v>0.80210000000000004</v>
      </c>
      <c r="F123" s="208">
        <f t="shared" si="24"/>
        <v>69345.69</v>
      </c>
      <c r="G123" s="208">
        <v>0</v>
      </c>
      <c r="H123" s="208">
        <v>0</v>
      </c>
      <c r="I123" s="208">
        <v>0</v>
      </c>
      <c r="J123" s="208">
        <v>0</v>
      </c>
      <c r="K123" s="208">
        <v>0</v>
      </c>
      <c r="L123" s="208">
        <v>0</v>
      </c>
      <c r="M123" s="276">
        <v>0</v>
      </c>
      <c r="N123" s="208">
        <v>0</v>
      </c>
      <c r="O123" s="208">
        <v>0</v>
      </c>
      <c r="P123" s="208">
        <v>0</v>
      </c>
      <c r="Q123" s="208">
        <v>0</v>
      </c>
      <c r="R123" s="208">
        <v>0</v>
      </c>
      <c r="S123" s="208">
        <v>276.85000000000002</v>
      </c>
      <c r="T123" s="208">
        <v>68320.88</v>
      </c>
      <c r="U123" s="208">
        <v>0</v>
      </c>
      <c r="V123" s="208">
        <v>0</v>
      </c>
      <c r="W123" s="208">
        <v>0</v>
      </c>
      <c r="X123" s="208">
        <v>0</v>
      </c>
      <c r="Y123" s="208">
        <v>0</v>
      </c>
      <c r="Z123" s="208">
        <v>0</v>
      </c>
      <c r="AA123" s="208">
        <v>0</v>
      </c>
      <c r="AB123" s="208">
        <v>0</v>
      </c>
      <c r="AC123" s="208">
        <v>0</v>
      </c>
      <c r="AD123" s="208">
        <v>0</v>
      </c>
      <c r="AE123" s="208">
        <f>ROUND(T123*1.5%,2)</f>
        <v>1024.81</v>
      </c>
      <c r="AF123" s="208">
        <v>0</v>
      </c>
      <c r="AG123" s="208">
        <v>0</v>
      </c>
      <c r="AH123" s="285" t="s">
        <v>271</v>
      </c>
      <c r="AI123" s="285">
        <v>2020</v>
      </c>
      <c r="AJ123" s="285">
        <v>2020</v>
      </c>
      <c r="AK123" s="152"/>
      <c r="AL123" s="152"/>
      <c r="AM123" s="152"/>
      <c r="AN123" s="152"/>
    </row>
    <row r="124" spans="1:40" customFormat="1" ht="62.25" x14ac:dyDescent="0.9">
      <c r="A124">
        <v>1</v>
      </c>
      <c r="B124" s="274">
        <v>51</v>
      </c>
      <c r="C124" s="289" t="s">
        <v>1465</v>
      </c>
      <c r="D124" s="290" t="s">
        <v>1911</v>
      </c>
      <c r="E124" s="284">
        <v>0.67430000000000001</v>
      </c>
      <c r="F124" s="208">
        <f t="shared" si="24"/>
        <v>8410.2900000000009</v>
      </c>
      <c r="G124" s="208">
        <v>0</v>
      </c>
      <c r="H124" s="208">
        <v>0</v>
      </c>
      <c r="I124" s="208">
        <v>0</v>
      </c>
      <c r="J124" s="208">
        <v>0</v>
      </c>
      <c r="K124" s="208">
        <v>0</v>
      </c>
      <c r="L124" s="208">
        <v>0</v>
      </c>
      <c r="M124" s="276">
        <v>0</v>
      </c>
      <c r="N124" s="208">
        <v>0</v>
      </c>
      <c r="O124" s="208">
        <v>583</v>
      </c>
      <c r="P124" s="208">
        <v>8286</v>
      </c>
      <c r="Q124" s="208">
        <v>0</v>
      </c>
      <c r="R124" s="208">
        <v>0</v>
      </c>
      <c r="S124" s="208">
        <v>0</v>
      </c>
      <c r="T124" s="208">
        <v>0</v>
      </c>
      <c r="U124" s="208">
        <v>0</v>
      </c>
      <c r="V124" s="208">
        <v>0</v>
      </c>
      <c r="W124" s="208">
        <v>0</v>
      </c>
      <c r="X124" s="208">
        <v>0</v>
      </c>
      <c r="Y124" s="208">
        <v>0</v>
      </c>
      <c r="Z124" s="208">
        <v>0</v>
      </c>
      <c r="AA124" s="208">
        <v>0</v>
      </c>
      <c r="AB124" s="208">
        <v>0</v>
      </c>
      <c r="AC124" s="208">
        <v>0</v>
      </c>
      <c r="AD124" s="208">
        <v>0</v>
      </c>
      <c r="AE124" s="208">
        <f>ROUND(P124*1.5%,2)</f>
        <v>124.29</v>
      </c>
      <c r="AF124" s="208">
        <v>0</v>
      </c>
      <c r="AG124" s="208">
        <v>0</v>
      </c>
      <c r="AH124" s="285" t="s">
        <v>271</v>
      </c>
      <c r="AI124" s="285">
        <v>2020</v>
      </c>
      <c r="AJ124" s="285">
        <v>2020</v>
      </c>
      <c r="AK124" s="152"/>
      <c r="AL124" s="152"/>
      <c r="AM124" s="152"/>
      <c r="AN124" s="152"/>
    </row>
    <row r="125" spans="1:40" customFormat="1" ht="62.25" x14ac:dyDescent="0.9">
      <c r="A125">
        <v>1</v>
      </c>
      <c r="B125" s="274">
        <v>52</v>
      </c>
      <c r="C125" s="289" t="s">
        <v>1466</v>
      </c>
      <c r="D125" s="292" t="s">
        <v>1911</v>
      </c>
      <c r="E125" s="284">
        <v>0.90800000000000003</v>
      </c>
      <c r="F125" s="208">
        <f t="shared" si="24"/>
        <v>7622.65</v>
      </c>
      <c r="G125" s="208">
        <v>7510</v>
      </c>
      <c r="H125" s="208">
        <v>0</v>
      </c>
      <c r="I125" s="208">
        <v>0</v>
      </c>
      <c r="J125" s="208">
        <v>0</v>
      </c>
      <c r="K125" s="208">
        <v>0</v>
      </c>
      <c r="L125" s="208">
        <v>0</v>
      </c>
      <c r="M125" s="276">
        <v>0</v>
      </c>
      <c r="N125" s="208">
        <v>0</v>
      </c>
      <c r="O125" s="208">
        <v>0</v>
      </c>
      <c r="P125" s="208">
        <v>0</v>
      </c>
      <c r="Q125" s="208">
        <v>0</v>
      </c>
      <c r="R125" s="208">
        <v>0</v>
      </c>
      <c r="S125" s="208">
        <v>0</v>
      </c>
      <c r="T125" s="208">
        <v>0</v>
      </c>
      <c r="U125" s="208">
        <v>0</v>
      </c>
      <c r="V125" s="208">
        <v>0</v>
      </c>
      <c r="W125" s="208">
        <v>0</v>
      </c>
      <c r="X125" s="208">
        <v>0</v>
      </c>
      <c r="Y125" s="208">
        <v>0</v>
      </c>
      <c r="Z125" s="208">
        <v>0</v>
      </c>
      <c r="AA125" s="208">
        <v>0</v>
      </c>
      <c r="AB125" s="208">
        <v>0</v>
      </c>
      <c r="AC125" s="208">
        <v>0</v>
      </c>
      <c r="AD125" s="208">
        <v>0</v>
      </c>
      <c r="AE125" s="208">
        <f>ROUND(G125*1.5%,2)</f>
        <v>112.65</v>
      </c>
      <c r="AF125" s="208">
        <v>0</v>
      </c>
      <c r="AG125" s="208">
        <v>0</v>
      </c>
      <c r="AH125" s="285" t="s">
        <v>271</v>
      </c>
      <c r="AI125" s="285">
        <v>2020</v>
      </c>
      <c r="AJ125" s="285">
        <v>2020</v>
      </c>
      <c r="AK125" s="152"/>
      <c r="AL125" s="152"/>
      <c r="AM125" s="152"/>
      <c r="AN125" s="152"/>
    </row>
    <row r="126" spans="1:40" customFormat="1" ht="62.25" x14ac:dyDescent="0.9">
      <c r="A126">
        <v>1</v>
      </c>
      <c r="B126" s="274">
        <v>53</v>
      </c>
      <c r="C126" s="289" t="s">
        <v>1467</v>
      </c>
      <c r="D126" s="290" t="s">
        <v>1911</v>
      </c>
      <c r="E126" s="284">
        <v>0.98829999999999996</v>
      </c>
      <c r="F126" s="208">
        <f t="shared" si="24"/>
        <v>49508.61</v>
      </c>
      <c r="G126" s="208">
        <v>0</v>
      </c>
      <c r="H126" s="208">
        <v>0</v>
      </c>
      <c r="I126" s="208">
        <v>0</v>
      </c>
      <c r="J126" s="208">
        <v>0</v>
      </c>
      <c r="K126" s="208">
        <v>0</v>
      </c>
      <c r="L126" s="208">
        <v>0</v>
      </c>
      <c r="M126" s="276">
        <v>0</v>
      </c>
      <c r="N126" s="208">
        <v>0</v>
      </c>
      <c r="O126" s="208">
        <v>284.39999999999998</v>
      </c>
      <c r="P126" s="208">
        <v>48776.959999999999</v>
      </c>
      <c r="Q126" s="208">
        <v>0</v>
      </c>
      <c r="R126" s="208">
        <v>0</v>
      </c>
      <c r="S126" s="208">
        <v>0</v>
      </c>
      <c r="T126" s="208">
        <v>0</v>
      </c>
      <c r="U126" s="208">
        <v>0</v>
      </c>
      <c r="V126" s="208">
        <v>0</v>
      </c>
      <c r="W126" s="208">
        <v>0</v>
      </c>
      <c r="X126" s="208">
        <v>0</v>
      </c>
      <c r="Y126" s="208">
        <v>0</v>
      </c>
      <c r="Z126" s="208">
        <v>0</v>
      </c>
      <c r="AA126" s="208">
        <v>0</v>
      </c>
      <c r="AB126" s="208">
        <v>0</v>
      </c>
      <c r="AC126" s="208">
        <v>0</v>
      </c>
      <c r="AD126" s="208">
        <v>0</v>
      </c>
      <c r="AE126" s="208">
        <f>ROUND(P126*1.5%,2)</f>
        <v>731.65</v>
      </c>
      <c r="AF126" s="208">
        <v>0</v>
      </c>
      <c r="AG126" s="208">
        <v>0</v>
      </c>
      <c r="AH126" s="285" t="s">
        <v>271</v>
      </c>
      <c r="AI126" s="285">
        <v>2020</v>
      </c>
      <c r="AJ126" s="285">
        <v>2020</v>
      </c>
      <c r="AK126" s="152"/>
      <c r="AL126" s="152"/>
      <c r="AM126" s="152"/>
      <c r="AN126" s="152"/>
    </row>
    <row r="127" spans="1:40" customFormat="1" ht="62.25" x14ac:dyDescent="0.9">
      <c r="A127">
        <v>1</v>
      </c>
      <c r="B127" s="274">
        <v>54</v>
      </c>
      <c r="C127" s="289" t="s">
        <v>1468</v>
      </c>
      <c r="D127" s="290" t="s">
        <v>1911</v>
      </c>
      <c r="E127" s="284">
        <v>0.86109999999999998</v>
      </c>
      <c r="F127" s="208">
        <f t="shared" si="24"/>
        <v>194179.65</v>
      </c>
      <c r="G127" s="208">
        <v>0</v>
      </c>
      <c r="H127" s="208">
        <v>0</v>
      </c>
      <c r="I127" s="208">
        <v>0</v>
      </c>
      <c r="J127" s="208">
        <v>0</v>
      </c>
      <c r="K127" s="208">
        <v>0</v>
      </c>
      <c r="L127" s="208">
        <v>0</v>
      </c>
      <c r="M127" s="276">
        <v>0</v>
      </c>
      <c r="N127" s="208">
        <v>0</v>
      </c>
      <c r="O127" s="208">
        <v>1539</v>
      </c>
      <c r="P127" s="208">
        <v>191310</v>
      </c>
      <c r="Q127" s="208">
        <v>0</v>
      </c>
      <c r="R127" s="208">
        <v>0</v>
      </c>
      <c r="S127" s="208">
        <v>0</v>
      </c>
      <c r="T127" s="291">
        <v>0</v>
      </c>
      <c r="U127" s="208">
        <v>0</v>
      </c>
      <c r="V127" s="208">
        <v>0</v>
      </c>
      <c r="W127" s="208">
        <v>0</v>
      </c>
      <c r="X127" s="208">
        <v>0</v>
      </c>
      <c r="Y127" s="208">
        <v>0</v>
      </c>
      <c r="Z127" s="208">
        <v>0</v>
      </c>
      <c r="AA127" s="208">
        <v>0</v>
      </c>
      <c r="AB127" s="208">
        <v>0</v>
      </c>
      <c r="AC127" s="208">
        <v>0</v>
      </c>
      <c r="AD127" s="208">
        <v>0</v>
      </c>
      <c r="AE127" s="208">
        <f>ROUND(P127*1.5%,2)</f>
        <v>2869.65</v>
      </c>
      <c r="AF127" s="208">
        <v>0</v>
      </c>
      <c r="AG127" s="208">
        <v>0</v>
      </c>
      <c r="AH127" s="285" t="s">
        <v>271</v>
      </c>
      <c r="AI127" s="285">
        <v>2020</v>
      </c>
      <c r="AJ127" s="285">
        <v>2020</v>
      </c>
      <c r="AK127" s="152"/>
      <c r="AL127" s="152"/>
      <c r="AM127" s="152"/>
      <c r="AN127" s="152"/>
    </row>
    <row r="128" spans="1:40" customFormat="1" ht="62.25" x14ac:dyDescent="0.9">
      <c r="A128">
        <v>1</v>
      </c>
      <c r="B128" s="274">
        <v>55</v>
      </c>
      <c r="C128" s="289" t="s">
        <v>1469</v>
      </c>
      <c r="D128" s="290" t="s">
        <v>1911</v>
      </c>
      <c r="E128" s="284">
        <v>0.85870000000000002</v>
      </c>
      <c r="F128" s="208">
        <f t="shared" si="24"/>
        <v>874380.28</v>
      </c>
      <c r="G128" s="208">
        <v>0</v>
      </c>
      <c r="H128" s="208">
        <v>0</v>
      </c>
      <c r="I128" s="208">
        <v>0</v>
      </c>
      <c r="J128" s="208">
        <v>0</v>
      </c>
      <c r="K128" s="208">
        <v>0</v>
      </c>
      <c r="L128" s="208">
        <v>0</v>
      </c>
      <c r="M128" s="276">
        <v>0</v>
      </c>
      <c r="N128" s="208">
        <v>0</v>
      </c>
      <c r="O128" s="208">
        <v>748</v>
      </c>
      <c r="P128" s="208">
        <v>861458.4</v>
      </c>
      <c r="Q128" s="208">
        <v>0</v>
      </c>
      <c r="R128" s="208">
        <v>0</v>
      </c>
      <c r="S128" s="208">
        <v>0</v>
      </c>
      <c r="T128" s="291">
        <v>0</v>
      </c>
      <c r="U128" s="208">
        <v>0</v>
      </c>
      <c r="V128" s="208">
        <v>0</v>
      </c>
      <c r="W128" s="208">
        <v>0</v>
      </c>
      <c r="X128" s="208">
        <v>0</v>
      </c>
      <c r="Y128" s="208">
        <v>0</v>
      </c>
      <c r="Z128" s="208">
        <v>0</v>
      </c>
      <c r="AA128" s="208">
        <v>0</v>
      </c>
      <c r="AB128" s="208">
        <v>0</v>
      </c>
      <c r="AC128" s="208">
        <v>0</v>
      </c>
      <c r="AD128" s="208">
        <v>0</v>
      </c>
      <c r="AE128" s="208">
        <f>ROUND(P128*1.5%,2)</f>
        <v>12921.88</v>
      </c>
      <c r="AF128" s="208">
        <v>0</v>
      </c>
      <c r="AG128" s="208">
        <v>0</v>
      </c>
      <c r="AH128" s="285" t="s">
        <v>271</v>
      </c>
      <c r="AI128" s="285">
        <v>2020</v>
      </c>
      <c r="AJ128" s="285">
        <v>2020</v>
      </c>
      <c r="AK128" s="152"/>
      <c r="AL128" s="152"/>
      <c r="AM128" s="152"/>
      <c r="AN128" s="152"/>
    </row>
    <row r="129" spans="1:40" customFormat="1" ht="62.25" x14ac:dyDescent="0.9">
      <c r="A129">
        <v>1</v>
      </c>
      <c r="B129" s="274">
        <v>56</v>
      </c>
      <c r="C129" s="289" t="s">
        <v>1470</v>
      </c>
      <c r="D129" s="292">
        <v>2015</v>
      </c>
      <c r="E129" s="284">
        <v>0.9476</v>
      </c>
      <c r="F129" s="208">
        <f t="shared" si="24"/>
        <v>45260.939999999995</v>
      </c>
      <c r="G129" s="208">
        <v>0</v>
      </c>
      <c r="H129" s="208">
        <v>0</v>
      </c>
      <c r="I129" s="208">
        <v>0</v>
      </c>
      <c r="J129" s="208">
        <v>0</v>
      </c>
      <c r="K129" s="208">
        <v>0</v>
      </c>
      <c r="L129" s="208">
        <v>0</v>
      </c>
      <c r="M129" s="276">
        <v>0</v>
      </c>
      <c r="N129" s="208">
        <v>0</v>
      </c>
      <c r="O129" s="208">
        <v>0</v>
      </c>
      <c r="P129" s="208">
        <v>0</v>
      </c>
      <c r="Q129" s="208">
        <v>0</v>
      </c>
      <c r="R129" s="208">
        <v>0</v>
      </c>
      <c r="S129" s="208">
        <v>174</v>
      </c>
      <c r="T129" s="291">
        <v>44592.06</v>
      </c>
      <c r="U129" s="208">
        <v>0</v>
      </c>
      <c r="V129" s="208">
        <v>0</v>
      </c>
      <c r="W129" s="208">
        <v>0</v>
      </c>
      <c r="X129" s="208">
        <v>0</v>
      </c>
      <c r="Y129" s="208">
        <v>0</v>
      </c>
      <c r="Z129" s="208">
        <v>0</v>
      </c>
      <c r="AA129" s="208">
        <v>0</v>
      </c>
      <c r="AB129" s="208">
        <v>0</v>
      </c>
      <c r="AC129" s="208">
        <v>0</v>
      </c>
      <c r="AD129" s="208">
        <v>0</v>
      </c>
      <c r="AE129" s="208">
        <f>ROUND(T129*1.5%,2)</f>
        <v>668.88</v>
      </c>
      <c r="AF129" s="208">
        <v>0</v>
      </c>
      <c r="AG129" s="208">
        <v>0</v>
      </c>
      <c r="AH129" s="285" t="s">
        <v>271</v>
      </c>
      <c r="AI129" s="285">
        <v>2020</v>
      </c>
      <c r="AJ129" s="285">
        <v>2020</v>
      </c>
      <c r="AK129" s="152"/>
      <c r="AL129" s="152"/>
      <c r="AM129" s="152"/>
      <c r="AN129" s="152"/>
    </row>
    <row r="130" spans="1:40" customFormat="1" ht="62.25" x14ac:dyDescent="0.9">
      <c r="A130">
        <v>1</v>
      </c>
      <c r="B130" s="274">
        <v>57</v>
      </c>
      <c r="C130" s="289" t="s">
        <v>1471</v>
      </c>
      <c r="D130" s="290" t="s">
        <v>1911</v>
      </c>
      <c r="E130" s="284">
        <v>0.94679999999999997</v>
      </c>
      <c r="F130" s="208">
        <f t="shared" si="24"/>
        <v>41021.47</v>
      </c>
      <c r="G130" s="208">
        <v>0</v>
      </c>
      <c r="H130" s="208">
        <v>0</v>
      </c>
      <c r="I130" s="208">
        <v>0</v>
      </c>
      <c r="J130" s="208">
        <v>0</v>
      </c>
      <c r="K130" s="208">
        <v>0</v>
      </c>
      <c r="L130" s="208">
        <v>0</v>
      </c>
      <c r="M130" s="276">
        <v>0</v>
      </c>
      <c r="N130" s="208">
        <v>0</v>
      </c>
      <c r="O130" s="208">
        <v>289.66000000000003</v>
      </c>
      <c r="P130" s="208">
        <v>40415.24</v>
      </c>
      <c r="Q130" s="208">
        <v>0</v>
      </c>
      <c r="R130" s="208">
        <v>0</v>
      </c>
      <c r="S130" s="208">
        <v>0</v>
      </c>
      <c r="T130" s="291">
        <v>0</v>
      </c>
      <c r="U130" s="208">
        <v>0</v>
      </c>
      <c r="V130" s="208">
        <v>0</v>
      </c>
      <c r="W130" s="208">
        <v>0</v>
      </c>
      <c r="X130" s="208">
        <v>0</v>
      </c>
      <c r="Y130" s="208">
        <v>0</v>
      </c>
      <c r="Z130" s="208">
        <v>0</v>
      </c>
      <c r="AA130" s="208">
        <v>0</v>
      </c>
      <c r="AB130" s="208">
        <v>0</v>
      </c>
      <c r="AC130" s="208">
        <v>0</v>
      </c>
      <c r="AD130" s="208">
        <v>0</v>
      </c>
      <c r="AE130" s="208">
        <f>ROUND(P130*1.5%,2)</f>
        <v>606.23</v>
      </c>
      <c r="AF130" s="208">
        <v>0</v>
      </c>
      <c r="AG130" s="208">
        <v>0</v>
      </c>
      <c r="AH130" s="285" t="s">
        <v>271</v>
      </c>
      <c r="AI130" s="285">
        <v>2020</v>
      </c>
      <c r="AJ130" s="285">
        <v>2020</v>
      </c>
      <c r="AK130" s="152"/>
      <c r="AL130" s="152"/>
      <c r="AM130" s="152"/>
      <c r="AN130" s="152"/>
    </row>
    <row r="131" spans="1:40" customFormat="1" ht="62.25" x14ac:dyDescent="0.9">
      <c r="A131">
        <v>1</v>
      </c>
      <c r="B131" s="274">
        <v>58</v>
      </c>
      <c r="C131" s="289" t="s">
        <v>1472</v>
      </c>
      <c r="D131" s="292" t="s">
        <v>1550</v>
      </c>
      <c r="E131" s="284">
        <v>0.92569999999999997</v>
      </c>
      <c r="F131" s="208">
        <f t="shared" si="24"/>
        <v>504846.64999999997</v>
      </c>
      <c r="G131" s="208">
        <v>0</v>
      </c>
      <c r="H131" s="208">
        <v>0</v>
      </c>
      <c r="I131" s="208">
        <v>0</v>
      </c>
      <c r="J131" s="208">
        <v>0</v>
      </c>
      <c r="K131" s="208">
        <v>0</v>
      </c>
      <c r="L131" s="208">
        <v>0</v>
      </c>
      <c r="M131" s="276">
        <v>0</v>
      </c>
      <c r="N131" s="208">
        <v>0</v>
      </c>
      <c r="O131" s="208">
        <v>0</v>
      </c>
      <c r="P131" s="208">
        <v>0</v>
      </c>
      <c r="Q131" s="208">
        <v>0</v>
      </c>
      <c r="R131" s="208">
        <v>0</v>
      </c>
      <c r="S131" s="208">
        <v>3007.6</v>
      </c>
      <c r="T131" s="291">
        <v>497385.86</v>
      </c>
      <c r="U131" s="208">
        <v>0</v>
      </c>
      <c r="V131" s="208">
        <v>0</v>
      </c>
      <c r="W131" s="208">
        <v>0</v>
      </c>
      <c r="X131" s="208">
        <v>0</v>
      </c>
      <c r="Y131" s="208">
        <v>0</v>
      </c>
      <c r="Z131" s="208">
        <v>0</v>
      </c>
      <c r="AA131" s="208">
        <v>0</v>
      </c>
      <c r="AB131" s="208">
        <v>0</v>
      </c>
      <c r="AC131" s="208">
        <v>0</v>
      </c>
      <c r="AD131" s="208">
        <v>0</v>
      </c>
      <c r="AE131" s="208">
        <f>ROUND(T131*1.5%,2)</f>
        <v>7460.79</v>
      </c>
      <c r="AF131" s="208">
        <v>0</v>
      </c>
      <c r="AG131" s="208">
        <v>0</v>
      </c>
      <c r="AH131" s="285" t="s">
        <v>271</v>
      </c>
      <c r="AI131" s="285">
        <v>2020</v>
      </c>
      <c r="AJ131" s="285">
        <v>2020</v>
      </c>
      <c r="AK131" s="152"/>
      <c r="AL131" s="152"/>
      <c r="AM131" s="152"/>
      <c r="AN131" s="152"/>
    </row>
    <row r="132" spans="1:40" customFormat="1" ht="62.25" x14ac:dyDescent="0.9">
      <c r="A132">
        <v>1</v>
      </c>
      <c r="B132" s="274">
        <v>59</v>
      </c>
      <c r="C132" s="289" t="s">
        <v>1515</v>
      </c>
      <c r="D132" s="292" t="s">
        <v>1550</v>
      </c>
      <c r="E132" s="284">
        <v>0.80649999999999999</v>
      </c>
      <c r="F132" s="208">
        <f t="shared" si="24"/>
        <v>52491.74</v>
      </c>
      <c r="G132" s="208">
        <v>0</v>
      </c>
      <c r="H132" s="208">
        <v>0</v>
      </c>
      <c r="I132" s="208">
        <v>0</v>
      </c>
      <c r="J132" s="208">
        <v>0</v>
      </c>
      <c r="K132" s="208">
        <v>0</v>
      </c>
      <c r="L132" s="208">
        <v>0</v>
      </c>
      <c r="M132" s="276">
        <v>0</v>
      </c>
      <c r="N132" s="208">
        <v>0</v>
      </c>
      <c r="O132" s="208">
        <v>0</v>
      </c>
      <c r="P132" s="208">
        <v>0</v>
      </c>
      <c r="Q132" s="208">
        <v>0</v>
      </c>
      <c r="R132" s="208">
        <v>0</v>
      </c>
      <c r="S132" s="208">
        <v>1676</v>
      </c>
      <c r="T132" s="291">
        <v>51716</v>
      </c>
      <c r="U132" s="208">
        <v>0</v>
      </c>
      <c r="V132" s="208">
        <v>0</v>
      </c>
      <c r="W132" s="208">
        <v>0</v>
      </c>
      <c r="X132" s="208">
        <v>0</v>
      </c>
      <c r="Y132" s="208">
        <v>0</v>
      </c>
      <c r="Z132" s="208">
        <v>0</v>
      </c>
      <c r="AA132" s="208">
        <v>0</v>
      </c>
      <c r="AB132" s="208">
        <v>0</v>
      </c>
      <c r="AC132" s="208">
        <v>0</v>
      </c>
      <c r="AD132" s="208">
        <v>0</v>
      </c>
      <c r="AE132" s="208">
        <f>ROUND(T132*1.5%,2)</f>
        <v>775.74</v>
      </c>
      <c r="AF132" s="208">
        <v>0</v>
      </c>
      <c r="AG132" s="208">
        <v>0</v>
      </c>
      <c r="AH132" s="285" t="s">
        <v>271</v>
      </c>
      <c r="AI132" s="285">
        <v>2020</v>
      </c>
      <c r="AJ132" s="285">
        <v>2020</v>
      </c>
      <c r="AK132" s="152"/>
      <c r="AL132" s="152"/>
      <c r="AM132" s="152"/>
      <c r="AN132" s="152"/>
    </row>
    <row r="133" spans="1:40" customFormat="1" ht="62.25" x14ac:dyDescent="0.9">
      <c r="A133">
        <v>1</v>
      </c>
      <c r="B133" s="274">
        <v>60</v>
      </c>
      <c r="C133" s="289" t="s">
        <v>1516</v>
      </c>
      <c r="D133" s="290" t="s">
        <v>1911</v>
      </c>
      <c r="E133" s="284">
        <v>0.79520000000000002</v>
      </c>
      <c r="F133" s="208">
        <f t="shared" si="24"/>
        <v>81763.55</v>
      </c>
      <c r="G133" s="208">
        <v>0</v>
      </c>
      <c r="H133" s="208">
        <v>0</v>
      </c>
      <c r="I133" s="208">
        <v>0</v>
      </c>
      <c r="J133" s="208">
        <v>0</v>
      </c>
      <c r="K133" s="208">
        <v>0</v>
      </c>
      <c r="L133" s="208">
        <v>0</v>
      </c>
      <c r="M133" s="276">
        <v>0</v>
      </c>
      <c r="N133" s="208">
        <v>0</v>
      </c>
      <c r="O133" s="208">
        <v>352</v>
      </c>
      <c r="P133" s="208">
        <v>80555.22</v>
      </c>
      <c r="Q133" s="208">
        <v>0</v>
      </c>
      <c r="R133" s="208">
        <v>0</v>
      </c>
      <c r="S133" s="208">
        <v>0</v>
      </c>
      <c r="T133" s="291">
        <v>0</v>
      </c>
      <c r="U133" s="208">
        <v>0</v>
      </c>
      <c r="V133" s="208">
        <v>0</v>
      </c>
      <c r="W133" s="208">
        <v>0</v>
      </c>
      <c r="X133" s="208">
        <v>0</v>
      </c>
      <c r="Y133" s="208">
        <v>0</v>
      </c>
      <c r="Z133" s="208">
        <v>0</v>
      </c>
      <c r="AA133" s="208">
        <v>0</v>
      </c>
      <c r="AB133" s="208">
        <v>0</v>
      </c>
      <c r="AC133" s="208">
        <v>0</v>
      </c>
      <c r="AD133" s="208">
        <v>0</v>
      </c>
      <c r="AE133" s="208">
        <f t="shared" ref="AE133:AE139" si="33">ROUND(P133*1.5%,2)</f>
        <v>1208.33</v>
      </c>
      <c r="AF133" s="208">
        <v>0</v>
      </c>
      <c r="AG133" s="208">
        <v>0</v>
      </c>
      <c r="AH133" s="285" t="s">
        <v>271</v>
      </c>
      <c r="AI133" s="285">
        <v>2020</v>
      </c>
      <c r="AJ133" s="285">
        <v>2020</v>
      </c>
      <c r="AK133" s="152"/>
      <c r="AL133" s="152"/>
      <c r="AM133" s="152"/>
      <c r="AN133" s="152"/>
    </row>
    <row r="134" spans="1:40" customFormat="1" ht="62.25" x14ac:dyDescent="0.9">
      <c r="A134">
        <v>1</v>
      </c>
      <c r="B134" s="274">
        <v>61</v>
      </c>
      <c r="C134" s="289" t="s">
        <v>1517</v>
      </c>
      <c r="D134" s="290" t="s">
        <v>1550</v>
      </c>
      <c r="E134" s="284">
        <v>0.76160000000000005</v>
      </c>
      <c r="F134" s="208">
        <f>G134+H134+I134+J134+K134+L134+N134+P134+R134+T134+V134+W134+X134+Y134+Z134+AA134+AB134+AC134+AD134+AE134+AF134+AG134</f>
        <v>7245.74</v>
      </c>
      <c r="G134" s="208">
        <v>0</v>
      </c>
      <c r="H134" s="208">
        <v>0</v>
      </c>
      <c r="I134" s="208">
        <v>0</v>
      </c>
      <c r="J134" s="208">
        <v>0</v>
      </c>
      <c r="K134" s="208">
        <v>0</v>
      </c>
      <c r="L134" s="208">
        <v>0</v>
      </c>
      <c r="M134" s="276">
        <v>0</v>
      </c>
      <c r="N134" s="208">
        <v>0</v>
      </c>
      <c r="O134" s="208">
        <v>910</v>
      </c>
      <c r="P134" s="208">
        <v>7138.66</v>
      </c>
      <c r="Q134" s="208">
        <v>0</v>
      </c>
      <c r="R134" s="208">
        <v>0</v>
      </c>
      <c r="S134" s="208">
        <v>0</v>
      </c>
      <c r="T134" s="291">
        <v>0</v>
      </c>
      <c r="U134" s="208">
        <v>0</v>
      </c>
      <c r="V134" s="208">
        <v>0</v>
      </c>
      <c r="W134" s="208">
        <v>0</v>
      </c>
      <c r="X134" s="208">
        <v>0</v>
      </c>
      <c r="Y134" s="208">
        <v>0</v>
      </c>
      <c r="Z134" s="208">
        <v>0</v>
      </c>
      <c r="AA134" s="208">
        <v>0</v>
      </c>
      <c r="AB134" s="208">
        <v>0</v>
      </c>
      <c r="AC134" s="208">
        <v>0</v>
      </c>
      <c r="AD134" s="208">
        <v>0</v>
      </c>
      <c r="AE134" s="208">
        <f t="shared" si="33"/>
        <v>107.08</v>
      </c>
      <c r="AF134" s="208">
        <v>0</v>
      </c>
      <c r="AG134" s="208">
        <v>0</v>
      </c>
      <c r="AH134" s="285" t="s">
        <v>271</v>
      </c>
      <c r="AI134" s="285">
        <v>2020</v>
      </c>
      <c r="AJ134" s="285">
        <v>2020</v>
      </c>
      <c r="AK134" s="152"/>
      <c r="AL134" s="152"/>
      <c r="AM134" s="152"/>
      <c r="AN134" s="152"/>
    </row>
    <row r="135" spans="1:40" customFormat="1" ht="62.25" x14ac:dyDescent="0.9">
      <c r="A135">
        <v>1</v>
      </c>
      <c r="B135" s="274">
        <v>62</v>
      </c>
      <c r="C135" s="289" t="s">
        <v>1696</v>
      </c>
      <c r="D135" s="290" t="s">
        <v>1910</v>
      </c>
      <c r="E135" s="284">
        <v>0.95309999999999995</v>
      </c>
      <c r="F135" s="208">
        <f t="shared" si="24"/>
        <v>16859.560000000001</v>
      </c>
      <c r="G135" s="208">
        <v>0</v>
      </c>
      <c r="H135" s="208">
        <v>0</v>
      </c>
      <c r="I135" s="208">
        <v>0</v>
      </c>
      <c r="J135" s="208">
        <v>0</v>
      </c>
      <c r="K135" s="208">
        <v>0</v>
      </c>
      <c r="L135" s="208">
        <v>0</v>
      </c>
      <c r="M135" s="276">
        <v>0</v>
      </c>
      <c r="N135" s="208">
        <v>0</v>
      </c>
      <c r="O135" s="208">
        <v>900</v>
      </c>
      <c r="P135" s="208">
        <v>16610.400000000001</v>
      </c>
      <c r="Q135" s="208">
        <v>0</v>
      </c>
      <c r="R135" s="208">
        <v>0</v>
      </c>
      <c r="S135" s="208">
        <v>0</v>
      </c>
      <c r="T135" s="291">
        <v>0</v>
      </c>
      <c r="U135" s="208">
        <v>0</v>
      </c>
      <c r="V135" s="208">
        <v>0</v>
      </c>
      <c r="W135" s="208">
        <v>0</v>
      </c>
      <c r="X135" s="208">
        <v>0</v>
      </c>
      <c r="Y135" s="208">
        <v>0</v>
      </c>
      <c r="Z135" s="208">
        <v>0</v>
      </c>
      <c r="AA135" s="208">
        <v>0</v>
      </c>
      <c r="AB135" s="208">
        <v>0</v>
      </c>
      <c r="AC135" s="208">
        <v>0</v>
      </c>
      <c r="AD135" s="208">
        <v>0</v>
      </c>
      <c r="AE135" s="208">
        <f t="shared" si="33"/>
        <v>249.16</v>
      </c>
      <c r="AF135" s="208">
        <v>0</v>
      </c>
      <c r="AG135" s="208">
        <v>0</v>
      </c>
      <c r="AH135" s="285" t="s">
        <v>271</v>
      </c>
      <c r="AI135" s="285">
        <v>2020</v>
      </c>
      <c r="AJ135" s="285">
        <v>2020</v>
      </c>
      <c r="AK135" s="152"/>
      <c r="AL135" s="152"/>
      <c r="AM135" s="152"/>
      <c r="AN135" s="152"/>
    </row>
    <row r="136" spans="1:40" s="293" customFormat="1" ht="62.25" x14ac:dyDescent="0.9">
      <c r="B136" s="294">
        <v>63</v>
      </c>
      <c r="C136" s="295" t="s">
        <v>1916</v>
      </c>
      <c r="D136" s="221" t="s">
        <v>1910</v>
      </c>
      <c r="E136" s="296">
        <v>0.88386686541757653</v>
      </c>
      <c r="F136" s="206">
        <f t="shared" ref="F136:F139" si="34">P136+AE136</f>
        <v>27161.4</v>
      </c>
      <c r="G136" s="206">
        <v>0</v>
      </c>
      <c r="H136" s="206">
        <v>0</v>
      </c>
      <c r="I136" s="206">
        <v>0</v>
      </c>
      <c r="J136" s="206">
        <v>0</v>
      </c>
      <c r="K136" s="206">
        <v>0</v>
      </c>
      <c r="L136" s="206">
        <v>0</v>
      </c>
      <c r="M136" s="297">
        <v>0</v>
      </c>
      <c r="N136" s="206">
        <v>0</v>
      </c>
      <c r="O136" s="206">
        <v>345.6</v>
      </c>
      <c r="P136" s="206">
        <v>26760</v>
      </c>
      <c r="Q136" s="206">
        <v>0</v>
      </c>
      <c r="R136" s="206">
        <v>0</v>
      </c>
      <c r="S136" s="206">
        <v>0</v>
      </c>
      <c r="T136" s="229">
        <v>0</v>
      </c>
      <c r="U136" s="206">
        <v>0</v>
      </c>
      <c r="V136" s="206">
        <v>0</v>
      </c>
      <c r="W136" s="206">
        <v>0</v>
      </c>
      <c r="X136" s="206">
        <v>0</v>
      </c>
      <c r="Y136" s="206">
        <v>0</v>
      </c>
      <c r="Z136" s="206">
        <v>0</v>
      </c>
      <c r="AA136" s="206">
        <v>0</v>
      </c>
      <c r="AB136" s="206">
        <v>0</v>
      </c>
      <c r="AC136" s="206">
        <v>0</v>
      </c>
      <c r="AD136" s="206">
        <v>0</v>
      </c>
      <c r="AE136" s="206">
        <f t="shared" si="33"/>
        <v>401.4</v>
      </c>
      <c r="AF136" s="206">
        <v>0</v>
      </c>
      <c r="AG136" s="206">
        <v>0</v>
      </c>
      <c r="AH136" s="298" t="s">
        <v>271</v>
      </c>
      <c r="AI136" s="298">
        <v>2020</v>
      </c>
      <c r="AJ136" s="298">
        <v>2020</v>
      </c>
      <c r="AK136" s="299"/>
      <c r="AL136" s="299"/>
      <c r="AM136" s="299"/>
      <c r="AN136" s="299"/>
    </row>
    <row r="137" spans="1:40" s="293" customFormat="1" ht="62.25" x14ac:dyDescent="0.9">
      <c r="B137" s="294">
        <v>64</v>
      </c>
      <c r="C137" s="295" t="s">
        <v>1917</v>
      </c>
      <c r="D137" s="221" t="s">
        <v>1910</v>
      </c>
      <c r="E137" s="296">
        <v>0.90569999999999995</v>
      </c>
      <c r="F137" s="206">
        <f t="shared" si="34"/>
        <v>756402.36</v>
      </c>
      <c r="G137" s="206">
        <v>0</v>
      </c>
      <c r="H137" s="206">
        <v>0</v>
      </c>
      <c r="I137" s="206">
        <v>0</v>
      </c>
      <c r="J137" s="206">
        <v>0</v>
      </c>
      <c r="K137" s="206">
        <v>0</v>
      </c>
      <c r="L137" s="206">
        <v>0</v>
      </c>
      <c r="M137" s="297">
        <v>0</v>
      </c>
      <c r="N137" s="206">
        <v>0</v>
      </c>
      <c r="O137" s="206">
        <v>570</v>
      </c>
      <c r="P137" s="206">
        <v>745224</v>
      </c>
      <c r="Q137" s="206">
        <v>0</v>
      </c>
      <c r="R137" s="206">
        <v>0</v>
      </c>
      <c r="S137" s="206">
        <v>0</v>
      </c>
      <c r="T137" s="229">
        <v>0</v>
      </c>
      <c r="U137" s="206">
        <v>0</v>
      </c>
      <c r="V137" s="206">
        <v>0</v>
      </c>
      <c r="W137" s="206">
        <v>0</v>
      </c>
      <c r="X137" s="206">
        <v>0</v>
      </c>
      <c r="Y137" s="206">
        <v>0</v>
      </c>
      <c r="Z137" s="206">
        <v>0</v>
      </c>
      <c r="AA137" s="206">
        <v>0</v>
      </c>
      <c r="AB137" s="206">
        <v>0</v>
      </c>
      <c r="AC137" s="206">
        <v>0</v>
      </c>
      <c r="AD137" s="206">
        <v>0</v>
      </c>
      <c r="AE137" s="206">
        <f t="shared" si="33"/>
        <v>11178.36</v>
      </c>
      <c r="AF137" s="206">
        <v>0</v>
      </c>
      <c r="AG137" s="206">
        <v>0</v>
      </c>
      <c r="AH137" s="298" t="s">
        <v>271</v>
      </c>
      <c r="AI137" s="298">
        <v>2020</v>
      </c>
      <c r="AJ137" s="298">
        <v>2020</v>
      </c>
      <c r="AK137" s="299"/>
      <c r="AL137" s="299"/>
      <c r="AM137" s="299"/>
      <c r="AN137" s="299"/>
    </row>
    <row r="138" spans="1:40" s="293" customFormat="1" ht="62.25" x14ac:dyDescent="0.9">
      <c r="B138" s="294">
        <v>65</v>
      </c>
      <c r="C138" s="295" t="s">
        <v>1918</v>
      </c>
      <c r="D138" s="221" t="s">
        <v>1911</v>
      </c>
      <c r="E138" s="296">
        <v>0.76750579810492481</v>
      </c>
      <c r="F138" s="206">
        <f t="shared" si="34"/>
        <v>92522.930000000008</v>
      </c>
      <c r="G138" s="206">
        <v>0</v>
      </c>
      <c r="H138" s="206">
        <v>0</v>
      </c>
      <c r="I138" s="206">
        <v>0</v>
      </c>
      <c r="J138" s="206">
        <v>0</v>
      </c>
      <c r="K138" s="206">
        <v>0</v>
      </c>
      <c r="L138" s="206">
        <v>0</v>
      </c>
      <c r="M138" s="297">
        <v>0</v>
      </c>
      <c r="N138" s="206">
        <v>0</v>
      </c>
      <c r="O138" s="206">
        <v>425</v>
      </c>
      <c r="P138" s="206">
        <v>91155.6</v>
      </c>
      <c r="Q138" s="206">
        <v>0</v>
      </c>
      <c r="R138" s="206">
        <v>0</v>
      </c>
      <c r="S138" s="206">
        <v>0</v>
      </c>
      <c r="T138" s="229">
        <v>0</v>
      </c>
      <c r="U138" s="206">
        <v>0</v>
      </c>
      <c r="V138" s="206">
        <v>0</v>
      </c>
      <c r="W138" s="206">
        <v>0</v>
      </c>
      <c r="X138" s="206">
        <v>0</v>
      </c>
      <c r="Y138" s="206">
        <v>0</v>
      </c>
      <c r="Z138" s="206">
        <v>0</v>
      </c>
      <c r="AA138" s="206">
        <v>0</v>
      </c>
      <c r="AB138" s="206">
        <v>0</v>
      </c>
      <c r="AC138" s="206">
        <v>0</v>
      </c>
      <c r="AD138" s="206">
        <v>0</v>
      </c>
      <c r="AE138" s="206">
        <f t="shared" si="33"/>
        <v>1367.33</v>
      </c>
      <c r="AF138" s="206">
        <v>0</v>
      </c>
      <c r="AG138" s="206">
        <v>0</v>
      </c>
      <c r="AH138" s="298" t="s">
        <v>271</v>
      </c>
      <c r="AI138" s="298">
        <v>2020</v>
      </c>
      <c r="AJ138" s="298">
        <v>2020</v>
      </c>
      <c r="AK138" s="299"/>
      <c r="AL138" s="299"/>
      <c r="AM138" s="299"/>
      <c r="AN138" s="299"/>
    </row>
    <row r="139" spans="1:40" s="293" customFormat="1" ht="62.25" x14ac:dyDescent="0.9">
      <c r="B139" s="294">
        <v>66</v>
      </c>
      <c r="C139" s="295" t="s">
        <v>1919</v>
      </c>
      <c r="D139" s="221" t="s">
        <v>1911</v>
      </c>
      <c r="E139" s="296">
        <v>0.81472974052840219</v>
      </c>
      <c r="F139" s="206">
        <f t="shared" si="34"/>
        <v>22182.22</v>
      </c>
      <c r="G139" s="206">
        <v>0</v>
      </c>
      <c r="H139" s="206">
        <v>0</v>
      </c>
      <c r="I139" s="206">
        <v>0</v>
      </c>
      <c r="J139" s="206">
        <v>0</v>
      </c>
      <c r="K139" s="206">
        <v>0</v>
      </c>
      <c r="L139" s="206">
        <v>0</v>
      </c>
      <c r="M139" s="297">
        <v>0</v>
      </c>
      <c r="N139" s="206">
        <v>0</v>
      </c>
      <c r="O139" s="206">
        <v>531</v>
      </c>
      <c r="P139" s="206">
        <v>21854.400000000001</v>
      </c>
      <c r="Q139" s="206">
        <v>0</v>
      </c>
      <c r="R139" s="206">
        <v>0</v>
      </c>
      <c r="S139" s="206">
        <v>0</v>
      </c>
      <c r="T139" s="229">
        <v>0</v>
      </c>
      <c r="U139" s="206">
        <v>0</v>
      </c>
      <c r="V139" s="206">
        <v>0</v>
      </c>
      <c r="W139" s="206">
        <v>0</v>
      </c>
      <c r="X139" s="206">
        <v>0</v>
      </c>
      <c r="Y139" s="206">
        <v>0</v>
      </c>
      <c r="Z139" s="206">
        <v>0</v>
      </c>
      <c r="AA139" s="206">
        <v>0</v>
      </c>
      <c r="AB139" s="206">
        <v>0</v>
      </c>
      <c r="AC139" s="206">
        <v>0</v>
      </c>
      <c r="AD139" s="206">
        <v>0</v>
      </c>
      <c r="AE139" s="206">
        <f t="shared" si="33"/>
        <v>327.82</v>
      </c>
      <c r="AF139" s="206">
        <v>0</v>
      </c>
      <c r="AG139" s="206">
        <v>0</v>
      </c>
      <c r="AH139" s="298" t="s">
        <v>271</v>
      </c>
      <c r="AI139" s="298">
        <v>2020</v>
      </c>
      <c r="AJ139" s="298">
        <v>2020</v>
      </c>
      <c r="AK139" s="299"/>
      <c r="AL139" s="299"/>
      <c r="AM139" s="299"/>
      <c r="AN139" s="299"/>
    </row>
    <row r="140" spans="1:40" customFormat="1" ht="62.25" x14ac:dyDescent="0.9">
      <c r="B140" s="286" t="s">
        <v>1422</v>
      </c>
      <c r="C140" s="287"/>
      <c r="D140" s="288" t="s">
        <v>903</v>
      </c>
      <c r="E140" s="284">
        <f>AVERAGE(E141:E155)</f>
        <v>0.90385558590968551</v>
      </c>
      <c r="F140" s="208">
        <f>SUM(F141:F155)</f>
        <v>5709398.21</v>
      </c>
      <c r="G140" s="208">
        <f t="shared" ref="G140:AG140" si="35">SUM(G141:G155)</f>
        <v>0</v>
      </c>
      <c r="H140" s="208">
        <f t="shared" si="35"/>
        <v>0</v>
      </c>
      <c r="I140" s="208">
        <f t="shared" si="35"/>
        <v>0</v>
      </c>
      <c r="J140" s="208">
        <f t="shared" si="35"/>
        <v>0</v>
      </c>
      <c r="K140" s="208">
        <f t="shared" si="35"/>
        <v>0</v>
      </c>
      <c r="L140" s="208">
        <f t="shared" si="35"/>
        <v>0</v>
      </c>
      <c r="M140" s="208">
        <f t="shared" si="35"/>
        <v>0</v>
      </c>
      <c r="N140" s="208">
        <f t="shared" si="35"/>
        <v>0</v>
      </c>
      <c r="O140" s="208">
        <f t="shared" si="35"/>
        <v>14263</v>
      </c>
      <c r="P140" s="208">
        <f t="shared" si="35"/>
        <v>5540269.2199999997</v>
      </c>
      <c r="Q140" s="208">
        <f t="shared" si="35"/>
        <v>0</v>
      </c>
      <c r="R140" s="208">
        <f t="shared" si="35"/>
        <v>0</v>
      </c>
      <c r="S140" s="208">
        <f t="shared" si="35"/>
        <v>0</v>
      </c>
      <c r="T140" s="208">
        <f t="shared" si="35"/>
        <v>0</v>
      </c>
      <c r="U140" s="208">
        <f t="shared" si="35"/>
        <v>0</v>
      </c>
      <c r="V140" s="208">
        <f t="shared" si="35"/>
        <v>0</v>
      </c>
      <c r="W140" s="208">
        <f t="shared" si="35"/>
        <v>0</v>
      </c>
      <c r="X140" s="208">
        <f t="shared" si="35"/>
        <v>85007</v>
      </c>
      <c r="Y140" s="208">
        <f t="shared" si="35"/>
        <v>0</v>
      </c>
      <c r="Z140" s="208">
        <f t="shared" si="35"/>
        <v>0</v>
      </c>
      <c r="AA140" s="208">
        <f t="shared" si="35"/>
        <v>0</v>
      </c>
      <c r="AB140" s="208">
        <f t="shared" si="35"/>
        <v>0</v>
      </c>
      <c r="AC140" s="208">
        <f t="shared" si="35"/>
        <v>0</v>
      </c>
      <c r="AD140" s="208">
        <f t="shared" si="35"/>
        <v>0</v>
      </c>
      <c r="AE140" s="208">
        <f t="shared" si="35"/>
        <v>84121.99</v>
      </c>
      <c r="AF140" s="208">
        <f t="shared" si="35"/>
        <v>0</v>
      </c>
      <c r="AG140" s="208">
        <f t="shared" si="35"/>
        <v>0</v>
      </c>
      <c r="AH140" s="285" t="s">
        <v>903</v>
      </c>
      <c r="AI140" s="285" t="s">
        <v>903</v>
      </c>
      <c r="AJ140" s="285" t="s">
        <v>903</v>
      </c>
      <c r="AK140" s="152"/>
      <c r="AL140" s="152"/>
      <c r="AM140" s="152"/>
      <c r="AN140" s="152"/>
    </row>
    <row r="141" spans="1:40" customFormat="1" ht="62.25" x14ac:dyDescent="0.9">
      <c r="A141">
        <v>1</v>
      </c>
      <c r="B141" s="274">
        <v>67</v>
      </c>
      <c r="C141" s="289" t="s">
        <v>1473</v>
      </c>
      <c r="D141" s="290" t="s">
        <v>1911</v>
      </c>
      <c r="E141" s="284">
        <v>0.95770131483230581</v>
      </c>
      <c r="F141" s="208">
        <f t="shared" si="24"/>
        <v>1768733.14</v>
      </c>
      <c r="G141" s="208">
        <v>0</v>
      </c>
      <c r="H141" s="208">
        <v>0</v>
      </c>
      <c r="I141" s="208">
        <v>0</v>
      </c>
      <c r="J141" s="208">
        <v>0</v>
      </c>
      <c r="K141" s="208">
        <v>0</v>
      </c>
      <c r="L141" s="208">
        <v>0</v>
      </c>
      <c r="M141" s="276">
        <v>0</v>
      </c>
      <c r="N141" s="208">
        <v>0</v>
      </c>
      <c r="O141" s="208">
        <v>2039</v>
      </c>
      <c r="P141" s="208">
        <v>1742723</v>
      </c>
      <c r="Q141" s="208">
        <v>0</v>
      </c>
      <c r="R141" s="208">
        <v>0</v>
      </c>
      <c r="S141" s="208">
        <v>0</v>
      </c>
      <c r="T141" s="291">
        <v>0</v>
      </c>
      <c r="U141" s="208">
        <v>0</v>
      </c>
      <c r="V141" s="208">
        <v>0</v>
      </c>
      <c r="W141" s="208">
        <v>0</v>
      </c>
      <c r="X141" s="208">
        <v>0</v>
      </c>
      <c r="Y141" s="208">
        <v>0</v>
      </c>
      <c r="Z141" s="208">
        <v>0</v>
      </c>
      <c r="AA141" s="208">
        <v>0</v>
      </c>
      <c r="AB141" s="208">
        <v>0</v>
      </c>
      <c r="AC141" s="208">
        <v>0</v>
      </c>
      <c r="AD141" s="208">
        <v>0</v>
      </c>
      <c r="AE141" s="208">
        <v>26010.14</v>
      </c>
      <c r="AF141" s="208">
        <v>0</v>
      </c>
      <c r="AG141" s="208">
        <v>0</v>
      </c>
      <c r="AH141" s="285" t="s">
        <v>271</v>
      </c>
      <c r="AI141" s="285">
        <v>2020</v>
      </c>
      <c r="AJ141" s="285">
        <v>2020</v>
      </c>
      <c r="AK141" s="152"/>
      <c r="AL141" s="152"/>
      <c r="AM141" s="152"/>
      <c r="AN141" s="152"/>
    </row>
    <row r="142" spans="1:40" customFormat="1" ht="62.25" x14ac:dyDescent="0.9">
      <c r="A142">
        <v>1</v>
      </c>
      <c r="B142" s="274">
        <v>68</v>
      </c>
      <c r="C142" s="289" t="s">
        <v>1474</v>
      </c>
      <c r="D142" s="290" t="s">
        <v>1910</v>
      </c>
      <c r="E142" s="284">
        <v>0.91669999999999996</v>
      </c>
      <c r="F142" s="208">
        <f t="shared" si="24"/>
        <v>224080.54</v>
      </c>
      <c r="G142" s="208">
        <v>0</v>
      </c>
      <c r="H142" s="208">
        <v>0</v>
      </c>
      <c r="I142" s="208">
        <v>0</v>
      </c>
      <c r="J142" s="208">
        <v>0</v>
      </c>
      <c r="K142" s="208">
        <v>0</v>
      </c>
      <c r="L142" s="208">
        <v>0</v>
      </c>
      <c r="M142" s="276">
        <v>0</v>
      </c>
      <c r="N142" s="208">
        <v>0</v>
      </c>
      <c r="O142" s="208">
        <v>1135</v>
      </c>
      <c r="P142" s="208">
        <v>220769</v>
      </c>
      <c r="Q142" s="208">
        <v>0</v>
      </c>
      <c r="R142" s="208">
        <v>0</v>
      </c>
      <c r="S142" s="208">
        <v>0</v>
      </c>
      <c r="T142" s="291">
        <v>0</v>
      </c>
      <c r="U142" s="208">
        <v>0</v>
      </c>
      <c r="V142" s="208">
        <v>0</v>
      </c>
      <c r="W142" s="208">
        <v>0</v>
      </c>
      <c r="X142" s="208">
        <v>0</v>
      </c>
      <c r="Y142" s="208">
        <v>0</v>
      </c>
      <c r="Z142" s="208">
        <v>0</v>
      </c>
      <c r="AA142" s="208">
        <v>0</v>
      </c>
      <c r="AB142" s="208">
        <v>0</v>
      </c>
      <c r="AC142" s="208">
        <v>0</v>
      </c>
      <c r="AD142" s="208">
        <v>0</v>
      </c>
      <c r="AE142" s="208">
        <f t="shared" ref="AE142:AE152" si="36">ROUND(P142*1.5%,2)</f>
        <v>3311.54</v>
      </c>
      <c r="AF142" s="208">
        <v>0</v>
      </c>
      <c r="AG142" s="208">
        <v>0</v>
      </c>
      <c r="AH142" s="285" t="s">
        <v>271</v>
      </c>
      <c r="AI142" s="285">
        <v>2020</v>
      </c>
      <c r="AJ142" s="285">
        <v>2020</v>
      </c>
      <c r="AK142" s="152"/>
      <c r="AL142" s="152"/>
      <c r="AM142" s="152"/>
      <c r="AN142" s="152"/>
    </row>
    <row r="143" spans="1:40" customFormat="1" ht="62.25" x14ac:dyDescent="0.9">
      <c r="A143">
        <v>1</v>
      </c>
      <c r="B143" s="274">
        <v>69</v>
      </c>
      <c r="C143" s="289" t="s">
        <v>1475</v>
      </c>
      <c r="D143" s="290" t="s">
        <v>1911</v>
      </c>
      <c r="E143" s="284">
        <v>0.98309999999999997</v>
      </c>
      <c r="F143" s="208">
        <f t="shared" si="24"/>
        <v>31696.09</v>
      </c>
      <c r="G143" s="208">
        <v>0</v>
      </c>
      <c r="H143" s="208">
        <v>0</v>
      </c>
      <c r="I143" s="208">
        <v>0</v>
      </c>
      <c r="J143" s="208">
        <v>0</v>
      </c>
      <c r="K143" s="208">
        <v>0</v>
      </c>
      <c r="L143" s="208">
        <v>0</v>
      </c>
      <c r="M143" s="276">
        <v>0</v>
      </c>
      <c r="N143" s="208">
        <v>0</v>
      </c>
      <c r="O143" s="208">
        <v>1845</v>
      </c>
      <c r="P143" s="208">
        <v>31229.98</v>
      </c>
      <c r="Q143" s="208">
        <v>0</v>
      </c>
      <c r="R143" s="208">
        <v>0</v>
      </c>
      <c r="S143" s="208">
        <v>0</v>
      </c>
      <c r="T143" s="291">
        <v>0</v>
      </c>
      <c r="U143" s="208">
        <v>0</v>
      </c>
      <c r="V143" s="208">
        <v>0</v>
      </c>
      <c r="W143" s="208">
        <v>0</v>
      </c>
      <c r="X143" s="208">
        <v>0</v>
      </c>
      <c r="Y143" s="208">
        <v>0</v>
      </c>
      <c r="Z143" s="208">
        <v>0</v>
      </c>
      <c r="AA143" s="208">
        <v>0</v>
      </c>
      <c r="AB143" s="208">
        <v>0</v>
      </c>
      <c r="AC143" s="208">
        <v>0</v>
      </c>
      <c r="AD143" s="208">
        <v>0</v>
      </c>
      <c r="AE143" s="208">
        <v>466.11</v>
      </c>
      <c r="AF143" s="208">
        <v>0</v>
      </c>
      <c r="AG143" s="208">
        <v>0</v>
      </c>
      <c r="AH143" s="285" t="s">
        <v>271</v>
      </c>
      <c r="AI143" s="285">
        <v>2020</v>
      </c>
      <c r="AJ143" s="285">
        <v>2020</v>
      </c>
      <c r="AK143" s="152"/>
      <c r="AL143" s="152"/>
      <c r="AM143" s="152"/>
      <c r="AN143" s="152"/>
    </row>
    <row r="144" spans="1:40" customFormat="1" ht="62.25" x14ac:dyDescent="0.9">
      <c r="A144">
        <v>1</v>
      </c>
      <c r="B144" s="274">
        <v>70</v>
      </c>
      <c r="C144" s="289" t="s">
        <v>1476</v>
      </c>
      <c r="D144" s="290" t="s">
        <v>1911</v>
      </c>
      <c r="E144" s="284">
        <v>0.9163</v>
      </c>
      <c r="F144" s="208">
        <f t="shared" si="24"/>
        <v>97162</v>
      </c>
      <c r="G144" s="208">
        <v>0</v>
      </c>
      <c r="H144" s="208">
        <v>0</v>
      </c>
      <c r="I144" s="208">
        <v>0</v>
      </c>
      <c r="J144" s="208">
        <v>0</v>
      </c>
      <c r="K144" s="208">
        <v>0</v>
      </c>
      <c r="L144" s="208">
        <v>0</v>
      </c>
      <c r="M144" s="276">
        <v>0</v>
      </c>
      <c r="N144" s="208">
        <v>0</v>
      </c>
      <c r="O144" s="208">
        <v>736</v>
      </c>
      <c r="P144" s="208">
        <v>95726.11</v>
      </c>
      <c r="Q144" s="208">
        <v>0</v>
      </c>
      <c r="R144" s="208">
        <v>0</v>
      </c>
      <c r="S144" s="208">
        <v>0</v>
      </c>
      <c r="T144" s="291">
        <v>0</v>
      </c>
      <c r="U144" s="208">
        <v>0</v>
      </c>
      <c r="V144" s="208">
        <v>0</v>
      </c>
      <c r="W144" s="208">
        <v>0</v>
      </c>
      <c r="X144" s="208">
        <v>0</v>
      </c>
      <c r="Y144" s="208">
        <v>0</v>
      </c>
      <c r="Z144" s="208">
        <v>0</v>
      </c>
      <c r="AA144" s="208">
        <v>0</v>
      </c>
      <c r="AB144" s="208">
        <v>0</v>
      </c>
      <c r="AC144" s="208">
        <v>0</v>
      </c>
      <c r="AD144" s="208">
        <v>0</v>
      </c>
      <c r="AE144" s="208">
        <f t="shared" si="36"/>
        <v>1435.89</v>
      </c>
      <c r="AF144" s="208">
        <v>0</v>
      </c>
      <c r="AG144" s="208">
        <v>0</v>
      </c>
      <c r="AH144" s="285" t="s">
        <v>271</v>
      </c>
      <c r="AI144" s="285">
        <v>2020</v>
      </c>
      <c r="AJ144" s="285">
        <v>2020</v>
      </c>
      <c r="AK144" s="152"/>
      <c r="AL144" s="152"/>
      <c r="AM144" s="152"/>
      <c r="AN144" s="152"/>
    </row>
    <row r="145" spans="1:40" customFormat="1" ht="62.25" x14ac:dyDescent="0.9">
      <c r="A145">
        <v>1</v>
      </c>
      <c r="B145" s="274">
        <v>71</v>
      </c>
      <c r="C145" s="289" t="s">
        <v>1477</v>
      </c>
      <c r="D145" s="290" t="s">
        <v>1910</v>
      </c>
      <c r="E145" s="284">
        <v>0.88370000000000004</v>
      </c>
      <c r="F145" s="208">
        <f t="shared" si="24"/>
        <v>115006.25</v>
      </c>
      <c r="G145" s="208">
        <v>0</v>
      </c>
      <c r="H145" s="208">
        <v>0</v>
      </c>
      <c r="I145" s="208">
        <v>0</v>
      </c>
      <c r="J145" s="208">
        <v>0</v>
      </c>
      <c r="K145" s="208">
        <v>0</v>
      </c>
      <c r="L145" s="208">
        <v>0</v>
      </c>
      <c r="M145" s="276">
        <v>0</v>
      </c>
      <c r="N145" s="208">
        <v>0</v>
      </c>
      <c r="O145" s="208">
        <v>518</v>
      </c>
      <c r="P145" s="208">
        <v>113315.02</v>
      </c>
      <c r="Q145" s="208">
        <v>0</v>
      </c>
      <c r="R145" s="208">
        <v>0</v>
      </c>
      <c r="S145" s="208">
        <v>0</v>
      </c>
      <c r="T145" s="291">
        <v>0</v>
      </c>
      <c r="U145" s="208">
        <v>0</v>
      </c>
      <c r="V145" s="208">
        <v>0</v>
      </c>
      <c r="W145" s="208">
        <v>0</v>
      </c>
      <c r="X145" s="208">
        <v>0</v>
      </c>
      <c r="Y145" s="208">
        <v>0</v>
      </c>
      <c r="Z145" s="208">
        <v>0</v>
      </c>
      <c r="AA145" s="208">
        <v>0</v>
      </c>
      <c r="AB145" s="208">
        <v>0</v>
      </c>
      <c r="AC145" s="208">
        <v>0</v>
      </c>
      <c r="AD145" s="208">
        <v>0</v>
      </c>
      <c r="AE145" s="208">
        <v>1691.23</v>
      </c>
      <c r="AF145" s="208">
        <v>0</v>
      </c>
      <c r="AG145" s="208">
        <v>0</v>
      </c>
      <c r="AH145" s="285" t="s">
        <v>271</v>
      </c>
      <c r="AI145" s="285">
        <v>2020</v>
      </c>
      <c r="AJ145" s="285">
        <v>2020</v>
      </c>
      <c r="AK145" s="152"/>
      <c r="AL145" s="152"/>
      <c r="AM145" s="152"/>
      <c r="AN145" s="152"/>
    </row>
    <row r="146" spans="1:40" customFormat="1" ht="62.25" x14ac:dyDescent="0.9">
      <c r="A146">
        <v>1</v>
      </c>
      <c r="B146" s="274">
        <v>72</v>
      </c>
      <c r="C146" s="289" t="s">
        <v>1478</v>
      </c>
      <c r="D146" s="290" t="s">
        <v>1911</v>
      </c>
      <c r="E146" s="284">
        <v>1.000675491846317</v>
      </c>
      <c r="F146" s="208">
        <f t="shared" si="24"/>
        <v>1485022.6</v>
      </c>
      <c r="G146" s="208">
        <v>0</v>
      </c>
      <c r="H146" s="208">
        <v>0</v>
      </c>
      <c r="I146" s="208">
        <v>0</v>
      </c>
      <c r="J146" s="208">
        <v>0</v>
      </c>
      <c r="K146" s="208">
        <v>0</v>
      </c>
      <c r="L146" s="208">
        <v>0</v>
      </c>
      <c r="M146" s="276">
        <v>0</v>
      </c>
      <c r="N146" s="208">
        <v>0</v>
      </c>
      <c r="O146" s="208">
        <v>1238</v>
      </c>
      <c r="P146" s="208">
        <v>1463184.57</v>
      </c>
      <c r="Q146" s="208">
        <v>0</v>
      </c>
      <c r="R146" s="208">
        <v>0</v>
      </c>
      <c r="S146" s="208">
        <v>0</v>
      </c>
      <c r="T146" s="291">
        <v>0</v>
      </c>
      <c r="U146" s="208">
        <v>0</v>
      </c>
      <c r="V146" s="208">
        <v>0</v>
      </c>
      <c r="W146" s="208">
        <v>0</v>
      </c>
      <c r="X146" s="208">
        <v>0</v>
      </c>
      <c r="Y146" s="208">
        <v>0</v>
      </c>
      <c r="Z146" s="208">
        <v>0</v>
      </c>
      <c r="AA146" s="208">
        <v>0</v>
      </c>
      <c r="AB146" s="208">
        <v>0</v>
      </c>
      <c r="AC146" s="208">
        <v>0</v>
      </c>
      <c r="AD146" s="208">
        <v>0</v>
      </c>
      <c r="AE146" s="208">
        <v>21838.03</v>
      </c>
      <c r="AF146" s="208">
        <v>0</v>
      </c>
      <c r="AG146" s="208">
        <v>0</v>
      </c>
      <c r="AH146" s="285" t="s">
        <v>271</v>
      </c>
      <c r="AI146" s="285">
        <v>2020</v>
      </c>
      <c r="AJ146" s="285">
        <v>2020</v>
      </c>
      <c r="AK146" s="152"/>
      <c r="AL146" s="152"/>
      <c r="AM146" s="152"/>
      <c r="AN146" s="152"/>
    </row>
    <row r="147" spans="1:40" customFormat="1" ht="62.25" x14ac:dyDescent="0.9">
      <c r="A147">
        <v>1</v>
      </c>
      <c r="B147" s="274">
        <v>73</v>
      </c>
      <c r="C147" s="289" t="s">
        <v>1479</v>
      </c>
      <c r="D147" s="290" t="s">
        <v>1911</v>
      </c>
      <c r="E147" s="284">
        <v>0.80026822300653366</v>
      </c>
      <c r="F147" s="208">
        <f t="shared" si="24"/>
        <v>184374.75</v>
      </c>
      <c r="G147" s="208">
        <v>0</v>
      </c>
      <c r="H147" s="208">
        <v>0</v>
      </c>
      <c r="I147" s="208">
        <v>0</v>
      </c>
      <c r="J147" s="208">
        <v>0</v>
      </c>
      <c r="K147" s="208">
        <v>0</v>
      </c>
      <c r="L147" s="208">
        <v>0</v>
      </c>
      <c r="M147" s="276">
        <v>0</v>
      </c>
      <c r="N147" s="208">
        <v>0</v>
      </c>
      <c r="O147" s="208">
        <v>668</v>
      </c>
      <c r="P147" s="208">
        <v>181650</v>
      </c>
      <c r="Q147" s="208">
        <v>0</v>
      </c>
      <c r="R147" s="208">
        <v>0</v>
      </c>
      <c r="S147" s="208">
        <v>0</v>
      </c>
      <c r="T147" s="291">
        <v>0</v>
      </c>
      <c r="U147" s="208">
        <v>0</v>
      </c>
      <c r="V147" s="208">
        <v>0</v>
      </c>
      <c r="W147" s="208">
        <v>0</v>
      </c>
      <c r="X147" s="208">
        <v>0</v>
      </c>
      <c r="Y147" s="208">
        <v>0</v>
      </c>
      <c r="Z147" s="208">
        <v>0</v>
      </c>
      <c r="AA147" s="208">
        <v>0</v>
      </c>
      <c r="AB147" s="208">
        <v>0</v>
      </c>
      <c r="AC147" s="208">
        <v>0</v>
      </c>
      <c r="AD147" s="208">
        <v>0</v>
      </c>
      <c r="AE147" s="208">
        <f t="shared" si="36"/>
        <v>2724.75</v>
      </c>
      <c r="AF147" s="208">
        <v>0</v>
      </c>
      <c r="AG147" s="208">
        <v>0</v>
      </c>
      <c r="AH147" s="285" t="s">
        <v>271</v>
      </c>
      <c r="AI147" s="285">
        <v>2020</v>
      </c>
      <c r="AJ147" s="285">
        <v>2020</v>
      </c>
      <c r="AK147" s="152"/>
      <c r="AL147" s="152"/>
      <c r="AM147" s="152"/>
      <c r="AN147" s="152"/>
    </row>
    <row r="148" spans="1:40" customFormat="1" ht="62.25" x14ac:dyDescent="0.9">
      <c r="A148">
        <v>1</v>
      </c>
      <c r="B148" s="274">
        <v>74</v>
      </c>
      <c r="C148" s="289" t="s">
        <v>1480</v>
      </c>
      <c r="D148" s="290" t="s">
        <v>1910</v>
      </c>
      <c r="E148" s="284">
        <v>0.92587279445283599</v>
      </c>
      <c r="F148" s="208">
        <f t="shared" si="24"/>
        <v>21660.55</v>
      </c>
      <c r="G148" s="208">
        <v>0</v>
      </c>
      <c r="H148" s="208">
        <v>0</v>
      </c>
      <c r="I148" s="208">
        <v>0</v>
      </c>
      <c r="J148" s="208">
        <v>0</v>
      </c>
      <c r="K148" s="208">
        <v>0</v>
      </c>
      <c r="L148" s="208">
        <v>0</v>
      </c>
      <c r="M148" s="276">
        <v>0</v>
      </c>
      <c r="N148" s="208">
        <v>0</v>
      </c>
      <c r="O148" s="208">
        <v>559</v>
      </c>
      <c r="P148" s="208">
        <v>21342.02</v>
      </c>
      <c r="Q148" s="208">
        <v>0</v>
      </c>
      <c r="R148" s="208">
        <v>0</v>
      </c>
      <c r="S148" s="208">
        <v>0</v>
      </c>
      <c r="T148" s="291">
        <v>0</v>
      </c>
      <c r="U148" s="208">
        <v>0</v>
      </c>
      <c r="V148" s="208">
        <v>0</v>
      </c>
      <c r="W148" s="208">
        <v>0</v>
      </c>
      <c r="X148" s="208">
        <v>0</v>
      </c>
      <c r="Y148" s="208">
        <v>0</v>
      </c>
      <c r="Z148" s="208">
        <v>0</v>
      </c>
      <c r="AA148" s="208">
        <v>0</v>
      </c>
      <c r="AB148" s="208">
        <v>0</v>
      </c>
      <c r="AC148" s="208">
        <v>0</v>
      </c>
      <c r="AD148" s="208">
        <v>0</v>
      </c>
      <c r="AE148" s="208">
        <v>318.52999999999997</v>
      </c>
      <c r="AF148" s="208">
        <v>0</v>
      </c>
      <c r="AG148" s="208">
        <v>0</v>
      </c>
      <c r="AH148" s="285" t="s">
        <v>271</v>
      </c>
      <c r="AI148" s="285">
        <v>2020</v>
      </c>
      <c r="AJ148" s="285">
        <v>2020</v>
      </c>
      <c r="AK148" s="152"/>
      <c r="AL148" s="152"/>
      <c r="AM148" s="152"/>
      <c r="AN148" s="152"/>
    </row>
    <row r="149" spans="1:40" customFormat="1" ht="62.25" x14ac:dyDescent="0.9">
      <c r="A149">
        <v>1</v>
      </c>
      <c r="B149" s="274">
        <v>75</v>
      </c>
      <c r="C149" s="289" t="s">
        <v>1481</v>
      </c>
      <c r="D149" s="290" t="s">
        <v>1911</v>
      </c>
      <c r="E149" s="284">
        <v>0.87360000000000004</v>
      </c>
      <c r="F149" s="208">
        <f t="shared" si="24"/>
        <v>1197776.18</v>
      </c>
      <c r="G149" s="208">
        <v>0</v>
      </c>
      <c r="H149" s="208">
        <v>0</v>
      </c>
      <c r="I149" s="208">
        <v>0</v>
      </c>
      <c r="J149" s="208">
        <v>0</v>
      </c>
      <c r="K149" s="208">
        <v>0</v>
      </c>
      <c r="L149" s="208">
        <v>0</v>
      </c>
      <c r="M149" s="276">
        <v>0</v>
      </c>
      <c r="N149" s="208">
        <v>0</v>
      </c>
      <c r="O149" s="208">
        <v>1549</v>
      </c>
      <c r="P149" s="208">
        <v>1180075.05</v>
      </c>
      <c r="Q149" s="208">
        <v>0</v>
      </c>
      <c r="R149" s="208">
        <v>0</v>
      </c>
      <c r="S149" s="208">
        <v>0</v>
      </c>
      <c r="T149" s="291">
        <v>0</v>
      </c>
      <c r="U149" s="208">
        <v>0</v>
      </c>
      <c r="V149" s="208">
        <v>0</v>
      </c>
      <c r="W149" s="208">
        <v>0</v>
      </c>
      <c r="X149" s="208">
        <v>0</v>
      </c>
      <c r="Y149" s="208">
        <v>0</v>
      </c>
      <c r="Z149" s="208">
        <v>0</v>
      </c>
      <c r="AA149" s="208">
        <v>0</v>
      </c>
      <c r="AB149" s="208">
        <v>0</v>
      </c>
      <c r="AC149" s="208">
        <v>0</v>
      </c>
      <c r="AD149" s="208">
        <v>0</v>
      </c>
      <c r="AE149" s="208">
        <f t="shared" si="36"/>
        <v>17701.13</v>
      </c>
      <c r="AF149" s="208">
        <v>0</v>
      </c>
      <c r="AG149" s="208">
        <v>0</v>
      </c>
      <c r="AH149" s="285" t="s">
        <v>271</v>
      </c>
      <c r="AI149" s="285">
        <v>2020</v>
      </c>
      <c r="AJ149" s="285">
        <v>2020</v>
      </c>
      <c r="AK149" s="152"/>
      <c r="AL149" s="152"/>
      <c r="AM149" s="152"/>
      <c r="AN149" s="152"/>
    </row>
    <row r="150" spans="1:40" customFormat="1" ht="62.25" x14ac:dyDescent="0.9">
      <c r="A150">
        <v>1</v>
      </c>
      <c r="B150" s="274">
        <v>76</v>
      </c>
      <c r="C150" s="289" t="s">
        <v>1482</v>
      </c>
      <c r="D150" s="290" t="s">
        <v>1910</v>
      </c>
      <c r="E150" s="284">
        <v>0.78059999999999996</v>
      </c>
      <c r="F150" s="208">
        <f t="shared" si="24"/>
        <v>58127.710000000006</v>
      </c>
      <c r="G150" s="208">
        <v>0</v>
      </c>
      <c r="H150" s="208">
        <v>0</v>
      </c>
      <c r="I150" s="208">
        <v>0</v>
      </c>
      <c r="J150" s="208">
        <v>0</v>
      </c>
      <c r="K150" s="208">
        <v>0</v>
      </c>
      <c r="L150" s="208">
        <v>0</v>
      </c>
      <c r="M150" s="276">
        <v>0</v>
      </c>
      <c r="N150" s="208">
        <v>0</v>
      </c>
      <c r="O150" s="208">
        <v>450</v>
      </c>
      <c r="P150" s="208">
        <v>57272.91</v>
      </c>
      <c r="Q150" s="208">
        <v>0</v>
      </c>
      <c r="R150" s="208">
        <v>0</v>
      </c>
      <c r="S150" s="208">
        <v>0</v>
      </c>
      <c r="T150" s="291">
        <v>0</v>
      </c>
      <c r="U150" s="208">
        <v>0</v>
      </c>
      <c r="V150" s="208">
        <v>0</v>
      </c>
      <c r="W150" s="208">
        <v>0</v>
      </c>
      <c r="X150" s="208">
        <v>0</v>
      </c>
      <c r="Y150" s="208">
        <v>0</v>
      </c>
      <c r="Z150" s="208">
        <v>0</v>
      </c>
      <c r="AA150" s="208">
        <v>0</v>
      </c>
      <c r="AB150" s="208">
        <v>0</v>
      </c>
      <c r="AC150" s="208">
        <v>0</v>
      </c>
      <c r="AD150" s="208">
        <v>0</v>
      </c>
      <c r="AE150" s="208">
        <v>854.8</v>
      </c>
      <c r="AF150" s="208">
        <v>0</v>
      </c>
      <c r="AG150" s="208">
        <v>0</v>
      </c>
      <c r="AH150" s="285" t="s">
        <v>271</v>
      </c>
      <c r="AI150" s="285">
        <v>2020</v>
      </c>
      <c r="AJ150" s="285">
        <v>2020</v>
      </c>
      <c r="AK150" s="152"/>
      <c r="AL150" s="152"/>
      <c r="AM150" s="152"/>
      <c r="AN150" s="152"/>
    </row>
    <row r="151" spans="1:40" customFormat="1" ht="62.25" x14ac:dyDescent="0.9">
      <c r="A151">
        <v>1</v>
      </c>
      <c r="B151" s="274">
        <v>77</v>
      </c>
      <c r="C151" s="289" t="s">
        <v>1177</v>
      </c>
      <c r="D151" s="290" t="s">
        <v>1911</v>
      </c>
      <c r="E151" s="284">
        <v>0.88049999999999995</v>
      </c>
      <c r="F151" s="208">
        <f t="shared" si="24"/>
        <v>174222.72</v>
      </c>
      <c r="G151" s="208">
        <v>0</v>
      </c>
      <c r="H151" s="208">
        <v>0</v>
      </c>
      <c r="I151" s="208">
        <v>0</v>
      </c>
      <c r="J151" s="208">
        <v>0</v>
      </c>
      <c r="K151" s="208">
        <v>0</v>
      </c>
      <c r="L151" s="208">
        <v>0</v>
      </c>
      <c r="M151" s="276">
        <v>0</v>
      </c>
      <c r="N151" s="208">
        <v>0</v>
      </c>
      <c r="O151" s="208">
        <v>498</v>
      </c>
      <c r="P151" s="208">
        <v>171648</v>
      </c>
      <c r="Q151" s="208">
        <v>0</v>
      </c>
      <c r="R151" s="208">
        <v>0</v>
      </c>
      <c r="S151" s="208">
        <v>0</v>
      </c>
      <c r="T151" s="291">
        <v>0</v>
      </c>
      <c r="U151" s="208">
        <v>0</v>
      </c>
      <c r="V151" s="208">
        <v>0</v>
      </c>
      <c r="W151" s="208">
        <v>0</v>
      </c>
      <c r="X151" s="208">
        <v>0</v>
      </c>
      <c r="Y151" s="208">
        <v>0</v>
      </c>
      <c r="Z151" s="208">
        <v>0</v>
      </c>
      <c r="AA151" s="208">
        <v>0</v>
      </c>
      <c r="AB151" s="208">
        <v>0</v>
      </c>
      <c r="AC151" s="208">
        <v>0</v>
      </c>
      <c r="AD151" s="208">
        <v>0</v>
      </c>
      <c r="AE151" s="208">
        <f t="shared" si="36"/>
        <v>2574.7199999999998</v>
      </c>
      <c r="AF151" s="208">
        <v>0</v>
      </c>
      <c r="AG151" s="208">
        <v>0</v>
      </c>
      <c r="AH151" s="285" t="s">
        <v>271</v>
      </c>
      <c r="AI151" s="285">
        <v>2020</v>
      </c>
      <c r="AJ151" s="285">
        <v>2020</v>
      </c>
      <c r="AK151" s="152"/>
      <c r="AL151" s="152"/>
      <c r="AM151" s="152"/>
      <c r="AN151" s="152"/>
    </row>
    <row r="152" spans="1:40" customFormat="1" ht="62.25" x14ac:dyDescent="0.9">
      <c r="A152">
        <v>1</v>
      </c>
      <c r="B152" s="274">
        <v>78</v>
      </c>
      <c r="C152" s="289" t="s">
        <v>1483</v>
      </c>
      <c r="D152" s="290">
        <v>2017</v>
      </c>
      <c r="E152" s="284">
        <v>0.97189999999999999</v>
      </c>
      <c r="F152" s="208">
        <f t="shared" si="24"/>
        <v>101365.01</v>
      </c>
      <c r="G152" s="208">
        <v>0</v>
      </c>
      <c r="H152" s="208">
        <v>0</v>
      </c>
      <c r="I152" s="208">
        <v>0</v>
      </c>
      <c r="J152" s="208">
        <v>0</v>
      </c>
      <c r="K152" s="208">
        <v>0</v>
      </c>
      <c r="L152" s="208">
        <v>0</v>
      </c>
      <c r="M152" s="276">
        <v>0</v>
      </c>
      <c r="N152" s="208">
        <v>0</v>
      </c>
      <c r="O152" s="208">
        <v>1067</v>
      </c>
      <c r="P152" s="208">
        <v>99867</v>
      </c>
      <c r="Q152" s="208">
        <v>0</v>
      </c>
      <c r="R152" s="208">
        <v>0</v>
      </c>
      <c r="S152" s="208">
        <v>0</v>
      </c>
      <c r="T152" s="291">
        <v>0</v>
      </c>
      <c r="U152" s="208">
        <v>0</v>
      </c>
      <c r="V152" s="208">
        <v>0</v>
      </c>
      <c r="W152" s="208">
        <v>0</v>
      </c>
      <c r="X152" s="208">
        <v>0</v>
      </c>
      <c r="Y152" s="208">
        <v>0</v>
      </c>
      <c r="Z152" s="208">
        <v>0</v>
      </c>
      <c r="AA152" s="208">
        <v>0</v>
      </c>
      <c r="AB152" s="208">
        <v>0</v>
      </c>
      <c r="AC152" s="208">
        <v>0</v>
      </c>
      <c r="AD152" s="208">
        <v>0</v>
      </c>
      <c r="AE152" s="208">
        <f t="shared" si="36"/>
        <v>1498.01</v>
      </c>
      <c r="AF152" s="208">
        <v>0</v>
      </c>
      <c r="AG152" s="208">
        <v>0</v>
      </c>
      <c r="AH152" s="285" t="s">
        <v>271</v>
      </c>
      <c r="AI152" s="285">
        <v>2020</v>
      </c>
      <c r="AJ152" s="285">
        <v>2020</v>
      </c>
      <c r="AK152" s="152"/>
      <c r="AL152" s="152"/>
      <c r="AM152" s="152"/>
      <c r="AN152" s="152"/>
    </row>
    <row r="153" spans="1:40" customFormat="1" ht="62.25" x14ac:dyDescent="0.9">
      <c r="A153">
        <v>1</v>
      </c>
      <c r="B153" s="274">
        <v>79</v>
      </c>
      <c r="C153" s="289" t="s">
        <v>1521</v>
      </c>
      <c r="D153" s="292" t="s">
        <v>1550</v>
      </c>
      <c r="E153" s="284">
        <v>0.93899999999999995</v>
      </c>
      <c r="F153" s="208">
        <f t="shared" si="24"/>
        <v>86282.11</v>
      </c>
      <c r="G153" s="208">
        <v>0</v>
      </c>
      <c r="H153" s="208">
        <v>0</v>
      </c>
      <c r="I153" s="208">
        <v>0</v>
      </c>
      <c r="J153" s="208">
        <v>0</v>
      </c>
      <c r="K153" s="208">
        <v>0</v>
      </c>
      <c r="L153" s="208">
        <v>0</v>
      </c>
      <c r="M153" s="276">
        <v>0</v>
      </c>
      <c r="N153" s="208">
        <v>0</v>
      </c>
      <c r="O153" s="208">
        <v>0</v>
      </c>
      <c r="P153" s="208">
        <v>0</v>
      </c>
      <c r="Q153" s="208">
        <v>0</v>
      </c>
      <c r="R153" s="208">
        <v>0</v>
      </c>
      <c r="S153" s="208">
        <v>0</v>
      </c>
      <c r="T153" s="291">
        <v>0</v>
      </c>
      <c r="U153" s="208">
        <v>0</v>
      </c>
      <c r="V153" s="208">
        <v>0</v>
      </c>
      <c r="W153" s="208">
        <v>0</v>
      </c>
      <c r="X153" s="208">
        <v>85007</v>
      </c>
      <c r="Y153" s="208">
        <v>0</v>
      </c>
      <c r="Z153" s="208">
        <v>0</v>
      </c>
      <c r="AA153" s="208">
        <v>0</v>
      </c>
      <c r="AB153" s="208">
        <v>0</v>
      </c>
      <c r="AC153" s="208">
        <v>0</v>
      </c>
      <c r="AD153" s="208">
        <v>0</v>
      </c>
      <c r="AE153" s="208">
        <f>ROUND(X153*1.5%,2)</f>
        <v>1275.1099999999999</v>
      </c>
      <c r="AF153" s="208">
        <v>0</v>
      </c>
      <c r="AG153" s="208">
        <v>0</v>
      </c>
      <c r="AH153" s="285" t="s">
        <v>271</v>
      </c>
      <c r="AI153" s="285">
        <v>2020</v>
      </c>
      <c r="AJ153" s="285">
        <v>2020</v>
      </c>
      <c r="AK153" s="152"/>
      <c r="AL153" s="152"/>
      <c r="AM153" s="152"/>
      <c r="AN153" s="152"/>
    </row>
    <row r="154" spans="1:40" s="293" customFormat="1" ht="62.25" x14ac:dyDescent="0.9">
      <c r="B154" s="294">
        <v>80</v>
      </c>
      <c r="C154" s="295" t="s">
        <v>1920</v>
      </c>
      <c r="D154" s="221" t="s">
        <v>1910</v>
      </c>
      <c r="E154" s="296">
        <v>0.97650000000000003</v>
      </c>
      <c r="F154" s="206">
        <f t="shared" ref="F154:F155" si="37">P154+AE154</f>
        <v>53102.53</v>
      </c>
      <c r="G154" s="206">
        <v>0</v>
      </c>
      <c r="H154" s="206">
        <v>0</v>
      </c>
      <c r="I154" s="206">
        <v>0</v>
      </c>
      <c r="J154" s="206">
        <v>0</v>
      </c>
      <c r="K154" s="206">
        <v>0</v>
      </c>
      <c r="L154" s="206">
        <v>0</v>
      </c>
      <c r="M154" s="297">
        <v>0</v>
      </c>
      <c r="N154" s="206">
        <v>0</v>
      </c>
      <c r="O154" s="206">
        <v>1461</v>
      </c>
      <c r="P154" s="206">
        <v>52317.760000000002</v>
      </c>
      <c r="Q154" s="206">
        <v>0</v>
      </c>
      <c r="R154" s="206">
        <v>0</v>
      </c>
      <c r="S154" s="206">
        <v>0</v>
      </c>
      <c r="T154" s="229">
        <v>0</v>
      </c>
      <c r="U154" s="206">
        <v>0</v>
      </c>
      <c r="V154" s="206">
        <v>0</v>
      </c>
      <c r="W154" s="206">
        <v>0</v>
      </c>
      <c r="X154" s="206">
        <v>0</v>
      </c>
      <c r="Y154" s="206">
        <v>0</v>
      </c>
      <c r="Z154" s="206">
        <v>0</v>
      </c>
      <c r="AA154" s="206">
        <v>0</v>
      </c>
      <c r="AB154" s="206">
        <v>0</v>
      </c>
      <c r="AC154" s="206">
        <v>0</v>
      </c>
      <c r="AD154" s="206">
        <v>0</v>
      </c>
      <c r="AE154" s="206">
        <f>ROUND(P154*1.5%,2)</f>
        <v>784.77</v>
      </c>
      <c r="AF154" s="206">
        <v>0</v>
      </c>
      <c r="AG154" s="206">
        <v>0</v>
      </c>
      <c r="AH154" s="298" t="s">
        <v>271</v>
      </c>
      <c r="AI154" s="298">
        <v>2020</v>
      </c>
      <c r="AJ154" s="298">
        <v>2020</v>
      </c>
      <c r="AK154" s="299"/>
      <c r="AL154" s="299"/>
      <c r="AM154" s="299"/>
      <c r="AN154" s="299"/>
    </row>
    <row r="155" spans="1:40" s="293" customFormat="1" ht="62.25" x14ac:dyDescent="0.9">
      <c r="B155" s="294">
        <v>81</v>
      </c>
      <c r="C155" s="295" t="s">
        <v>1921</v>
      </c>
      <c r="D155" s="221" t="s">
        <v>1910</v>
      </c>
      <c r="E155" s="296">
        <v>0.75141596450729198</v>
      </c>
      <c r="F155" s="206">
        <f t="shared" si="37"/>
        <v>110786.03</v>
      </c>
      <c r="G155" s="206">
        <v>0</v>
      </c>
      <c r="H155" s="206">
        <v>0</v>
      </c>
      <c r="I155" s="206">
        <v>0</v>
      </c>
      <c r="J155" s="206">
        <v>0</v>
      </c>
      <c r="K155" s="206">
        <v>0</v>
      </c>
      <c r="L155" s="206">
        <v>0</v>
      </c>
      <c r="M155" s="297">
        <v>0</v>
      </c>
      <c r="N155" s="206">
        <v>0</v>
      </c>
      <c r="O155" s="206">
        <v>500</v>
      </c>
      <c r="P155" s="206">
        <v>109148.8</v>
      </c>
      <c r="Q155" s="206">
        <v>0</v>
      </c>
      <c r="R155" s="206">
        <v>0</v>
      </c>
      <c r="S155" s="206">
        <v>0</v>
      </c>
      <c r="T155" s="229">
        <v>0</v>
      </c>
      <c r="U155" s="206">
        <v>0</v>
      </c>
      <c r="V155" s="206">
        <v>0</v>
      </c>
      <c r="W155" s="206">
        <v>0</v>
      </c>
      <c r="X155" s="206">
        <v>0</v>
      </c>
      <c r="Y155" s="206">
        <v>0</v>
      </c>
      <c r="Z155" s="206">
        <v>0</v>
      </c>
      <c r="AA155" s="206">
        <v>0</v>
      </c>
      <c r="AB155" s="206">
        <v>0</v>
      </c>
      <c r="AC155" s="206">
        <v>0</v>
      </c>
      <c r="AD155" s="206">
        <v>0</v>
      </c>
      <c r="AE155" s="206">
        <f>ROUND(P155*1.5%,2)</f>
        <v>1637.23</v>
      </c>
      <c r="AF155" s="206">
        <v>0</v>
      </c>
      <c r="AG155" s="206">
        <v>0</v>
      </c>
      <c r="AH155" s="298" t="s">
        <v>271</v>
      </c>
      <c r="AI155" s="298">
        <v>2020</v>
      </c>
      <c r="AJ155" s="298">
        <v>2020</v>
      </c>
      <c r="AK155" s="299"/>
      <c r="AL155" s="299"/>
      <c r="AM155" s="299"/>
      <c r="AN155" s="299"/>
    </row>
    <row r="156" spans="1:40" customFormat="1" ht="62.25" x14ac:dyDescent="0.9">
      <c r="B156" s="286" t="s">
        <v>1423</v>
      </c>
      <c r="C156" s="287"/>
      <c r="D156" s="288" t="s">
        <v>903</v>
      </c>
      <c r="E156" s="284">
        <f>AVERAGE(E157:E161)</f>
        <v>0.87974755396834392</v>
      </c>
      <c r="F156" s="208">
        <f>SUM(F157:F161)</f>
        <v>1542530.93</v>
      </c>
      <c r="G156" s="208">
        <f t="shared" ref="G156:AG156" si="38">SUM(G157:G161)</f>
        <v>0</v>
      </c>
      <c r="H156" s="208">
        <f t="shared" si="38"/>
        <v>0</v>
      </c>
      <c r="I156" s="208">
        <f t="shared" si="38"/>
        <v>0</v>
      </c>
      <c r="J156" s="208">
        <f t="shared" si="38"/>
        <v>0</v>
      </c>
      <c r="K156" s="208">
        <f t="shared" si="38"/>
        <v>0</v>
      </c>
      <c r="L156" s="208">
        <f t="shared" si="38"/>
        <v>0</v>
      </c>
      <c r="M156" s="276">
        <f t="shared" si="38"/>
        <v>0</v>
      </c>
      <c r="N156" s="208">
        <f t="shared" si="38"/>
        <v>0</v>
      </c>
      <c r="O156" s="208">
        <f t="shared" si="38"/>
        <v>5282.4000000000005</v>
      </c>
      <c r="P156" s="208">
        <f t="shared" si="38"/>
        <v>1519734.91</v>
      </c>
      <c r="Q156" s="208">
        <f t="shared" si="38"/>
        <v>0</v>
      </c>
      <c r="R156" s="208">
        <f t="shared" si="38"/>
        <v>0</v>
      </c>
      <c r="S156" s="208">
        <f t="shared" si="38"/>
        <v>0</v>
      </c>
      <c r="T156" s="208">
        <f t="shared" si="38"/>
        <v>0</v>
      </c>
      <c r="U156" s="208">
        <f t="shared" si="38"/>
        <v>0</v>
      </c>
      <c r="V156" s="208">
        <f t="shared" si="38"/>
        <v>0</v>
      </c>
      <c r="W156" s="208">
        <f t="shared" si="38"/>
        <v>0</v>
      </c>
      <c r="X156" s="208">
        <f t="shared" si="38"/>
        <v>0</v>
      </c>
      <c r="Y156" s="208">
        <f t="shared" si="38"/>
        <v>0</v>
      </c>
      <c r="Z156" s="208">
        <f t="shared" si="38"/>
        <v>0</v>
      </c>
      <c r="AA156" s="208">
        <f t="shared" si="38"/>
        <v>0</v>
      </c>
      <c r="AB156" s="208">
        <f t="shared" si="38"/>
        <v>0</v>
      </c>
      <c r="AC156" s="208">
        <f t="shared" si="38"/>
        <v>0</v>
      </c>
      <c r="AD156" s="208">
        <f t="shared" si="38"/>
        <v>0</v>
      </c>
      <c r="AE156" s="208">
        <f t="shared" si="38"/>
        <v>22796.019999999997</v>
      </c>
      <c r="AF156" s="208">
        <f t="shared" si="38"/>
        <v>0</v>
      </c>
      <c r="AG156" s="208">
        <f t="shared" si="38"/>
        <v>0</v>
      </c>
      <c r="AH156" s="285" t="s">
        <v>903</v>
      </c>
      <c r="AI156" s="285" t="s">
        <v>903</v>
      </c>
      <c r="AJ156" s="285" t="s">
        <v>903</v>
      </c>
      <c r="AK156" s="152"/>
      <c r="AL156" s="152"/>
      <c r="AM156" s="152"/>
      <c r="AN156" s="152"/>
    </row>
    <row r="157" spans="1:40" customFormat="1" ht="62.25" x14ac:dyDescent="0.9">
      <c r="A157">
        <v>1</v>
      </c>
      <c r="B157" s="274">
        <v>82</v>
      </c>
      <c r="C157" s="289" t="s">
        <v>1484</v>
      </c>
      <c r="D157" s="290" t="s">
        <v>1911</v>
      </c>
      <c r="E157" s="284">
        <v>0.9054350997618551</v>
      </c>
      <c r="F157" s="208">
        <f t="shared" si="24"/>
        <v>382556.25999999995</v>
      </c>
      <c r="G157" s="208">
        <v>0</v>
      </c>
      <c r="H157" s="208">
        <v>0</v>
      </c>
      <c r="I157" s="208">
        <v>0</v>
      </c>
      <c r="J157" s="208">
        <v>0</v>
      </c>
      <c r="K157" s="208">
        <v>0</v>
      </c>
      <c r="L157" s="208">
        <v>0</v>
      </c>
      <c r="M157" s="276">
        <v>0</v>
      </c>
      <c r="N157" s="208">
        <v>0</v>
      </c>
      <c r="O157" s="208">
        <v>1160.0999999999999</v>
      </c>
      <c r="P157" s="208">
        <v>376902.72</v>
      </c>
      <c r="Q157" s="208">
        <v>0</v>
      </c>
      <c r="R157" s="208">
        <v>0</v>
      </c>
      <c r="S157" s="208">
        <v>0</v>
      </c>
      <c r="T157" s="291">
        <v>0</v>
      </c>
      <c r="U157" s="208">
        <v>0</v>
      </c>
      <c r="V157" s="208">
        <v>0</v>
      </c>
      <c r="W157" s="208">
        <v>0</v>
      </c>
      <c r="X157" s="208">
        <v>0</v>
      </c>
      <c r="Y157" s="208">
        <v>0</v>
      </c>
      <c r="Z157" s="208">
        <v>0</v>
      </c>
      <c r="AA157" s="208">
        <v>0</v>
      </c>
      <c r="AB157" s="208">
        <v>0</v>
      </c>
      <c r="AC157" s="208">
        <v>0</v>
      </c>
      <c r="AD157" s="208">
        <v>0</v>
      </c>
      <c r="AE157" s="208">
        <f>ROUND(P157*1.5%,2)</f>
        <v>5653.54</v>
      </c>
      <c r="AF157" s="208">
        <v>0</v>
      </c>
      <c r="AG157" s="208">
        <v>0</v>
      </c>
      <c r="AH157" s="285" t="s">
        <v>271</v>
      </c>
      <c r="AI157" s="285">
        <v>2020</v>
      </c>
      <c r="AJ157" s="285">
        <v>2020</v>
      </c>
      <c r="AK157" s="152"/>
      <c r="AL157" s="152"/>
      <c r="AM157" s="152"/>
      <c r="AN157" s="152"/>
    </row>
    <row r="158" spans="1:40" customFormat="1" ht="62.25" x14ac:dyDescent="0.9">
      <c r="A158">
        <v>1</v>
      </c>
      <c r="B158" s="274">
        <v>83</v>
      </c>
      <c r="C158" s="289" t="s">
        <v>1485</v>
      </c>
      <c r="D158" s="290" t="s">
        <v>1911</v>
      </c>
      <c r="E158" s="284">
        <v>0.87345236547698324</v>
      </c>
      <c r="F158" s="208">
        <f t="shared" si="24"/>
        <v>381284.05</v>
      </c>
      <c r="G158" s="208">
        <v>0</v>
      </c>
      <c r="H158" s="208">
        <v>0</v>
      </c>
      <c r="I158" s="208">
        <v>0</v>
      </c>
      <c r="J158" s="208">
        <v>0</v>
      </c>
      <c r="K158" s="208">
        <v>0</v>
      </c>
      <c r="L158" s="208">
        <v>0</v>
      </c>
      <c r="M158" s="276">
        <v>0</v>
      </c>
      <c r="N158" s="208">
        <v>0</v>
      </c>
      <c r="O158" s="208">
        <v>1192.7</v>
      </c>
      <c r="P158" s="208">
        <v>375649.31</v>
      </c>
      <c r="Q158" s="208">
        <v>0</v>
      </c>
      <c r="R158" s="208">
        <v>0</v>
      </c>
      <c r="S158" s="208">
        <v>0</v>
      </c>
      <c r="T158" s="291">
        <v>0</v>
      </c>
      <c r="U158" s="208">
        <v>0</v>
      </c>
      <c r="V158" s="208">
        <v>0</v>
      </c>
      <c r="W158" s="208">
        <v>0</v>
      </c>
      <c r="X158" s="208">
        <v>0</v>
      </c>
      <c r="Y158" s="208">
        <v>0</v>
      </c>
      <c r="Z158" s="208">
        <v>0</v>
      </c>
      <c r="AA158" s="208">
        <v>0</v>
      </c>
      <c r="AB158" s="208">
        <v>0</v>
      </c>
      <c r="AC158" s="208">
        <v>0</v>
      </c>
      <c r="AD158" s="208">
        <v>0</v>
      </c>
      <c r="AE158" s="208">
        <f>ROUND(P158*1.5%,2)</f>
        <v>5634.74</v>
      </c>
      <c r="AF158" s="208">
        <v>0</v>
      </c>
      <c r="AG158" s="208">
        <v>0</v>
      </c>
      <c r="AH158" s="285" t="s">
        <v>271</v>
      </c>
      <c r="AI158" s="285">
        <v>2020</v>
      </c>
      <c r="AJ158" s="285">
        <v>2020</v>
      </c>
      <c r="AK158" s="152"/>
      <c r="AL158" s="152"/>
      <c r="AM158" s="152"/>
      <c r="AN158" s="152"/>
    </row>
    <row r="159" spans="1:40" customFormat="1" ht="62.25" x14ac:dyDescent="0.9">
      <c r="A159">
        <v>1</v>
      </c>
      <c r="B159" s="274">
        <v>84</v>
      </c>
      <c r="C159" s="289" t="s">
        <v>388</v>
      </c>
      <c r="D159" s="290" t="s">
        <v>1911</v>
      </c>
      <c r="E159" s="284">
        <v>0.86236529068576662</v>
      </c>
      <c r="F159" s="208">
        <f t="shared" si="24"/>
        <v>292385.17000000004</v>
      </c>
      <c r="G159" s="208">
        <v>0</v>
      </c>
      <c r="H159" s="208">
        <v>0</v>
      </c>
      <c r="I159" s="208">
        <v>0</v>
      </c>
      <c r="J159" s="208">
        <v>0</v>
      </c>
      <c r="K159" s="208">
        <v>0</v>
      </c>
      <c r="L159" s="208">
        <v>0</v>
      </c>
      <c r="M159" s="276">
        <v>0</v>
      </c>
      <c r="N159" s="208">
        <v>0</v>
      </c>
      <c r="O159" s="208">
        <v>1207</v>
      </c>
      <c r="P159" s="208">
        <v>288064.21000000002</v>
      </c>
      <c r="Q159" s="208">
        <v>0</v>
      </c>
      <c r="R159" s="208">
        <v>0</v>
      </c>
      <c r="S159" s="208">
        <v>0</v>
      </c>
      <c r="T159" s="291">
        <v>0</v>
      </c>
      <c r="U159" s="208">
        <v>0</v>
      </c>
      <c r="V159" s="208">
        <v>0</v>
      </c>
      <c r="W159" s="208">
        <v>0</v>
      </c>
      <c r="X159" s="208">
        <v>0</v>
      </c>
      <c r="Y159" s="208">
        <v>0</v>
      </c>
      <c r="Z159" s="208">
        <v>0</v>
      </c>
      <c r="AA159" s="208">
        <v>0</v>
      </c>
      <c r="AB159" s="208">
        <v>0</v>
      </c>
      <c r="AC159" s="208">
        <v>0</v>
      </c>
      <c r="AD159" s="208">
        <v>0</v>
      </c>
      <c r="AE159" s="208">
        <f>ROUND(P159*1.5%,2)</f>
        <v>4320.96</v>
      </c>
      <c r="AF159" s="208">
        <v>0</v>
      </c>
      <c r="AG159" s="208">
        <v>0</v>
      </c>
      <c r="AH159" s="285" t="s">
        <v>271</v>
      </c>
      <c r="AI159" s="285">
        <v>2020</v>
      </c>
      <c r="AJ159" s="285">
        <v>2020</v>
      </c>
      <c r="AK159" s="152"/>
      <c r="AL159" s="152"/>
      <c r="AM159" s="152"/>
      <c r="AN159" s="152"/>
    </row>
    <row r="160" spans="1:40" customFormat="1" ht="62.25" x14ac:dyDescent="0.9">
      <c r="A160">
        <v>1</v>
      </c>
      <c r="B160" s="274">
        <v>85</v>
      </c>
      <c r="C160" s="289" t="s">
        <v>1486</v>
      </c>
      <c r="D160" s="290" t="s">
        <v>1911</v>
      </c>
      <c r="E160" s="284">
        <v>0.85951459937778774</v>
      </c>
      <c r="F160" s="208">
        <f t="shared" si="24"/>
        <v>292385.17000000004</v>
      </c>
      <c r="G160" s="208">
        <v>0</v>
      </c>
      <c r="H160" s="208">
        <v>0</v>
      </c>
      <c r="I160" s="208">
        <v>0</v>
      </c>
      <c r="J160" s="208">
        <v>0</v>
      </c>
      <c r="K160" s="208">
        <v>0</v>
      </c>
      <c r="L160" s="208">
        <v>0</v>
      </c>
      <c r="M160" s="276">
        <v>0</v>
      </c>
      <c r="N160" s="208">
        <v>0</v>
      </c>
      <c r="O160" s="208">
        <v>1206</v>
      </c>
      <c r="P160" s="208">
        <v>288064.21000000002</v>
      </c>
      <c r="Q160" s="208">
        <v>0</v>
      </c>
      <c r="R160" s="208">
        <v>0</v>
      </c>
      <c r="S160" s="208">
        <v>0</v>
      </c>
      <c r="T160" s="291">
        <v>0</v>
      </c>
      <c r="U160" s="208">
        <v>0</v>
      </c>
      <c r="V160" s="208">
        <v>0</v>
      </c>
      <c r="W160" s="208">
        <v>0</v>
      </c>
      <c r="X160" s="208">
        <v>0</v>
      </c>
      <c r="Y160" s="208">
        <v>0</v>
      </c>
      <c r="Z160" s="208">
        <v>0</v>
      </c>
      <c r="AA160" s="208">
        <v>0</v>
      </c>
      <c r="AB160" s="208">
        <v>0</v>
      </c>
      <c r="AC160" s="208">
        <v>0</v>
      </c>
      <c r="AD160" s="208">
        <v>0</v>
      </c>
      <c r="AE160" s="208">
        <f>ROUND(P160*1.5%,2)</f>
        <v>4320.96</v>
      </c>
      <c r="AF160" s="208">
        <v>0</v>
      </c>
      <c r="AG160" s="208">
        <v>0</v>
      </c>
      <c r="AH160" s="285" t="s">
        <v>271</v>
      </c>
      <c r="AI160" s="285">
        <v>2020</v>
      </c>
      <c r="AJ160" s="285">
        <v>2020</v>
      </c>
      <c r="AK160" s="152"/>
      <c r="AL160" s="152"/>
      <c r="AM160" s="152"/>
      <c r="AN160" s="152"/>
    </row>
    <row r="161" spans="1:40" customFormat="1" ht="62.25" x14ac:dyDescent="0.9">
      <c r="A161">
        <v>1</v>
      </c>
      <c r="B161" s="274">
        <v>86</v>
      </c>
      <c r="C161" s="289" t="s">
        <v>1487</v>
      </c>
      <c r="D161" s="290" t="s">
        <v>1911</v>
      </c>
      <c r="E161" s="284">
        <v>0.89797041453932691</v>
      </c>
      <c r="F161" s="208">
        <f t="shared" si="24"/>
        <v>193920.28</v>
      </c>
      <c r="G161" s="208">
        <v>0</v>
      </c>
      <c r="H161" s="208">
        <v>0</v>
      </c>
      <c r="I161" s="208">
        <v>0</v>
      </c>
      <c r="J161" s="208">
        <v>0</v>
      </c>
      <c r="K161" s="208">
        <v>0</v>
      </c>
      <c r="L161" s="208">
        <v>0</v>
      </c>
      <c r="M161" s="276">
        <v>0</v>
      </c>
      <c r="N161" s="208">
        <v>0</v>
      </c>
      <c r="O161" s="208">
        <v>516.6</v>
      </c>
      <c r="P161" s="208">
        <v>191054.46</v>
      </c>
      <c r="Q161" s="208">
        <v>0</v>
      </c>
      <c r="R161" s="208">
        <v>0</v>
      </c>
      <c r="S161" s="208">
        <v>0</v>
      </c>
      <c r="T161" s="291">
        <v>0</v>
      </c>
      <c r="U161" s="208">
        <v>0</v>
      </c>
      <c r="V161" s="208">
        <v>0</v>
      </c>
      <c r="W161" s="208">
        <v>0</v>
      </c>
      <c r="X161" s="208">
        <v>0</v>
      </c>
      <c r="Y161" s="208">
        <v>0</v>
      </c>
      <c r="Z161" s="208">
        <v>0</v>
      </c>
      <c r="AA161" s="208">
        <v>0</v>
      </c>
      <c r="AB161" s="208">
        <v>0</v>
      </c>
      <c r="AC161" s="208">
        <v>0</v>
      </c>
      <c r="AD161" s="208">
        <v>0</v>
      </c>
      <c r="AE161" s="208">
        <f>ROUND(P161*1.5%,2)</f>
        <v>2865.82</v>
      </c>
      <c r="AF161" s="208">
        <v>0</v>
      </c>
      <c r="AG161" s="208">
        <v>0</v>
      </c>
      <c r="AH161" s="285" t="s">
        <v>271</v>
      </c>
      <c r="AI161" s="285">
        <v>2020</v>
      </c>
      <c r="AJ161" s="285">
        <v>2020</v>
      </c>
      <c r="AK161" s="152"/>
      <c r="AL161" s="152"/>
      <c r="AM161" s="152"/>
      <c r="AN161" s="152"/>
    </row>
    <row r="162" spans="1:40" customFormat="1" ht="62.25" x14ac:dyDescent="0.9">
      <c r="B162" s="286" t="s">
        <v>897</v>
      </c>
      <c r="C162" s="287"/>
      <c r="D162" s="288" t="s">
        <v>903</v>
      </c>
      <c r="E162" s="284">
        <f>AVERAGE(E163:E164)</f>
        <v>0.86194999999999999</v>
      </c>
      <c r="F162" s="208">
        <f>SUM(F163:F164)</f>
        <v>3231773.15</v>
      </c>
      <c r="G162" s="208">
        <f t="shared" ref="G162:AG162" si="39">SUM(G163:G164)</f>
        <v>0</v>
      </c>
      <c r="H162" s="208">
        <f t="shared" si="39"/>
        <v>0</v>
      </c>
      <c r="I162" s="208">
        <f t="shared" si="39"/>
        <v>0</v>
      </c>
      <c r="J162" s="208">
        <f t="shared" si="39"/>
        <v>0</v>
      </c>
      <c r="K162" s="208">
        <f t="shared" si="39"/>
        <v>0</v>
      </c>
      <c r="L162" s="208">
        <f t="shared" si="39"/>
        <v>0</v>
      </c>
      <c r="M162" s="276">
        <f t="shared" si="39"/>
        <v>0</v>
      </c>
      <c r="N162" s="208">
        <f t="shared" si="39"/>
        <v>0</v>
      </c>
      <c r="O162" s="208">
        <f t="shared" si="39"/>
        <v>1625</v>
      </c>
      <c r="P162" s="208">
        <f t="shared" si="39"/>
        <v>3199617</v>
      </c>
      <c r="Q162" s="208">
        <f t="shared" si="39"/>
        <v>0</v>
      </c>
      <c r="R162" s="208">
        <f t="shared" si="39"/>
        <v>0</v>
      </c>
      <c r="S162" s="208">
        <f t="shared" si="39"/>
        <v>0</v>
      </c>
      <c r="T162" s="208">
        <f t="shared" si="39"/>
        <v>0</v>
      </c>
      <c r="U162" s="208">
        <f t="shared" si="39"/>
        <v>0</v>
      </c>
      <c r="V162" s="208">
        <f t="shared" si="39"/>
        <v>0</v>
      </c>
      <c r="W162" s="208">
        <f t="shared" si="39"/>
        <v>0</v>
      </c>
      <c r="X162" s="208">
        <f t="shared" si="39"/>
        <v>0</v>
      </c>
      <c r="Y162" s="208">
        <f t="shared" si="39"/>
        <v>0</v>
      </c>
      <c r="Z162" s="208">
        <f t="shared" si="39"/>
        <v>0</v>
      </c>
      <c r="AA162" s="208">
        <f t="shared" si="39"/>
        <v>0</v>
      </c>
      <c r="AB162" s="208">
        <f t="shared" si="39"/>
        <v>0</v>
      </c>
      <c r="AC162" s="208">
        <f t="shared" si="39"/>
        <v>0</v>
      </c>
      <c r="AD162" s="208">
        <f t="shared" si="39"/>
        <v>0</v>
      </c>
      <c r="AE162" s="208">
        <f t="shared" si="39"/>
        <v>32156.15</v>
      </c>
      <c r="AF162" s="208">
        <f t="shared" si="39"/>
        <v>0</v>
      </c>
      <c r="AG162" s="208">
        <f t="shared" si="39"/>
        <v>0</v>
      </c>
      <c r="AH162" s="285" t="s">
        <v>903</v>
      </c>
      <c r="AI162" s="285" t="s">
        <v>903</v>
      </c>
      <c r="AJ162" s="285" t="s">
        <v>903</v>
      </c>
      <c r="AK162" s="152"/>
      <c r="AL162" s="152"/>
      <c r="AM162" s="152"/>
      <c r="AN162" s="152"/>
    </row>
    <row r="163" spans="1:40" customFormat="1" ht="62.25" x14ac:dyDescent="0.9">
      <c r="A163">
        <v>1</v>
      </c>
      <c r="B163" s="274">
        <v>87</v>
      </c>
      <c r="C163" s="289" t="s">
        <v>1488</v>
      </c>
      <c r="D163" s="290" t="s">
        <v>1910</v>
      </c>
      <c r="E163" s="284">
        <v>0.82040000000000002</v>
      </c>
      <c r="F163" s="208">
        <f t="shared" si="24"/>
        <v>1617633.46</v>
      </c>
      <c r="G163" s="208">
        <v>0</v>
      </c>
      <c r="H163" s="208">
        <v>0</v>
      </c>
      <c r="I163" s="208">
        <v>0</v>
      </c>
      <c r="J163" s="208">
        <v>0</v>
      </c>
      <c r="K163" s="208">
        <v>0</v>
      </c>
      <c r="L163" s="208">
        <v>0</v>
      </c>
      <c r="M163" s="276">
        <v>0</v>
      </c>
      <c r="N163" s="208">
        <v>0</v>
      </c>
      <c r="O163" s="208">
        <v>812.5</v>
      </c>
      <c r="P163" s="208">
        <v>1601538</v>
      </c>
      <c r="Q163" s="208">
        <v>0</v>
      </c>
      <c r="R163" s="208">
        <v>0</v>
      </c>
      <c r="S163" s="208">
        <v>0</v>
      </c>
      <c r="T163" s="208">
        <v>0</v>
      </c>
      <c r="U163" s="208">
        <v>0</v>
      </c>
      <c r="V163" s="208">
        <v>0</v>
      </c>
      <c r="W163" s="208">
        <v>0</v>
      </c>
      <c r="X163" s="208">
        <v>0</v>
      </c>
      <c r="Y163" s="208">
        <v>0</v>
      </c>
      <c r="Z163" s="208">
        <v>0</v>
      </c>
      <c r="AA163" s="208">
        <v>0</v>
      </c>
      <c r="AB163" s="208">
        <v>0</v>
      </c>
      <c r="AC163" s="208">
        <v>0</v>
      </c>
      <c r="AD163" s="208">
        <v>0</v>
      </c>
      <c r="AE163" s="208">
        <v>16095.46</v>
      </c>
      <c r="AF163" s="208">
        <v>0</v>
      </c>
      <c r="AG163" s="208">
        <v>0</v>
      </c>
      <c r="AH163" s="285" t="s">
        <v>271</v>
      </c>
      <c r="AI163" s="285">
        <v>2020</v>
      </c>
      <c r="AJ163" s="285">
        <v>2020</v>
      </c>
      <c r="AK163" s="152"/>
      <c r="AL163" s="152"/>
      <c r="AM163" s="152"/>
      <c r="AN163" s="152"/>
    </row>
    <row r="164" spans="1:40" customFormat="1" ht="62.25" x14ac:dyDescent="0.9">
      <c r="A164">
        <v>1</v>
      </c>
      <c r="B164" s="274">
        <v>88</v>
      </c>
      <c r="C164" s="289" t="s">
        <v>1489</v>
      </c>
      <c r="D164" s="290" t="s">
        <v>1911</v>
      </c>
      <c r="E164" s="284">
        <v>0.90349999999999997</v>
      </c>
      <c r="F164" s="208">
        <f>G164+H164+I164+J164+K164+L164+N164+P164+R164+T164+V164+W164+X164+Y164+Z164+AA164+AB164+AC164+AD164+AE164+AF164+AG164</f>
        <v>1614139.69</v>
      </c>
      <c r="G164" s="208">
        <v>0</v>
      </c>
      <c r="H164" s="208">
        <v>0</v>
      </c>
      <c r="I164" s="208">
        <v>0</v>
      </c>
      <c r="J164" s="208">
        <v>0</v>
      </c>
      <c r="K164" s="208">
        <v>0</v>
      </c>
      <c r="L164" s="208">
        <v>0</v>
      </c>
      <c r="M164" s="276">
        <v>0</v>
      </c>
      <c r="N164" s="208">
        <v>0</v>
      </c>
      <c r="O164" s="208">
        <v>812.5</v>
      </c>
      <c r="P164" s="208">
        <v>1598079</v>
      </c>
      <c r="Q164" s="208">
        <v>0</v>
      </c>
      <c r="R164" s="208">
        <v>0</v>
      </c>
      <c r="S164" s="208">
        <v>0</v>
      </c>
      <c r="T164" s="208">
        <v>0</v>
      </c>
      <c r="U164" s="208">
        <v>0</v>
      </c>
      <c r="V164" s="208">
        <v>0</v>
      </c>
      <c r="W164" s="208">
        <v>0</v>
      </c>
      <c r="X164" s="208">
        <v>0</v>
      </c>
      <c r="Y164" s="208">
        <v>0</v>
      </c>
      <c r="Z164" s="208">
        <v>0</v>
      </c>
      <c r="AA164" s="208">
        <v>0</v>
      </c>
      <c r="AB164" s="208">
        <v>0</v>
      </c>
      <c r="AC164" s="208">
        <v>0</v>
      </c>
      <c r="AD164" s="208">
        <v>0</v>
      </c>
      <c r="AE164" s="208">
        <v>16060.69</v>
      </c>
      <c r="AF164" s="208">
        <v>0</v>
      </c>
      <c r="AG164" s="208">
        <v>0</v>
      </c>
      <c r="AH164" s="285" t="s">
        <v>271</v>
      </c>
      <c r="AI164" s="285">
        <v>2020</v>
      </c>
      <c r="AJ164" s="285">
        <v>2020</v>
      </c>
      <c r="AK164" s="152"/>
      <c r="AL164" s="152"/>
      <c r="AM164" s="152"/>
      <c r="AN164" s="152"/>
    </row>
    <row r="165" spans="1:40" customFormat="1" ht="62.25" x14ac:dyDescent="0.9">
      <c r="B165" s="301" t="s">
        <v>1424</v>
      </c>
      <c r="C165" s="289"/>
      <c r="D165" s="288" t="s">
        <v>903</v>
      </c>
      <c r="E165" s="284">
        <f>AVERAGE(E166:E167)</f>
        <v>0.91439999999999999</v>
      </c>
      <c r="F165" s="208">
        <f>F166+F167</f>
        <v>35379.79</v>
      </c>
      <c r="G165" s="208">
        <f t="shared" ref="G165:AG165" si="40">G166+G167</f>
        <v>0</v>
      </c>
      <c r="H165" s="208">
        <f t="shared" si="40"/>
        <v>0</v>
      </c>
      <c r="I165" s="208">
        <f t="shared" si="40"/>
        <v>0</v>
      </c>
      <c r="J165" s="208">
        <f t="shared" si="40"/>
        <v>0</v>
      </c>
      <c r="K165" s="208">
        <f t="shared" si="40"/>
        <v>0</v>
      </c>
      <c r="L165" s="208">
        <f t="shared" si="40"/>
        <v>0</v>
      </c>
      <c r="M165" s="208">
        <f t="shared" si="40"/>
        <v>0</v>
      </c>
      <c r="N165" s="208">
        <f t="shared" si="40"/>
        <v>0</v>
      </c>
      <c r="O165" s="208">
        <f t="shared" si="40"/>
        <v>776.1</v>
      </c>
      <c r="P165" s="208">
        <f t="shared" si="40"/>
        <v>34856.94</v>
      </c>
      <c r="Q165" s="208">
        <f t="shared" si="40"/>
        <v>0</v>
      </c>
      <c r="R165" s="208">
        <f t="shared" si="40"/>
        <v>0</v>
      </c>
      <c r="S165" s="208">
        <f t="shared" si="40"/>
        <v>0</v>
      </c>
      <c r="T165" s="208">
        <f t="shared" si="40"/>
        <v>0</v>
      </c>
      <c r="U165" s="208">
        <f t="shared" si="40"/>
        <v>0</v>
      </c>
      <c r="V165" s="208">
        <f t="shared" si="40"/>
        <v>0</v>
      </c>
      <c r="W165" s="208">
        <f t="shared" si="40"/>
        <v>0</v>
      </c>
      <c r="X165" s="208">
        <f t="shared" si="40"/>
        <v>0</v>
      </c>
      <c r="Y165" s="208">
        <f t="shared" si="40"/>
        <v>0</v>
      </c>
      <c r="Z165" s="208">
        <f t="shared" si="40"/>
        <v>0</v>
      </c>
      <c r="AA165" s="208">
        <f t="shared" si="40"/>
        <v>0</v>
      </c>
      <c r="AB165" s="208">
        <f t="shared" si="40"/>
        <v>0</v>
      </c>
      <c r="AC165" s="208">
        <f t="shared" si="40"/>
        <v>0</v>
      </c>
      <c r="AD165" s="208">
        <f t="shared" si="40"/>
        <v>0</v>
      </c>
      <c r="AE165" s="208">
        <f t="shared" si="40"/>
        <v>522.84999999999991</v>
      </c>
      <c r="AF165" s="208">
        <f t="shared" si="40"/>
        <v>0</v>
      </c>
      <c r="AG165" s="208">
        <f t="shared" si="40"/>
        <v>0</v>
      </c>
      <c r="AH165" s="285" t="s">
        <v>903</v>
      </c>
      <c r="AI165" s="285" t="s">
        <v>903</v>
      </c>
      <c r="AJ165" s="285" t="s">
        <v>903</v>
      </c>
      <c r="AK165" s="152"/>
      <c r="AL165" s="152"/>
      <c r="AM165" s="152"/>
      <c r="AN165" s="152"/>
    </row>
    <row r="166" spans="1:40" customFormat="1" ht="62.25" x14ac:dyDescent="0.9">
      <c r="A166">
        <v>1</v>
      </c>
      <c r="B166" s="274">
        <v>89</v>
      </c>
      <c r="C166" s="289" t="s">
        <v>1490</v>
      </c>
      <c r="D166" s="290" t="s">
        <v>1550</v>
      </c>
      <c r="E166" s="284">
        <v>0.93579999999999997</v>
      </c>
      <c r="F166" s="208">
        <f>G166+H166+I166+J166+K166+L166+N166+P166+R166+T166+V166+W166+X166+Y166+Z166+AA166+AB166+AC166+AD166+AE166+AF166+AG166</f>
        <v>11220.76</v>
      </c>
      <c r="G166" s="208">
        <v>0</v>
      </c>
      <c r="H166" s="208">
        <v>0</v>
      </c>
      <c r="I166" s="208">
        <v>0</v>
      </c>
      <c r="J166" s="208">
        <v>0</v>
      </c>
      <c r="K166" s="208">
        <v>0</v>
      </c>
      <c r="L166" s="208">
        <v>0</v>
      </c>
      <c r="M166" s="276">
        <v>0</v>
      </c>
      <c r="N166" s="208">
        <v>0</v>
      </c>
      <c r="O166" s="208">
        <v>471.6</v>
      </c>
      <c r="P166" s="208">
        <v>11054.94</v>
      </c>
      <c r="Q166" s="208">
        <v>0</v>
      </c>
      <c r="R166" s="208">
        <v>0</v>
      </c>
      <c r="S166" s="208">
        <v>0</v>
      </c>
      <c r="T166" s="208">
        <v>0</v>
      </c>
      <c r="U166" s="208">
        <v>0</v>
      </c>
      <c r="V166" s="208">
        <v>0</v>
      </c>
      <c r="W166" s="208">
        <v>0</v>
      </c>
      <c r="X166" s="208">
        <v>0</v>
      </c>
      <c r="Y166" s="208">
        <v>0</v>
      </c>
      <c r="Z166" s="208">
        <v>0</v>
      </c>
      <c r="AA166" s="208">
        <v>0</v>
      </c>
      <c r="AB166" s="208">
        <v>0</v>
      </c>
      <c r="AC166" s="208">
        <v>0</v>
      </c>
      <c r="AD166" s="208">
        <v>0</v>
      </c>
      <c r="AE166" s="208">
        <f>ROUND(P166*1.5%,2)</f>
        <v>165.82</v>
      </c>
      <c r="AF166" s="208">
        <v>0</v>
      </c>
      <c r="AG166" s="208">
        <v>0</v>
      </c>
      <c r="AH166" s="285" t="s">
        <v>271</v>
      </c>
      <c r="AI166" s="285">
        <v>2020</v>
      </c>
      <c r="AJ166" s="285">
        <v>2020</v>
      </c>
      <c r="AK166" s="152"/>
      <c r="AL166" s="152"/>
      <c r="AM166" s="152"/>
      <c r="AN166" s="152"/>
    </row>
    <row r="167" spans="1:40" s="293" customFormat="1" ht="62.25" x14ac:dyDescent="0.9">
      <c r="B167" s="294">
        <v>90</v>
      </c>
      <c r="C167" s="295" t="s">
        <v>1922</v>
      </c>
      <c r="D167" s="221" t="s">
        <v>1911</v>
      </c>
      <c r="E167" s="296">
        <v>0.89300000000000002</v>
      </c>
      <c r="F167" s="206">
        <f>P167+AE167</f>
        <v>24159.03</v>
      </c>
      <c r="G167" s="206">
        <v>0</v>
      </c>
      <c r="H167" s="206">
        <v>0</v>
      </c>
      <c r="I167" s="206">
        <v>0</v>
      </c>
      <c r="J167" s="206">
        <v>0</v>
      </c>
      <c r="K167" s="206">
        <v>0</v>
      </c>
      <c r="L167" s="206">
        <v>0</v>
      </c>
      <c r="M167" s="297">
        <v>0</v>
      </c>
      <c r="N167" s="206">
        <v>0</v>
      </c>
      <c r="O167" s="206">
        <v>304.5</v>
      </c>
      <c r="P167" s="206">
        <v>23802</v>
      </c>
      <c r="Q167" s="206">
        <v>0</v>
      </c>
      <c r="R167" s="206">
        <v>0</v>
      </c>
      <c r="S167" s="206">
        <v>0</v>
      </c>
      <c r="T167" s="229">
        <v>0</v>
      </c>
      <c r="U167" s="206">
        <v>0</v>
      </c>
      <c r="V167" s="206">
        <v>0</v>
      </c>
      <c r="W167" s="206">
        <v>0</v>
      </c>
      <c r="X167" s="206">
        <v>0</v>
      </c>
      <c r="Y167" s="206">
        <v>0</v>
      </c>
      <c r="Z167" s="206">
        <v>0</v>
      </c>
      <c r="AA167" s="206">
        <v>0</v>
      </c>
      <c r="AB167" s="206">
        <v>0</v>
      </c>
      <c r="AC167" s="206">
        <v>0</v>
      </c>
      <c r="AD167" s="206">
        <v>0</v>
      </c>
      <c r="AE167" s="206">
        <f>ROUND(P167*1.5%,2)</f>
        <v>357.03</v>
      </c>
      <c r="AF167" s="206">
        <v>0</v>
      </c>
      <c r="AG167" s="206">
        <v>0</v>
      </c>
      <c r="AH167" s="298" t="s">
        <v>271</v>
      </c>
      <c r="AI167" s="298">
        <v>2020</v>
      </c>
      <c r="AJ167" s="298">
        <v>2020</v>
      </c>
      <c r="AK167" s="299"/>
      <c r="AL167" s="299"/>
      <c r="AM167" s="299"/>
      <c r="AN167" s="299"/>
    </row>
    <row r="168" spans="1:40" customFormat="1" ht="62.25" x14ac:dyDescent="0.9">
      <c r="B168" s="301" t="s">
        <v>873</v>
      </c>
      <c r="C168" s="289"/>
      <c r="D168" s="288" t="s">
        <v>903</v>
      </c>
      <c r="E168" s="284">
        <f>E169</f>
        <v>0.9657</v>
      </c>
      <c r="F168" s="208">
        <f>F169</f>
        <v>778244.79</v>
      </c>
      <c r="G168" s="208">
        <f t="shared" ref="G168:AG168" si="41">G169</f>
        <v>0</v>
      </c>
      <c r="H168" s="208">
        <f t="shared" si="41"/>
        <v>0</v>
      </c>
      <c r="I168" s="208">
        <f t="shared" si="41"/>
        <v>0</v>
      </c>
      <c r="J168" s="208">
        <f t="shared" si="41"/>
        <v>0</v>
      </c>
      <c r="K168" s="208">
        <f t="shared" si="41"/>
        <v>0</v>
      </c>
      <c r="L168" s="208">
        <f t="shared" si="41"/>
        <v>0</v>
      </c>
      <c r="M168" s="276">
        <f t="shared" si="41"/>
        <v>0</v>
      </c>
      <c r="N168" s="208">
        <f t="shared" si="41"/>
        <v>0</v>
      </c>
      <c r="O168" s="208">
        <f t="shared" si="41"/>
        <v>972.5</v>
      </c>
      <c r="P168" s="208">
        <f t="shared" si="41"/>
        <v>766743.64</v>
      </c>
      <c r="Q168" s="208">
        <f t="shared" si="41"/>
        <v>0</v>
      </c>
      <c r="R168" s="208">
        <f t="shared" si="41"/>
        <v>0</v>
      </c>
      <c r="S168" s="208">
        <f t="shared" si="41"/>
        <v>0</v>
      </c>
      <c r="T168" s="208">
        <f t="shared" si="41"/>
        <v>0</v>
      </c>
      <c r="U168" s="208">
        <f t="shared" si="41"/>
        <v>0</v>
      </c>
      <c r="V168" s="208">
        <f t="shared" si="41"/>
        <v>0</v>
      </c>
      <c r="W168" s="208">
        <f t="shared" si="41"/>
        <v>0</v>
      </c>
      <c r="X168" s="208">
        <f t="shared" si="41"/>
        <v>0</v>
      </c>
      <c r="Y168" s="208">
        <f t="shared" si="41"/>
        <v>0</v>
      </c>
      <c r="Z168" s="208">
        <f t="shared" si="41"/>
        <v>0</v>
      </c>
      <c r="AA168" s="208">
        <f t="shared" si="41"/>
        <v>0</v>
      </c>
      <c r="AB168" s="208">
        <f t="shared" si="41"/>
        <v>0</v>
      </c>
      <c r="AC168" s="208">
        <f t="shared" si="41"/>
        <v>0</v>
      </c>
      <c r="AD168" s="208">
        <f t="shared" si="41"/>
        <v>0</v>
      </c>
      <c r="AE168" s="208">
        <f t="shared" si="41"/>
        <v>11501.15</v>
      </c>
      <c r="AF168" s="208">
        <f t="shared" si="41"/>
        <v>0</v>
      </c>
      <c r="AG168" s="208">
        <f t="shared" si="41"/>
        <v>0</v>
      </c>
      <c r="AH168" s="285" t="s">
        <v>903</v>
      </c>
      <c r="AI168" s="285" t="s">
        <v>903</v>
      </c>
      <c r="AJ168" s="285" t="s">
        <v>903</v>
      </c>
      <c r="AK168" s="152"/>
      <c r="AL168" s="152"/>
      <c r="AM168" s="152"/>
      <c r="AN168" s="152"/>
    </row>
    <row r="169" spans="1:40" customFormat="1" ht="62.25" x14ac:dyDescent="0.9">
      <c r="A169">
        <v>1</v>
      </c>
      <c r="B169" s="274">
        <v>91</v>
      </c>
      <c r="C169" s="289" t="s">
        <v>1491</v>
      </c>
      <c r="D169" s="290" t="s">
        <v>1550</v>
      </c>
      <c r="E169" s="284">
        <v>0.9657</v>
      </c>
      <c r="F169" s="208">
        <f>G169+H169+I169+J169+K169+L169+N169+P169+R169+T169+V169+W169+X169+Y169+Z169+AA169+AB169+AC169+AD169+AE169+AF169+AG169</f>
        <v>778244.79</v>
      </c>
      <c r="G169" s="208">
        <v>0</v>
      </c>
      <c r="H169" s="208">
        <v>0</v>
      </c>
      <c r="I169" s="208">
        <v>0</v>
      </c>
      <c r="J169" s="208">
        <v>0</v>
      </c>
      <c r="K169" s="208">
        <v>0</v>
      </c>
      <c r="L169" s="208">
        <v>0</v>
      </c>
      <c r="M169" s="276">
        <v>0</v>
      </c>
      <c r="N169" s="208">
        <v>0</v>
      </c>
      <c r="O169" s="208">
        <v>972.5</v>
      </c>
      <c r="P169" s="208">
        <v>766743.64</v>
      </c>
      <c r="Q169" s="208">
        <v>0</v>
      </c>
      <c r="R169" s="208">
        <v>0</v>
      </c>
      <c r="S169" s="208">
        <v>0</v>
      </c>
      <c r="T169" s="208">
        <v>0</v>
      </c>
      <c r="U169" s="208">
        <v>0</v>
      </c>
      <c r="V169" s="208">
        <v>0</v>
      </c>
      <c r="W169" s="208">
        <v>0</v>
      </c>
      <c r="X169" s="208">
        <v>0</v>
      </c>
      <c r="Y169" s="208">
        <v>0</v>
      </c>
      <c r="Z169" s="208">
        <v>0</v>
      </c>
      <c r="AA169" s="208">
        <v>0</v>
      </c>
      <c r="AB169" s="208">
        <v>0</v>
      </c>
      <c r="AC169" s="208">
        <v>0</v>
      </c>
      <c r="AD169" s="208">
        <v>0</v>
      </c>
      <c r="AE169" s="208">
        <f>ROUND(P169*1.5%,2)</f>
        <v>11501.15</v>
      </c>
      <c r="AF169" s="208">
        <v>0</v>
      </c>
      <c r="AG169" s="208">
        <v>0</v>
      </c>
      <c r="AH169" s="285" t="s">
        <v>271</v>
      </c>
      <c r="AI169" s="285">
        <v>2020</v>
      </c>
      <c r="AJ169" s="285">
        <v>2020</v>
      </c>
      <c r="AK169" s="152"/>
      <c r="AL169" s="152"/>
      <c r="AM169" s="152"/>
      <c r="AN169" s="152"/>
    </row>
    <row r="170" spans="1:40" customFormat="1" ht="62.25" x14ac:dyDescent="0.9">
      <c r="B170" s="301" t="s">
        <v>859</v>
      </c>
      <c r="C170" s="289"/>
      <c r="D170" s="288" t="s">
        <v>903</v>
      </c>
      <c r="E170" s="284">
        <f>AVERAGE(E171:E174)</f>
        <v>0.8012999999999999</v>
      </c>
      <c r="F170" s="208">
        <f>SUM(F171:F174)</f>
        <v>969598.97000000009</v>
      </c>
      <c r="G170" s="208">
        <f t="shared" ref="G170:AG170" si="42">SUM(G171:G174)</f>
        <v>0</v>
      </c>
      <c r="H170" s="208">
        <f t="shared" si="42"/>
        <v>0</v>
      </c>
      <c r="I170" s="208">
        <f t="shared" si="42"/>
        <v>0</v>
      </c>
      <c r="J170" s="208">
        <f t="shared" si="42"/>
        <v>0</v>
      </c>
      <c r="K170" s="208">
        <f t="shared" si="42"/>
        <v>0</v>
      </c>
      <c r="L170" s="208">
        <f t="shared" si="42"/>
        <v>0</v>
      </c>
      <c r="M170" s="276">
        <f t="shared" si="42"/>
        <v>0</v>
      </c>
      <c r="N170" s="208">
        <f t="shared" si="42"/>
        <v>0</v>
      </c>
      <c r="O170" s="208">
        <f t="shared" si="42"/>
        <v>2077</v>
      </c>
      <c r="P170" s="208">
        <f t="shared" si="42"/>
        <v>725260.51</v>
      </c>
      <c r="Q170" s="208">
        <f t="shared" si="42"/>
        <v>0</v>
      </c>
      <c r="R170" s="208">
        <f t="shared" si="42"/>
        <v>0</v>
      </c>
      <c r="S170" s="208">
        <f t="shared" si="42"/>
        <v>157.6</v>
      </c>
      <c r="T170" s="208">
        <f t="shared" si="42"/>
        <v>230009.4</v>
      </c>
      <c r="U170" s="208">
        <f t="shared" si="42"/>
        <v>0</v>
      </c>
      <c r="V170" s="208">
        <f t="shared" si="42"/>
        <v>0</v>
      </c>
      <c r="W170" s="208">
        <f t="shared" si="42"/>
        <v>0</v>
      </c>
      <c r="X170" s="208">
        <f t="shared" si="42"/>
        <v>0</v>
      </c>
      <c r="Y170" s="208">
        <f t="shared" si="42"/>
        <v>0</v>
      </c>
      <c r="Z170" s="208">
        <f t="shared" si="42"/>
        <v>0</v>
      </c>
      <c r="AA170" s="208">
        <f t="shared" si="42"/>
        <v>0</v>
      </c>
      <c r="AB170" s="208">
        <f t="shared" si="42"/>
        <v>0</v>
      </c>
      <c r="AC170" s="208">
        <f t="shared" si="42"/>
        <v>0</v>
      </c>
      <c r="AD170" s="208">
        <f t="shared" si="42"/>
        <v>0</v>
      </c>
      <c r="AE170" s="208">
        <f t="shared" si="42"/>
        <v>14329.060000000001</v>
      </c>
      <c r="AF170" s="208">
        <f t="shared" si="42"/>
        <v>0</v>
      </c>
      <c r="AG170" s="208">
        <f t="shared" si="42"/>
        <v>0</v>
      </c>
      <c r="AH170" s="285" t="s">
        <v>903</v>
      </c>
      <c r="AI170" s="285" t="s">
        <v>903</v>
      </c>
      <c r="AJ170" s="285" t="s">
        <v>903</v>
      </c>
      <c r="AK170" s="152"/>
      <c r="AL170" s="152"/>
      <c r="AM170" s="152"/>
      <c r="AN170" s="152"/>
    </row>
    <row r="171" spans="1:40" customFormat="1" ht="62.25" x14ac:dyDescent="0.9">
      <c r="A171">
        <v>1</v>
      </c>
      <c r="B171" s="274">
        <v>92</v>
      </c>
      <c r="C171" s="289" t="s">
        <v>1492</v>
      </c>
      <c r="D171" s="290" t="s">
        <v>1550</v>
      </c>
      <c r="E171" s="284">
        <v>0.83589999999999998</v>
      </c>
      <c r="F171" s="208">
        <f>G171+H171+I171+J171+K171+L171+N171+P171+R171+T171+V171+W171+X171+Y171+Z171+AA171+AB171+AC171+AD171+AE171+AF171+AG171</f>
        <v>672709.20000000007</v>
      </c>
      <c r="G171" s="208">
        <v>0</v>
      </c>
      <c r="H171" s="208">
        <v>0</v>
      </c>
      <c r="I171" s="208">
        <v>0</v>
      </c>
      <c r="J171" s="208">
        <v>0</v>
      </c>
      <c r="K171" s="208">
        <v>0</v>
      </c>
      <c r="L171" s="208">
        <v>0</v>
      </c>
      <c r="M171" s="276">
        <v>0</v>
      </c>
      <c r="N171" s="208">
        <v>0</v>
      </c>
      <c r="O171" s="208">
        <v>958</v>
      </c>
      <c r="P171" s="208">
        <v>662767.68000000005</v>
      </c>
      <c r="Q171" s="208">
        <v>0</v>
      </c>
      <c r="R171" s="208">
        <v>0</v>
      </c>
      <c r="S171" s="208">
        <v>0</v>
      </c>
      <c r="T171" s="208">
        <v>0</v>
      </c>
      <c r="U171" s="208">
        <v>0</v>
      </c>
      <c r="V171" s="208">
        <v>0</v>
      </c>
      <c r="W171" s="208">
        <v>0</v>
      </c>
      <c r="X171" s="208">
        <v>0</v>
      </c>
      <c r="Y171" s="208">
        <v>0</v>
      </c>
      <c r="Z171" s="208">
        <v>0</v>
      </c>
      <c r="AA171" s="208">
        <v>0</v>
      </c>
      <c r="AB171" s="208">
        <v>0</v>
      </c>
      <c r="AC171" s="208">
        <v>0</v>
      </c>
      <c r="AD171" s="208">
        <v>0</v>
      </c>
      <c r="AE171" s="208">
        <f>ROUND(P171*1.5%,2)</f>
        <v>9941.52</v>
      </c>
      <c r="AF171" s="208">
        <v>0</v>
      </c>
      <c r="AG171" s="208">
        <v>0</v>
      </c>
      <c r="AH171" s="285" t="s">
        <v>271</v>
      </c>
      <c r="AI171" s="285">
        <v>2020</v>
      </c>
      <c r="AJ171" s="285">
        <v>2020</v>
      </c>
      <c r="AK171" s="152"/>
      <c r="AL171" s="152"/>
      <c r="AM171" s="152"/>
      <c r="AN171" s="152"/>
    </row>
    <row r="172" spans="1:40" customFormat="1" ht="62.25" x14ac:dyDescent="0.9">
      <c r="A172">
        <v>1</v>
      </c>
      <c r="B172" s="274">
        <v>93</v>
      </c>
      <c r="C172" s="289" t="s">
        <v>1493</v>
      </c>
      <c r="D172" s="290" t="s">
        <v>1550</v>
      </c>
      <c r="E172" s="284">
        <v>0.86939999999999995</v>
      </c>
      <c r="F172" s="208">
        <f>G172+H172+I172+J172+K172+L172+N172+P172+R172+T172+V172+W172+X172+Y172+Z172+AA172+AB172+AC172+AD172+AE172+AF172+AG172</f>
        <v>5758.94</v>
      </c>
      <c r="G172" s="208">
        <v>0</v>
      </c>
      <c r="H172" s="208">
        <v>0</v>
      </c>
      <c r="I172" s="208">
        <v>0</v>
      </c>
      <c r="J172" s="208">
        <v>0</v>
      </c>
      <c r="K172" s="208">
        <v>0</v>
      </c>
      <c r="L172" s="208">
        <v>0</v>
      </c>
      <c r="M172" s="276">
        <v>0</v>
      </c>
      <c r="N172" s="208">
        <v>0</v>
      </c>
      <c r="O172" s="208">
        <v>611</v>
      </c>
      <c r="P172" s="208">
        <v>5673.83</v>
      </c>
      <c r="Q172" s="208">
        <v>0</v>
      </c>
      <c r="R172" s="208">
        <v>0</v>
      </c>
      <c r="S172" s="208">
        <v>0</v>
      </c>
      <c r="T172" s="208">
        <v>0</v>
      </c>
      <c r="U172" s="208">
        <v>0</v>
      </c>
      <c r="V172" s="208">
        <v>0</v>
      </c>
      <c r="W172" s="208">
        <v>0</v>
      </c>
      <c r="X172" s="208">
        <v>0</v>
      </c>
      <c r="Y172" s="208">
        <v>0</v>
      </c>
      <c r="Z172" s="208">
        <v>0</v>
      </c>
      <c r="AA172" s="208">
        <v>0</v>
      </c>
      <c r="AB172" s="208">
        <v>0</v>
      </c>
      <c r="AC172" s="208">
        <v>0</v>
      </c>
      <c r="AD172" s="208">
        <v>0</v>
      </c>
      <c r="AE172" s="208">
        <f>ROUND(P172*1.5%,2)</f>
        <v>85.11</v>
      </c>
      <c r="AF172" s="208">
        <v>0</v>
      </c>
      <c r="AG172" s="208">
        <v>0</v>
      </c>
      <c r="AH172" s="285" t="s">
        <v>271</v>
      </c>
      <c r="AI172" s="285">
        <v>2020</v>
      </c>
      <c r="AJ172" s="285">
        <v>2020</v>
      </c>
      <c r="AK172" s="152"/>
      <c r="AL172" s="152"/>
      <c r="AM172" s="152"/>
      <c r="AN172" s="152"/>
    </row>
    <row r="173" spans="1:40" customFormat="1" ht="62.25" x14ac:dyDescent="0.9">
      <c r="A173">
        <v>1</v>
      </c>
      <c r="B173" s="274">
        <v>94</v>
      </c>
      <c r="C173" s="289" t="s">
        <v>1494</v>
      </c>
      <c r="D173" s="292" t="s">
        <v>1911</v>
      </c>
      <c r="E173" s="284">
        <v>0.62490000000000001</v>
      </c>
      <c r="F173" s="208">
        <f>G173+H173+I173+J173+K173+L173+N173+P173+R173+T173+V173+W173+X173+Y173+Z173+AA173+AB173+AC173+AD173+AE173+AF173+AG173</f>
        <v>233459.54</v>
      </c>
      <c r="G173" s="208">
        <v>0</v>
      </c>
      <c r="H173" s="208">
        <v>0</v>
      </c>
      <c r="I173" s="208">
        <v>0</v>
      </c>
      <c r="J173" s="208">
        <v>0</v>
      </c>
      <c r="K173" s="208">
        <v>0</v>
      </c>
      <c r="L173" s="208">
        <v>0</v>
      </c>
      <c r="M173" s="276">
        <v>0</v>
      </c>
      <c r="N173" s="208">
        <v>0</v>
      </c>
      <c r="O173" s="208">
        <v>0</v>
      </c>
      <c r="P173" s="208">
        <v>0</v>
      </c>
      <c r="Q173" s="208">
        <v>0</v>
      </c>
      <c r="R173" s="208">
        <v>0</v>
      </c>
      <c r="S173" s="208">
        <v>157.6</v>
      </c>
      <c r="T173" s="208">
        <v>230009.4</v>
      </c>
      <c r="U173" s="208">
        <v>0</v>
      </c>
      <c r="V173" s="208">
        <v>0</v>
      </c>
      <c r="W173" s="208">
        <v>0</v>
      </c>
      <c r="X173" s="208">
        <v>0</v>
      </c>
      <c r="Y173" s="208">
        <v>0</v>
      </c>
      <c r="Z173" s="208">
        <v>0</v>
      </c>
      <c r="AA173" s="208">
        <v>0</v>
      </c>
      <c r="AB173" s="208">
        <v>0</v>
      </c>
      <c r="AC173" s="208">
        <v>0</v>
      </c>
      <c r="AD173" s="208">
        <v>0</v>
      </c>
      <c r="AE173" s="208">
        <f>ROUND(T173*1.5%,2)</f>
        <v>3450.14</v>
      </c>
      <c r="AF173" s="208">
        <v>0</v>
      </c>
      <c r="AG173" s="208">
        <v>0</v>
      </c>
      <c r="AH173" s="285" t="s">
        <v>271</v>
      </c>
      <c r="AI173" s="285">
        <v>2020</v>
      </c>
      <c r="AJ173" s="285">
        <v>2020</v>
      </c>
      <c r="AK173" s="152"/>
      <c r="AL173" s="152"/>
      <c r="AM173" s="152"/>
      <c r="AN173" s="152"/>
    </row>
    <row r="174" spans="1:40" customFormat="1" ht="62.25" x14ac:dyDescent="0.9">
      <c r="A174">
        <v>1</v>
      </c>
      <c r="B174" s="274">
        <v>95</v>
      </c>
      <c r="C174" s="289" t="s">
        <v>1522</v>
      </c>
      <c r="D174" s="290" t="s">
        <v>1911</v>
      </c>
      <c r="E174" s="284">
        <v>0.875</v>
      </c>
      <c r="F174" s="208">
        <f>G174+H174+I174+J174+K174+L174+N174+P174+R174+T174+V174+W174+X174+Y174+Z174+AA174+AB174+AC174+AD174+AE174+AF174+AG174</f>
        <v>57671.29</v>
      </c>
      <c r="G174" s="208">
        <v>0</v>
      </c>
      <c r="H174" s="208">
        <v>0</v>
      </c>
      <c r="I174" s="208">
        <v>0</v>
      </c>
      <c r="J174" s="208">
        <v>0</v>
      </c>
      <c r="K174" s="208">
        <v>0</v>
      </c>
      <c r="L174" s="208">
        <v>0</v>
      </c>
      <c r="M174" s="276">
        <v>0</v>
      </c>
      <c r="N174" s="208">
        <v>0</v>
      </c>
      <c r="O174" s="208">
        <v>508</v>
      </c>
      <c r="P174" s="208">
        <v>56819</v>
      </c>
      <c r="Q174" s="208">
        <v>0</v>
      </c>
      <c r="R174" s="208">
        <v>0</v>
      </c>
      <c r="S174" s="208">
        <v>0</v>
      </c>
      <c r="T174" s="208">
        <v>0</v>
      </c>
      <c r="U174" s="208">
        <v>0</v>
      </c>
      <c r="V174" s="208">
        <v>0</v>
      </c>
      <c r="W174" s="208">
        <v>0</v>
      </c>
      <c r="X174" s="208">
        <v>0</v>
      </c>
      <c r="Y174" s="208">
        <v>0</v>
      </c>
      <c r="Z174" s="208">
        <v>0</v>
      </c>
      <c r="AA174" s="208">
        <v>0</v>
      </c>
      <c r="AB174" s="208">
        <v>0</v>
      </c>
      <c r="AC174" s="208">
        <v>0</v>
      </c>
      <c r="AD174" s="208">
        <v>0</v>
      </c>
      <c r="AE174" s="208">
        <f>ROUND(P174*1.5%,2)</f>
        <v>852.29</v>
      </c>
      <c r="AF174" s="208">
        <v>0</v>
      </c>
      <c r="AG174" s="208">
        <v>0</v>
      </c>
      <c r="AH174" s="285" t="s">
        <v>271</v>
      </c>
      <c r="AI174" s="285">
        <v>2020</v>
      </c>
      <c r="AJ174" s="285">
        <v>2020</v>
      </c>
      <c r="AK174" s="152"/>
      <c r="AL174" s="152"/>
      <c r="AM174" s="152"/>
      <c r="AN174" s="152"/>
    </row>
    <row r="175" spans="1:40" customFormat="1" ht="62.25" x14ac:dyDescent="0.9">
      <c r="B175" s="301" t="s">
        <v>883</v>
      </c>
      <c r="C175" s="289"/>
      <c r="D175" s="288" t="s">
        <v>903</v>
      </c>
      <c r="E175" s="284">
        <f>E176</f>
        <v>0.93430000000000002</v>
      </c>
      <c r="F175" s="208">
        <f>F176</f>
        <v>425208.96</v>
      </c>
      <c r="G175" s="208">
        <f t="shared" ref="G175:AG175" si="43">G176</f>
        <v>0</v>
      </c>
      <c r="H175" s="208">
        <f t="shared" si="43"/>
        <v>0</v>
      </c>
      <c r="I175" s="208">
        <f t="shared" si="43"/>
        <v>0</v>
      </c>
      <c r="J175" s="208">
        <f t="shared" si="43"/>
        <v>0</v>
      </c>
      <c r="K175" s="208">
        <f t="shared" si="43"/>
        <v>0</v>
      </c>
      <c r="L175" s="208">
        <f t="shared" si="43"/>
        <v>0</v>
      </c>
      <c r="M175" s="276">
        <f t="shared" si="43"/>
        <v>0</v>
      </c>
      <c r="N175" s="208">
        <f t="shared" si="43"/>
        <v>0</v>
      </c>
      <c r="O175" s="208">
        <f t="shared" si="43"/>
        <v>1223</v>
      </c>
      <c r="P175" s="208">
        <f t="shared" si="43"/>
        <v>425208.96</v>
      </c>
      <c r="Q175" s="208">
        <f t="shared" si="43"/>
        <v>0</v>
      </c>
      <c r="R175" s="208">
        <f t="shared" si="43"/>
        <v>0</v>
      </c>
      <c r="S175" s="208">
        <f t="shared" si="43"/>
        <v>0</v>
      </c>
      <c r="T175" s="208">
        <f t="shared" si="43"/>
        <v>0</v>
      </c>
      <c r="U175" s="208">
        <f t="shared" si="43"/>
        <v>0</v>
      </c>
      <c r="V175" s="208">
        <f t="shared" si="43"/>
        <v>0</v>
      </c>
      <c r="W175" s="208">
        <f t="shared" si="43"/>
        <v>0</v>
      </c>
      <c r="X175" s="208">
        <f t="shared" si="43"/>
        <v>0</v>
      </c>
      <c r="Y175" s="208">
        <f t="shared" si="43"/>
        <v>0</v>
      </c>
      <c r="Z175" s="208">
        <f t="shared" si="43"/>
        <v>0</v>
      </c>
      <c r="AA175" s="208">
        <f t="shared" si="43"/>
        <v>0</v>
      </c>
      <c r="AB175" s="208">
        <f t="shared" si="43"/>
        <v>0</v>
      </c>
      <c r="AC175" s="208">
        <f t="shared" si="43"/>
        <v>0</v>
      </c>
      <c r="AD175" s="208">
        <f t="shared" si="43"/>
        <v>0</v>
      </c>
      <c r="AE175" s="208">
        <f t="shared" si="43"/>
        <v>0</v>
      </c>
      <c r="AF175" s="208">
        <f t="shared" si="43"/>
        <v>0</v>
      </c>
      <c r="AG175" s="208">
        <f t="shared" si="43"/>
        <v>0</v>
      </c>
      <c r="AH175" s="285" t="s">
        <v>903</v>
      </c>
      <c r="AI175" s="285" t="s">
        <v>903</v>
      </c>
      <c r="AJ175" s="285" t="s">
        <v>903</v>
      </c>
      <c r="AK175" s="152"/>
      <c r="AL175" s="152"/>
      <c r="AM175" s="152"/>
      <c r="AN175" s="152"/>
    </row>
    <row r="176" spans="1:40" customFormat="1" ht="62.25" x14ac:dyDescent="0.9">
      <c r="A176">
        <v>1</v>
      </c>
      <c r="B176" s="274">
        <v>96</v>
      </c>
      <c r="C176" s="289" t="s">
        <v>1495</v>
      </c>
      <c r="D176" s="290" t="s">
        <v>1910</v>
      </c>
      <c r="E176" s="284">
        <v>0.93430000000000002</v>
      </c>
      <c r="F176" s="208">
        <f>G176+H176+I176+J176+K176+L176+N176+P176+R176+T176+V176+W176+X176+Y176+Z176+AA176+AB176+AC176+AD176+AE176+AF176+AG176</f>
        <v>425208.96</v>
      </c>
      <c r="G176" s="208">
        <v>0</v>
      </c>
      <c r="H176" s="208">
        <v>0</v>
      </c>
      <c r="I176" s="208">
        <v>0</v>
      </c>
      <c r="J176" s="208">
        <v>0</v>
      </c>
      <c r="K176" s="208">
        <v>0</v>
      </c>
      <c r="L176" s="208">
        <v>0</v>
      </c>
      <c r="M176" s="276">
        <v>0</v>
      </c>
      <c r="N176" s="208">
        <v>0</v>
      </c>
      <c r="O176" s="208">
        <v>1223</v>
      </c>
      <c r="P176" s="208">
        <v>425208.96</v>
      </c>
      <c r="Q176" s="208">
        <v>0</v>
      </c>
      <c r="R176" s="208">
        <v>0</v>
      </c>
      <c r="S176" s="208">
        <v>0</v>
      </c>
      <c r="T176" s="208">
        <v>0</v>
      </c>
      <c r="U176" s="208">
        <v>0</v>
      </c>
      <c r="V176" s="208">
        <v>0</v>
      </c>
      <c r="W176" s="208">
        <v>0</v>
      </c>
      <c r="X176" s="208">
        <v>0</v>
      </c>
      <c r="Y176" s="208">
        <v>0</v>
      </c>
      <c r="Z176" s="208">
        <v>0</v>
      </c>
      <c r="AA176" s="208">
        <v>0</v>
      </c>
      <c r="AB176" s="208">
        <v>0</v>
      </c>
      <c r="AC176" s="208">
        <v>0</v>
      </c>
      <c r="AD176" s="208">
        <v>0</v>
      </c>
      <c r="AE176" s="208">
        <v>0</v>
      </c>
      <c r="AF176" s="208">
        <v>0</v>
      </c>
      <c r="AG176" s="208">
        <v>0</v>
      </c>
      <c r="AH176" s="285" t="s">
        <v>271</v>
      </c>
      <c r="AI176" s="285">
        <v>2020</v>
      </c>
      <c r="AJ176" s="285" t="s">
        <v>271</v>
      </c>
      <c r="AK176" s="152"/>
      <c r="AL176" s="152"/>
      <c r="AM176" s="152"/>
      <c r="AN176" s="152"/>
    </row>
    <row r="177" spans="1:40" customFormat="1" ht="62.25" x14ac:dyDescent="0.9">
      <c r="B177" s="301" t="s">
        <v>844</v>
      </c>
      <c r="C177" s="289"/>
      <c r="D177" s="288" t="s">
        <v>903</v>
      </c>
      <c r="E177" s="284">
        <f>AVERAGE(E178:E179)</f>
        <v>0.96888059793717207</v>
      </c>
      <c r="F177" s="208">
        <f>F178+F179</f>
        <v>379095.19</v>
      </c>
      <c r="G177" s="208">
        <f t="shared" ref="G177:AG177" si="44">G178+G179</f>
        <v>0</v>
      </c>
      <c r="H177" s="208">
        <f t="shared" si="44"/>
        <v>0</v>
      </c>
      <c r="I177" s="208">
        <f t="shared" si="44"/>
        <v>0</v>
      </c>
      <c r="J177" s="208">
        <f t="shared" si="44"/>
        <v>0</v>
      </c>
      <c r="K177" s="208">
        <f t="shared" si="44"/>
        <v>0</v>
      </c>
      <c r="L177" s="208">
        <f t="shared" si="44"/>
        <v>0</v>
      </c>
      <c r="M177" s="208">
        <f t="shared" si="44"/>
        <v>0</v>
      </c>
      <c r="N177" s="208">
        <f t="shared" si="44"/>
        <v>0</v>
      </c>
      <c r="O177" s="208">
        <f t="shared" si="44"/>
        <v>1404.8</v>
      </c>
      <c r="P177" s="208">
        <f t="shared" si="44"/>
        <v>373492.8</v>
      </c>
      <c r="Q177" s="208">
        <f t="shared" si="44"/>
        <v>0</v>
      </c>
      <c r="R177" s="208">
        <f t="shared" si="44"/>
        <v>0</v>
      </c>
      <c r="S177" s="208">
        <f t="shared" si="44"/>
        <v>0</v>
      </c>
      <c r="T177" s="208">
        <f t="shared" si="44"/>
        <v>0</v>
      </c>
      <c r="U177" s="208">
        <f t="shared" si="44"/>
        <v>0</v>
      </c>
      <c r="V177" s="208">
        <f t="shared" si="44"/>
        <v>0</v>
      </c>
      <c r="W177" s="208">
        <f t="shared" si="44"/>
        <v>0</v>
      </c>
      <c r="X177" s="208">
        <f t="shared" si="44"/>
        <v>0</v>
      </c>
      <c r="Y177" s="208">
        <f t="shared" si="44"/>
        <v>0</v>
      </c>
      <c r="Z177" s="208">
        <f t="shared" si="44"/>
        <v>0</v>
      </c>
      <c r="AA177" s="208">
        <f t="shared" si="44"/>
        <v>0</v>
      </c>
      <c r="AB177" s="208">
        <f t="shared" si="44"/>
        <v>0</v>
      </c>
      <c r="AC177" s="208">
        <f t="shared" si="44"/>
        <v>0</v>
      </c>
      <c r="AD177" s="208">
        <f t="shared" si="44"/>
        <v>0</v>
      </c>
      <c r="AE177" s="208">
        <f t="shared" si="44"/>
        <v>5602.39</v>
      </c>
      <c r="AF177" s="208">
        <f t="shared" si="44"/>
        <v>0</v>
      </c>
      <c r="AG177" s="208">
        <f t="shared" si="44"/>
        <v>0</v>
      </c>
      <c r="AH177" s="285" t="s">
        <v>903</v>
      </c>
      <c r="AI177" s="285" t="s">
        <v>903</v>
      </c>
      <c r="AJ177" s="285" t="s">
        <v>903</v>
      </c>
      <c r="AK177" s="152"/>
      <c r="AL177" s="152"/>
      <c r="AM177" s="152"/>
      <c r="AN177" s="152"/>
    </row>
    <row r="178" spans="1:40" customFormat="1" ht="62.25" x14ac:dyDescent="0.9">
      <c r="A178">
        <v>1</v>
      </c>
      <c r="B178" s="274">
        <v>97</v>
      </c>
      <c r="C178" s="289" t="s">
        <v>1496</v>
      </c>
      <c r="D178" s="290" t="s">
        <v>1910</v>
      </c>
      <c r="E178" s="284">
        <v>0.96641898912086177</v>
      </c>
      <c r="F178" s="208">
        <f>G178+H178+I178+J178+K178+L178+N178+P178+R178+T178+V178+W178+X178+Y178+Z178+AA178+AB178+AC178+AD178+AE178+AF178+AG178</f>
        <v>354821.67</v>
      </c>
      <c r="G178" s="208">
        <v>0</v>
      </c>
      <c r="H178" s="208">
        <v>0</v>
      </c>
      <c r="I178" s="208">
        <v>0</v>
      </c>
      <c r="J178" s="208">
        <v>0</v>
      </c>
      <c r="K178" s="208">
        <v>0</v>
      </c>
      <c r="L178" s="208">
        <v>0</v>
      </c>
      <c r="M178" s="276">
        <v>0</v>
      </c>
      <c r="N178" s="208">
        <v>0</v>
      </c>
      <c r="O178" s="208">
        <v>729.8</v>
      </c>
      <c r="P178" s="208">
        <v>349578</v>
      </c>
      <c r="Q178" s="208">
        <v>0</v>
      </c>
      <c r="R178" s="208">
        <v>0</v>
      </c>
      <c r="S178" s="208">
        <v>0</v>
      </c>
      <c r="T178" s="208">
        <v>0</v>
      </c>
      <c r="U178" s="208">
        <v>0</v>
      </c>
      <c r="V178" s="208">
        <v>0</v>
      </c>
      <c r="W178" s="208">
        <v>0</v>
      </c>
      <c r="X178" s="208">
        <v>0</v>
      </c>
      <c r="Y178" s="208">
        <v>0</v>
      </c>
      <c r="Z178" s="208">
        <v>0</v>
      </c>
      <c r="AA178" s="208">
        <v>0</v>
      </c>
      <c r="AB178" s="208">
        <v>0</v>
      </c>
      <c r="AC178" s="208">
        <v>0</v>
      </c>
      <c r="AD178" s="208">
        <v>0</v>
      </c>
      <c r="AE178" s="208">
        <f>ROUND(P178*1.5%,2)</f>
        <v>5243.67</v>
      </c>
      <c r="AF178" s="208">
        <v>0</v>
      </c>
      <c r="AG178" s="208">
        <v>0</v>
      </c>
      <c r="AH178" s="285" t="s">
        <v>271</v>
      </c>
      <c r="AI178" s="285">
        <v>2020</v>
      </c>
      <c r="AJ178" s="285">
        <v>2020</v>
      </c>
      <c r="AK178" s="152"/>
      <c r="AL178" s="152"/>
      <c r="AM178" s="152"/>
      <c r="AN178" s="152"/>
    </row>
    <row r="179" spans="1:40" s="293" customFormat="1" ht="62.25" x14ac:dyDescent="0.9">
      <c r="B179" s="294">
        <v>98</v>
      </c>
      <c r="C179" s="295" t="s">
        <v>1923</v>
      </c>
      <c r="D179" s="221" t="s">
        <v>1911</v>
      </c>
      <c r="E179" s="296">
        <v>0.97134220675348237</v>
      </c>
      <c r="F179" s="206">
        <f>P179+AE179</f>
        <v>24273.52</v>
      </c>
      <c r="G179" s="206">
        <v>0</v>
      </c>
      <c r="H179" s="206">
        <v>0</v>
      </c>
      <c r="I179" s="206">
        <v>0</v>
      </c>
      <c r="J179" s="206">
        <v>0</v>
      </c>
      <c r="K179" s="206">
        <v>0</v>
      </c>
      <c r="L179" s="206">
        <v>0</v>
      </c>
      <c r="M179" s="297">
        <v>0</v>
      </c>
      <c r="N179" s="206">
        <v>0</v>
      </c>
      <c r="O179" s="206">
        <v>675</v>
      </c>
      <c r="P179" s="206">
        <v>23914.799999999999</v>
      </c>
      <c r="Q179" s="206">
        <v>0</v>
      </c>
      <c r="R179" s="206">
        <v>0</v>
      </c>
      <c r="S179" s="206">
        <v>0</v>
      </c>
      <c r="T179" s="229">
        <v>0</v>
      </c>
      <c r="U179" s="206">
        <v>0</v>
      </c>
      <c r="V179" s="206">
        <v>0</v>
      </c>
      <c r="W179" s="206">
        <v>0</v>
      </c>
      <c r="X179" s="206">
        <v>0</v>
      </c>
      <c r="Y179" s="206">
        <v>0</v>
      </c>
      <c r="Z179" s="206">
        <v>0</v>
      </c>
      <c r="AA179" s="206">
        <v>0</v>
      </c>
      <c r="AB179" s="206">
        <v>0</v>
      </c>
      <c r="AC179" s="206">
        <v>0</v>
      </c>
      <c r="AD179" s="206">
        <v>0</v>
      </c>
      <c r="AE179" s="206">
        <f>ROUND(P179*1.5%,2)</f>
        <v>358.72</v>
      </c>
      <c r="AF179" s="206">
        <v>0</v>
      </c>
      <c r="AG179" s="206">
        <v>0</v>
      </c>
      <c r="AH179" s="298" t="s">
        <v>271</v>
      </c>
      <c r="AI179" s="298">
        <v>2020</v>
      </c>
      <c r="AJ179" s="298">
        <v>2020</v>
      </c>
      <c r="AK179" s="299"/>
      <c r="AL179" s="299"/>
      <c r="AM179" s="299"/>
      <c r="AN179" s="299"/>
    </row>
    <row r="180" spans="1:40" customFormat="1" ht="62.25" x14ac:dyDescent="0.9">
      <c r="B180" s="301" t="s">
        <v>856</v>
      </c>
      <c r="C180" s="289"/>
      <c r="D180" s="288" t="s">
        <v>903</v>
      </c>
      <c r="E180" s="284">
        <f>AVERAGE(E181:E182)</f>
        <v>0.79569999999999996</v>
      </c>
      <c r="F180" s="208">
        <f>F181+F182</f>
        <v>1988549.43</v>
      </c>
      <c r="G180" s="208">
        <f t="shared" ref="G180:AF180" si="45">G181+G182</f>
        <v>0</v>
      </c>
      <c r="H180" s="208">
        <f t="shared" si="45"/>
        <v>0</v>
      </c>
      <c r="I180" s="208">
        <f t="shared" si="45"/>
        <v>0</v>
      </c>
      <c r="J180" s="208">
        <f t="shared" si="45"/>
        <v>0</v>
      </c>
      <c r="K180" s="208">
        <f t="shared" si="45"/>
        <v>0</v>
      </c>
      <c r="L180" s="208">
        <f t="shared" si="45"/>
        <v>0</v>
      </c>
      <c r="M180" s="276">
        <f t="shared" si="45"/>
        <v>0</v>
      </c>
      <c r="N180" s="208">
        <f t="shared" si="45"/>
        <v>0</v>
      </c>
      <c r="O180" s="208">
        <f t="shared" si="45"/>
        <v>4741.7</v>
      </c>
      <c r="P180" s="208">
        <f t="shared" si="45"/>
        <v>1959162</v>
      </c>
      <c r="Q180" s="208">
        <f t="shared" si="45"/>
        <v>0</v>
      </c>
      <c r="R180" s="208">
        <f t="shared" si="45"/>
        <v>0</v>
      </c>
      <c r="S180" s="208">
        <f t="shared" si="45"/>
        <v>0</v>
      </c>
      <c r="T180" s="208">
        <f t="shared" si="45"/>
        <v>0</v>
      </c>
      <c r="U180" s="208">
        <f t="shared" si="45"/>
        <v>0</v>
      </c>
      <c r="V180" s="208">
        <f t="shared" si="45"/>
        <v>0</v>
      </c>
      <c r="W180" s="208">
        <f t="shared" si="45"/>
        <v>0</v>
      </c>
      <c r="X180" s="208">
        <f t="shared" si="45"/>
        <v>0</v>
      </c>
      <c r="Y180" s="208">
        <f t="shared" si="45"/>
        <v>0</v>
      </c>
      <c r="Z180" s="208">
        <f t="shared" si="45"/>
        <v>0</v>
      </c>
      <c r="AA180" s="208">
        <f t="shared" si="45"/>
        <v>0</v>
      </c>
      <c r="AB180" s="208">
        <f t="shared" si="45"/>
        <v>0</v>
      </c>
      <c r="AC180" s="208">
        <f t="shared" si="45"/>
        <v>0</v>
      </c>
      <c r="AD180" s="208">
        <f t="shared" si="45"/>
        <v>0</v>
      </c>
      <c r="AE180" s="208">
        <f t="shared" si="45"/>
        <v>29387.43</v>
      </c>
      <c r="AF180" s="208">
        <f t="shared" si="45"/>
        <v>0</v>
      </c>
      <c r="AG180" s="208">
        <f>AG181+AG182</f>
        <v>0</v>
      </c>
      <c r="AH180" s="285" t="s">
        <v>903</v>
      </c>
      <c r="AI180" s="285" t="s">
        <v>903</v>
      </c>
      <c r="AJ180" s="285" t="s">
        <v>903</v>
      </c>
      <c r="AK180" s="152"/>
      <c r="AL180" s="152"/>
      <c r="AM180" s="152"/>
      <c r="AN180" s="152"/>
    </row>
    <row r="181" spans="1:40" customFormat="1" ht="62.25" x14ac:dyDescent="0.9">
      <c r="A181">
        <v>1</v>
      </c>
      <c r="B181" s="274">
        <v>99</v>
      </c>
      <c r="C181" s="289" t="s">
        <v>1497</v>
      </c>
      <c r="D181" s="290" t="s">
        <v>1550</v>
      </c>
      <c r="E181" s="284">
        <v>0.87239999999999995</v>
      </c>
      <c r="F181" s="208">
        <f>G181+H181+I181+J181+K181+L181+N181+P181+R181+T181+V181+W181+X181+Y181+Z181+AA181+AB181+AC181+AD181+AE181+AF181+AG181</f>
        <v>83534.5</v>
      </c>
      <c r="G181" s="208">
        <v>0</v>
      </c>
      <c r="H181" s="208">
        <v>0</v>
      </c>
      <c r="I181" s="208">
        <v>0</v>
      </c>
      <c r="J181" s="208">
        <v>0</v>
      </c>
      <c r="K181" s="208">
        <v>0</v>
      </c>
      <c r="L181" s="208">
        <v>0</v>
      </c>
      <c r="M181" s="276">
        <v>0</v>
      </c>
      <c r="N181" s="208">
        <v>0</v>
      </c>
      <c r="O181" s="208">
        <v>2780.7</v>
      </c>
      <c r="P181" s="208">
        <v>82300</v>
      </c>
      <c r="Q181" s="208">
        <v>0</v>
      </c>
      <c r="R181" s="208">
        <v>0</v>
      </c>
      <c r="S181" s="208">
        <v>0</v>
      </c>
      <c r="T181" s="208">
        <v>0</v>
      </c>
      <c r="U181" s="208">
        <v>0</v>
      </c>
      <c r="V181" s="208">
        <v>0</v>
      </c>
      <c r="W181" s="208">
        <v>0</v>
      </c>
      <c r="X181" s="208">
        <v>0</v>
      </c>
      <c r="Y181" s="208">
        <v>0</v>
      </c>
      <c r="Z181" s="208">
        <v>0</v>
      </c>
      <c r="AA181" s="208">
        <v>0</v>
      </c>
      <c r="AB181" s="208">
        <v>0</v>
      </c>
      <c r="AC181" s="208">
        <v>0</v>
      </c>
      <c r="AD181" s="208">
        <v>0</v>
      </c>
      <c r="AE181" s="208">
        <f>ROUND(P181*1.5%,2)</f>
        <v>1234.5</v>
      </c>
      <c r="AF181" s="208">
        <v>0</v>
      </c>
      <c r="AG181" s="208">
        <v>0</v>
      </c>
      <c r="AH181" s="285" t="s">
        <v>271</v>
      </c>
      <c r="AI181" s="285">
        <v>2020</v>
      </c>
      <c r="AJ181" s="285">
        <v>2020</v>
      </c>
      <c r="AK181" s="152"/>
      <c r="AL181" s="152"/>
      <c r="AM181" s="152"/>
      <c r="AN181" s="152"/>
    </row>
    <row r="182" spans="1:40" customFormat="1" ht="62.25" x14ac:dyDescent="0.9">
      <c r="A182">
        <v>1</v>
      </c>
      <c r="B182" s="274">
        <v>100</v>
      </c>
      <c r="C182" s="289" t="s">
        <v>1498</v>
      </c>
      <c r="D182" s="290" t="s">
        <v>1911</v>
      </c>
      <c r="E182" s="284">
        <v>0.71899999999999997</v>
      </c>
      <c r="F182" s="208">
        <f>G182+H182+I182+J182+K182+L182+N182+P182+R182+T182+V182+W182+X182+Y182+Z182+AA182+AB182+AC182+AD182+AE182+AF182+AG182</f>
        <v>1905014.93</v>
      </c>
      <c r="G182" s="208">
        <v>0</v>
      </c>
      <c r="H182" s="208">
        <v>0</v>
      </c>
      <c r="I182" s="208">
        <v>0</v>
      </c>
      <c r="J182" s="208">
        <v>0</v>
      </c>
      <c r="K182" s="208">
        <v>0</v>
      </c>
      <c r="L182" s="208">
        <v>0</v>
      </c>
      <c r="M182" s="276">
        <v>0</v>
      </c>
      <c r="N182" s="208">
        <v>0</v>
      </c>
      <c r="O182" s="208">
        <v>1961</v>
      </c>
      <c r="P182" s="208">
        <v>1876862</v>
      </c>
      <c r="Q182" s="208">
        <v>0</v>
      </c>
      <c r="R182" s="208">
        <v>0</v>
      </c>
      <c r="S182" s="208">
        <v>0</v>
      </c>
      <c r="T182" s="208">
        <v>0</v>
      </c>
      <c r="U182" s="208">
        <v>0</v>
      </c>
      <c r="V182" s="208">
        <v>0</v>
      </c>
      <c r="W182" s="208">
        <v>0</v>
      </c>
      <c r="X182" s="208">
        <v>0</v>
      </c>
      <c r="Y182" s="208">
        <v>0</v>
      </c>
      <c r="Z182" s="208">
        <v>0</v>
      </c>
      <c r="AA182" s="208">
        <v>0</v>
      </c>
      <c r="AB182" s="208">
        <v>0</v>
      </c>
      <c r="AC182" s="208">
        <v>0</v>
      </c>
      <c r="AD182" s="208">
        <v>0</v>
      </c>
      <c r="AE182" s="208">
        <f>ROUND(P182*1.5%,2)</f>
        <v>28152.93</v>
      </c>
      <c r="AF182" s="208">
        <v>0</v>
      </c>
      <c r="AG182" s="208">
        <v>0</v>
      </c>
      <c r="AH182" s="285" t="s">
        <v>271</v>
      </c>
      <c r="AI182" s="285">
        <v>2020</v>
      </c>
      <c r="AJ182" s="285">
        <v>2020</v>
      </c>
      <c r="AK182" s="152"/>
      <c r="AL182" s="152"/>
      <c r="AM182" s="152"/>
      <c r="AN182" s="152"/>
    </row>
    <row r="183" spans="1:40" customFormat="1" ht="62.25" x14ac:dyDescent="0.9">
      <c r="B183" s="301" t="s">
        <v>896</v>
      </c>
      <c r="C183" s="289"/>
      <c r="D183" s="288" t="s">
        <v>903</v>
      </c>
      <c r="E183" s="284">
        <f>AVERAGE(E184:E186)</f>
        <v>0.90376666666666672</v>
      </c>
      <c r="F183" s="208">
        <f>F184+F185+F186</f>
        <v>654592.74</v>
      </c>
      <c r="G183" s="208">
        <f t="shared" ref="G183:AG183" si="46">G184+G185+G186</f>
        <v>0</v>
      </c>
      <c r="H183" s="208">
        <f t="shared" si="46"/>
        <v>0</v>
      </c>
      <c r="I183" s="208">
        <f t="shared" si="46"/>
        <v>0</v>
      </c>
      <c r="J183" s="208">
        <f t="shared" si="46"/>
        <v>0</v>
      </c>
      <c r="K183" s="208">
        <f t="shared" si="46"/>
        <v>0</v>
      </c>
      <c r="L183" s="208">
        <f t="shared" si="46"/>
        <v>0</v>
      </c>
      <c r="M183" s="208">
        <f t="shared" si="46"/>
        <v>0</v>
      </c>
      <c r="N183" s="208">
        <f t="shared" si="46"/>
        <v>0</v>
      </c>
      <c r="O183" s="208">
        <f t="shared" si="46"/>
        <v>2046.8</v>
      </c>
      <c r="P183" s="208">
        <f t="shared" si="46"/>
        <v>644918.96</v>
      </c>
      <c r="Q183" s="208">
        <f t="shared" si="46"/>
        <v>0</v>
      </c>
      <c r="R183" s="208">
        <f t="shared" si="46"/>
        <v>0</v>
      </c>
      <c r="S183" s="208">
        <f t="shared" si="46"/>
        <v>0</v>
      </c>
      <c r="T183" s="208">
        <f t="shared" si="46"/>
        <v>0</v>
      </c>
      <c r="U183" s="208">
        <f t="shared" si="46"/>
        <v>0</v>
      </c>
      <c r="V183" s="208">
        <f t="shared" si="46"/>
        <v>0</v>
      </c>
      <c r="W183" s="208">
        <f t="shared" si="46"/>
        <v>0</v>
      </c>
      <c r="X183" s="208">
        <f t="shared" si="46"/>
        <v>0</v>
      </c>
      <c r="Y183" s="208">
        <f t="shared" si="46"/>
        <v>0</v>
      </c>
      <c r="Z183" s="208">
        <f t="shared" si="46"/>
        <v>0</v>
      </c>
      <c r="AA183" s="208">
        <f t="shared" si="46"/>
        <v>0</v>
      </c>
      <c r="AB183" s="208">
        <f t="shared" si="46"/>
        <v>0</v>
      </c>
      <c r="AC183" s="208">
        <f t="shared" si="46"/>
        <v>0</v>
      </c>
      <c r="AD183" s="208">
        <f t="shared" si="46"/>
        <v>0</v>
      </c>
      <c r="AE183" s="208">
        <f t="shared" si="46"/>
        <v>9673.7800000000007</v>
      </c>
      <c r="AF183" s="208">
        <f t="shared" si="46"/>
        <v>0</v>
      </c>
      <c r="AG183" s="208">
        <f t="shared" si="46"/>
        <v>0</v>
      </c>
      <c r="AH183" s="285" t="s">
        <v>903</v>
      </c>
      <c r="AI183" s="285" t="s">
        <v>903</v>
      </c>
      <c r="AJ183" s="285" t="s">
        <v>903</v>
      </c>
      <c r="AK183" s="152"/>
      <c r="AL183" s="152"/>
      <c r="AM183" s="152"/>
      <c r="AN183" s="152"/>
    </row>
    <row r="184" spans="1:40" customFormat="1" ht="62.25" x14ac:dyDescent="0.9">
      <c r="A184">
        <v>1</v>
      </c>
      <c r="B184" s="274">
        <v>101</v>
      </c>
      <c r="C184" s="289" t="s">
        <v>1499</v>
      </c>
      <c r="D184" s="290" t="s">
        <v>1911</v>
      </c>
      <c r="E184" s="284">
        <v>0.75539999999999996</v>
      </c>
      <c r="F184" s="206">
        <f>G184+H184+I184+J184+K184+L184+N184+P184+R184+T184+V184+W184+X184+Y184+Z184+AA184+AB184+AC184+AD184+AE184+AF184+AG184</f>
        <v>590350.84</v>
      </c>
      <c r="G184" s="208">
        <v>0</v>
      </c>
      <c r="H184" s="208">
        <v>0</v>
      </c>
      <c r="I184" s="208">
        <v>0</v>
      </c>
      <c r="J184" s="208">
        <v>0</v>
      </c>
      <c r="K184" s="208">
        <v>0</v>
      </c>
      <c r="L184" s="208">
        <v>0</v>
      </c>
      <c r="M184" s="276">
        <v>0</v>
      </c>
      <c r="N184" s="208">
        <v>0</v>
      </c>
      <c r="O184" s="208">
        <v>749</v>
      </c>
      <c r="P184" s="206">
        <v>581626.43999999994</v>
      </c>
      <c r="Q184" s="208">
        <v>0</v>
      </c>
      <c r="R184" s="208">
        <v>0</v>
      </c>
      <c r="S184" s="208">
        <v>0</v>
      </c>
      <c r="T184" s="208">
        <v>0</v>
      </c>
      <c r="U184" s="208">
        <v>0</v>
      </c>
      <c r="V184" s="208">
        <v>0</v>
      </c>
      <c r="W184" s="208">
        <v>0</v>
      </c>
      <c r="X184" s="208">
        <v>0</v>
      </c>
      <c r="Y184" s="208">
        <v>0</v>
      </c>
      <c r="Z184" s="208">
        <v>0</v>
      </c>
      <c r="AA184" s="208">
        <v>0</v>
      </c>
      <c r="AB184" s="208">
        <v>0</v>
      </c>
      <c r="AC184" s="208">
        <v>0</v>
      </c>
      <c r="AD184" s="208">
        <v>0</v>
      </c>
      <c r="AE184" s="208">
        <f>ROUND(P184*1.5%,2)</f>
        <v>8724.4</v>
      </c>
      <c r="AF184" s="208">
        <v>0</v>
      </c>
      <c r="AG184" s="208">
        <v>0</v>
      </c>
      <c r="AH184" s="285" t="s">
        <v>271</v>
      </c>
      <c r="AI184" s="285">
        <v>2020</v>
      </c>
      <c r="AJ184" s="285">
        <v>2020</v>
      </c>
      <c r="AK184" s="152"/>
      <c r="AL184" s="152"/>
      <c r="AM184" s="152"/>
      <c r="AN184" s="152"/>
    </row>
    <row r="185" spans="1:40" customFormat="1" ht="62.25" x14ac:dyDescent="0.9">
      <c r="A185">
        <v>1</v>
      </c>
      <c r="B185" s="274">
        <v>102</v>
      </c>
      <c r="C185" s="289" t="s">
        <v>1500</v>
      </c>
      <c r="D185" s="290" t="s">
        <v>1550</v>
      </c>
      <c r="E185" s="284">
        <v>0.95920000000000005</v>
      </c>
      <c r="F185" s="208">
        <f>G185+H185+I185+J185+K185+L185+N185+P185+R185+T185+V185+W185+X185+Y185+Z185+AA185+AB185+AC185+AD185+AE185+AF185+AG185</f>
        <v>30755.429999999997</v>
      </c>
      <c r="G185" s="208">
        <v>0</v>
      </c>
      <c r="H185" s="208">
        <v>0</v>
      </c>
      <c r="I185" s="208">
        <v>0</v>
      </c>
      <c r="J185" s="208">
        <v>0</v>
      </c>
      <c r="K185" s="208">
        <v>0</v>
      </c>
      <c r="L185" s="208">
        <v>0</v>
      </c>
      <c r="M185" s="276">
        <v>0</v>
      </c>
      <c r="N185" s="208">
        <v>0</v>
      </c>
      <c r="O185" s="208">
        <v>703.8</v>
      </c>
      <c r="P185" s="208">
        <v>30300.92</v>
      </c>
      <c r="Q185" s="208">
        <v>0</v>
      </c>
      <c r="R185" s="208">
        <v>0</v>
      </c>
      <c r="S185" s="208">
        <v>0</v>
      </c>
      <c r="T185" s="208">
        <v>0</v>
      </c>
      <c r="U185" s="208">
        <v>0</v>
      </c>
      <c r="V185" s="208">
        <v>0</v>
      </c>
      <c r="W185" s="208">
        <v>0</v>
      </c>
      <c r="X185" s="208">
        <v>0</v>
      </c>
      <c r="Y185" s="208">
        <v>0</v>
      </c>
      <c r="Z185" s="208">
        <v>0</v>
      </c>
      <c r="AA185" s="208">
        <v>0</v>
      </c>
      <c r="AB185" s="208">
        <v>0</v>
      </c>
      <c r="AC185" s="208">
        <v>0</v>
      </c>
      <c r="AD185" s="208">
        <v>0</v>
      </c>
      <c r="AE185" s="208">
        <f>ROUND(P185*1.5%,2)</f>
        <v>454.51</v>
      </c>
      <c r="AF185" s="208">
        <v>0</v>
      </c>
      <c r="AG185" s="208">
        <v>0</v>
      </c>
      <c r="AH185" s="285" t="s">
        <v>271</v>
      </c>
      <c r="AI185" s="285">
        <v>2020</v>
      </c>
      <c r="AJ185" s="285">
        <v>2020</v>
      </c>
      <c r="AK185" s="152"/>
      <c r="AL185" s="152"/>
      <c r="AM185" s="152"/>
      <c r="AN185" s="152"/>
    </row>
    <row r="186" spans="1:40" s="293" customFormat="1" ht="62.25" x14ac:dyDescent="0.9">
      <c r="B186" s="294">
        <v>103</v>
      </c>
      <c r="C186" s="295" t="s">
        <v>1924</v>
      </c>
      <c r="D186" s="221" t="s">
        <v>1550</v>
      </c>
      <c r="E186" s="296">
        <v>0.99670000000000003</v>
      </c>
      <c r="F186" s="206">
        <f>P186+AE186</f>
        <v>33486.47</v>
      </c>
      <c r="G186" s="206">
        <v>0</v>
      </c>
      <c r="H186" s="206">
        <v>0</v>
      </c>
      <c r="I186" s="206">
        <v>0</v>
      </c>
      <c r="J186" s="206">
        <v>0</v>
      </c>
      <c r="K186" s="206">
        <v>0</v>
      </c>
      <c r="L186" s="206">
        <v>0</v>
      </c>
      <c r="M186" s="297">
        <v>0</v>
      </c>
      <c r="N186" s="206">
        <v>0</v>
      </c>
      <c r="O186" s="206">
        <v>594</v>
      </c>
      <c r="P186" s="206">
        <v>32991.599999999999</v>
      </c>
      <c r="Q186" s="206">
        <v>0</v>
      </c>
      <c r="R186" s="206">
        <v>0</v>
      </c>
      <c r="S186" s="206">
        <v>0</v>
      </c>
      <c r="T186" s="229">
        <v>0</v>
      </c>
      <c r="U186" s="206">
        <v>0</v>
      </c>
      <c r="V186" s="206">
        <v>0</v>
      </c>
      <c r="W186" s="206">
        <v>0</v>
      </c>
      <c r="X186" s="206">
        <v>0</v>
      </c>
      <c r="Y186" s="206">
        <v>0</v>
      </c>
      <c r="Z186" s="206">
        <v>0</v>
      </c>
      <c r="AA186" s="206">
        <v>0</v>
      </c>
      <c r="AB186" s="206">
        <v>0</v>
      </c>
      <c r="AC186" s="206">
        <v>0</v>
      </c>
      <c r="AD186" s="206">
        <v>0</v>
      </c>
      <c r="AE186" s="206">
        <f>ROUND(P186*1.5%,2)</f>
        <v>494.87</v>
      </c>
      <c r="AF186" s="206">
        <v>0</v>
      </c>
      <c r="AG186" s="206">
        <v>0</v>
      </c>
      <c r="AH186" s="298" t="s">
        <v>271</v>
      </c>
      <c r="AI186" s="298">
        <v>2020</v>
      </c>
      <c r="AJ186" s="298">
        <v>2020</v>
      </c>
      <c r="AK186" s="299"/>
      <c r="AL186" s="299"/>
      <c r="AM186" s="299"/>
      <c r="AN186" s="299"/>
    </row>
    <row r="187" spans="1:40" customFormat="1" ht="62.25" x14ac:dyDescent="0.9">
      <c r="B187" s="301" t="s">
        <v>870</v>
      </c>
      <c r="C187" s="289"/>
      <c r="D187" s="288" t="s">
        <v>903</v>
      </c>
      <c r="E187" s="284">
        <f>E188</f>
        <v>0.95309999999999995</v>
      </c>
      <c r="F187" s="208">
        <f>F188</f>
        <v>39585</v>
      </c>
      <c r="G187" s="208">
        <f t="shared" ref="G187:AG187" si="47">G188</f>
        <v>0</v>
      </c>
      <c r="H187" s="208">
        <f t="shared" si="47"/>
        <v>0</v>
      </c>
      <c r="I187" s="208">
        <f t="shared" si="47"/>
        <v>0</v>
      </c>
      <c r="J187" s="208">
        <f t="shared" si="47"/>
        <v>0</v>
      </c>
      <c r="K187" s="208">
        <f t="shared" si="47"/>
        <v>0</v>
      </c>
      <c r="L187" s="208">
        <f t="shared" si="47"/>
        <v>0</v>
      </c>
      <c r="M187" s="276">
        <f t="shared" si="47"/>
        <v>0</v>
      </c>
      <c r="N187" s="208">
        <f t="shared" si="47"/>
        <v>0</v>
      </c>
      <c r="O187" s="208">
        <f t="shared" si="47"/>
        <v>544</v>
      </c>
      <c r="P187" s="208">
        <f t="shared" si="47"/>
        <v>39000</v>
      </c>
      <c r="Q187" s="208">
        <f t="shared" si="47"/>
        <v>0</v>
      </c>
      <c r="R187" s="208">
        <f t="shared" si="47"/>
        <v>0</v>
      </c>
      <c r="S187" s="208">
        <f t="shared" si="47"/>
        <v>0</v>
      </c>
      <c r="T187" s="208">
        <f t="shared" si="47"/>
        <v>0</v>
      </c>
      <c r="U187" s="208">
        <f t="shared" si="47"/>
        <v>0</v>
      </c>
      <c r="V187" s="208">
        <f t="shared" si="47"/>
        <v>0</v>
      </c>
      <c r="W187" s="208">
        <f t="shared" si="47"/>
        <v>0</v>
      </c>
      <c r="X187" s="208">
        <f t="shared" si="47"/>
        <v>0</v>
      </c>
      <c r="Y187" s="208">
        <f t="shared" si="47"/>
        <v>0</v>
      </c>
      <c r="Z187" s="208">
        <f t="shared" si="47"/>
        <v>0</v>
      </c>
      <c r="AA187" s="208">
        <f t="shared" si="47"/>
        <v>0</v>
      </c>
      <c r="AB187" s="208">
        <f t="shared" si="47"/>
        <v>0</v>
      </c>
      <c r="AC187" s="208">
        <f t="shared" si="47"/>
        <v>0</v>
      </c>
      <c r="AD187" s="208">
        <f t="shared" si="47"/>
        <v>0</v>
      </c>
      <c r="AE187" s="208">
        <f t="shared" si="47"/>
        <v>585</v>
      </c>
      <c r="AF187" s="208">
        <f t="shared" si="47"/>
        <v>0</v>
      </c>
      <c r="AG187" s="208">
        <f t="shared" si="47"/>
        <v>0</v>
      </c>
      <c r="AH187" s="285" t="s">
        <v>903</v>
      </c>
      <c r="AI187" s="285" t="s">
        <v>903</v>
      </c>
      <c r="AJ187" s="285" t="s">
        <v>903</v>
      </c>
      <c r="AK187" s="152"/>
      <c r="AL187" s="152"/>
      <c r="AM187" s="152"/>
      <c r="AN187" s="152"/>
    </row>
    <row r="188" spans="1:40" customFormat="1" ht="62.25" x14ac:dyDescent="0.9">
      <c r="A188">
        <v>1</v>
      </c>
      <c r="B188" s="274">
        <v>104</v>
      </c>
      <c r="C188" s="289" t="s">
        <v>1501</v>
      </c>
      <c r="D188" s="290" t="s">
        <v>1910</v>
      </c>
      <c r="E188" s="284">
        <v>0.95309999999999995</v>
      </c>
      <c r="F188" s="208">
        <f>G188+H188+I188+J188+K188+L188+N188+P188+R188+T188+V188+W188+X188+Y188+Z188+AA188+AB188+AC188+AD188+AE188+AF188+AG188</f>
        <v>39585</v>
      </c>
      <c r="G188" s="208">
        <v>0</v>
      </c>
      <c r="H188" s="208">
        <v>0</v>
      </c>
      <c r="I188" s="208">
        <v>0</v>
      </c>
      <c r="J188" s="208">
        <v>0</v>
      </c>
      <c r="K188" s="208">
        <v>0</v>
      </c>
      <c r="L188" s="208">
        <v>0</v>
      </c>
      <c r="M188" s="276">
        <v>0</v>
      </c>
      <c r="N188" s="208">
        <v>0</v>
      </c>
      <c r="O188" s="208">
        <v>544</v>
      </c>
      <c r="P188" s="208">
        <v>39000</v>
      </c>
      <c r="Q188" s="208">
        <v>0</v>
      </c>
      <c r="R188" s="208">
        <v>0</v>
      </c>
      <c r="S188" s="208">
        <v>0</v>
      </c>
      <c r="T188" s="208">
        <v>0</v>
      </c>
      <c r="U188" s="208">
        <v>0</v>
      </c>
      <c r="V188" s="208">
        <v>0</v>
      </c>
      <c r="W188" s="208">
        <v>0</v>
      </c>
      <c r="X188" s="208">
        <v>0</v>
      </c>
      <c r="Y188" s="208">
        <v>0</v>
      </c>
      <c r="Z188" s="208">
        <v>0</v>
      </c>
      <c r="AA188" s="208">
        <v>0</v>
      </c>
      <c r="AB188" s="208">
        <v>0</v>
      </c>
      <c r="AC188" s="208">
        <v>0</v>
      </c>
      <c r="AD188" s="208">
        <v>0</v>
      </c>
      <c r="AE188" s="208">
        <f>ROUND(P188*1.5%,2)</f>
        <v>585</v>
      </c>
      <c r="AF188" s="208">
        <v>0</v>
      </c>
      <c r="AG188" s="208">
        <v>0</v>
      </c>
      <c r="AH188" s="285" t="s">
        <v>271</v>
      </c>
      <c r="AI188" s="285">
        <v>2020</v>
      </c>
      <c r="AJ188" s="285">
        <v>2020</v>
      </c>
      <c r="AK188" s="152"/>
      <c r="AL188" s="152"/>
      <c r="AM188" s="152"/>
      <c r="AN188" s="152"/>
    </row>
    <row r="189" spans="1:40" customFormat="1" ht="62.25" x14ac:dyDescent="0.9">
      <c r="B189" s="301" t="s">
        <v>838</v>
      </c>
      <c r="C189" s="289"/>
      <c r="D189" s="288" t="s">
        <v>903</v>
      </c>
      <c r="E189" s="284">
        <f>E190</f>
        <v>0.81220000000000003</v>
      </c>
      <c r="F189" s="208">
        <f>F190</f>
        <v>275468.56</v>
      </c>
      <c r="G189" s="208">
        <f t="shared" ref="G189:AG189" si="48">G190</f>
        <v>0</v>
      </c>
      <c r="H189" s="208">
        <f t="shared" si="48"/>
        <v>0</v>
      </c>
      <c r="I189" s="208">
        <f t="shared" si="48"/>
        <v>0</v>
      </c>
      <c r="J189" s="208">
        <f t="shared" si="48"/>
        <v>0</v>
      </c>
      <c r="K189" s="208">
        <f t="shared" si="48"/>
        <v>0</v>
      </c>
      <c r="L189" s="208">
        <f t="shared" si="48"/>
        <v>0</v>
      </c>
      <c r="M189" s="276">
        <f t="shared" si="48"/>
        <v>0</v>
      </c>
      <c r="N189" s="208">
        <f t="shared" si="48"/>
        <v>0</v>
      </c>
      <c r="O189" s="208">
        <f t="shared" si="48"/>
        <v>708</v>
      </c>
      <c r="P189" s="208">
        <f t="shared" si="48"/>
        <v>271397.59999999998</v>
      </c>
      <c r="Q189" s="208">
        <f t="shared" si="48"/>
        <v>0</v>
      </c>
      <c r="R189" s="208">
        <f t="shared" si="48"/>
        <v>0</v>
      </c>
      <c r="S189" s="208">
        <f t="shared" si="48"/>
        <v>0</v>
      </c>
      <c r="T189" s="208">
        <f t="shared" si="48"/>
        <v>0</v>
      </c>
      <c r="U189" s="208">
        <f t="shared" si="48"/>
        <v>0</v>
      </c>
      <c r="V189" s="208">
        <f t="shared" si="48"/>
        <v>0</v>
      </c>
      <c r="W189" s="208">
        <f t="shared" si="48"/>
        <v>0</v>
      </c>
      <c r="X189" s="208">
        <f t="shared" si="48"/>
        <v>0</v>
      </c>
      <c r="Y189" s="208">
        <f t="shared" si="48"/>
        <v>0</v>
      </c>
      <c r="Z189" s="208">
        <f t="shared" si="48"/>
        <v>0</v>
      </c>
      <c r="AA189" s="208">
        <f t="shared" si="48"/>
        <v>0</v>
      </c>
      <c r="AB189" s="208">
        <f t="shared" si="48"/>
        <v>0</v>
      </c>
      <c r="AC189" s="208">
        <f t="shared" si="48"/>
        <v>0</v>
      </c>
      <c r="AD189" s="208">
        <f t="shared" si="48"/>
        <v>0</v>
      </c>
      <c r="AE189" s="208">
        <f t="shared" si="48"/>
        <v>4070.96</v>
      </c>
      <c r="AF189" s="208">
        <f t="shared" si="48"/>
        <v>0</v>
      </c>
      <c r="AG189" s="208">
        <f t="shared" si="48"/>
        <v>0</v>
      </c>
      <c r="AH189" s="285" t="s">
        <v>903</v>
      </c>
      <c r="AI189" s="285" t="s">
        <v>903</v>
      </c>
      <c r="AJ189" s="285" t="s">
        <v>903</v>
      </c>
      <c r="AK189" s="152"/>
    </row>
    <row r="190" spans="1:40" customFormat="1" ht="62.25" x14ac:dyDescent="0.9">
      <c r="A190">
        <v>1</v>
      </c>
      <c r="B190" s="274">
        <v>105</v>
      </c>
      <c r="C190" s="289" t="s">
        <v>1502</v>
      </c>
      <c r="D190" s="290" t="s">
        <v>1911</v>
      </c>
      <c r="E190" s="284">
        <v>0.81220000000000003</v>
      </c>
      <c r="F190" s="208">
        <f>G190+H190+I190+J190+K190+L190+N190+P190+R190+T190+V190+W190+X190+Y190+Z190+AA190+AB190+AC190+AD190+AE190+AF190+AG190</f>
        <v>275468.56</v>
      </c>
      <c r="G190" s="208">
        <v>0</v>
      </c>
      <c r="H190" s="208">
        <v>0</v>
      </c>
      <c r="I190" s="208">
        <v>0</v>
      </c>
      <c r="J190" s="208">
        <v>0</v>
      </c>
      <c r="K190" s="208">
        <v>0</v>
      </c>
      <c r="L190" s="208">
        <v>0</v>
      </c>
      <c r="M190" s="276">
        <v>0</v>
      </c>
      <c r="N190" s="208">
        <v>0</v>
      </c>
      <c r="O190" s="208">
        <v>708</v>
      </c>
      <c r="P190" s="208">
        <v>271397.59999999998</v>
      </c>
      <c r="Q190" s="208">
        <v>0</v>
      </c>
      <c r="R190" s="208">
        <v>0</v>
      </c>
      <c r="S190" s="208">
        <v>0</v>
      </c>
      <c r="T190" s="208">
        <v>0</v>
      </c>
      <c r="U190" s="208">
        <v>0</v>
      </c>
      <c r="V190" s="208">
        <v>0</v>
      </c>
      <c r="W190" s="208">
        <v>0</v>
      </c>
      <c r="X190" s="208">
        <v>0</v>
      </c>
      <c r="Y190" s="208">
        <v>0</v>
      </c>
      <c r="Z190" s="208">
        <v>0</v>
      </c>
      <c r="AA190" s="208">
        <v>0</v>
      </c>
      <c r="AB190" s="208">
        <v>0</v>
      </c>
      <c r="AC190" s="208">
        <v>0</v>
      </c>
      <c r="AD190" s="208">
        <v>0</v>
      </c>
      <c r="AE190" s="208">
        <f>ROUND(P190*1.5%,2)</f>
        <v>4070.96</v>
      </c>
      <c r="AF190" s="208">
        <v>0</v>
      </c>
      <c r="AG190" s="208">
        <v>0</v>
      </c>
      <c r="AH190" s="285" t="s">
        <v>271</v>
      </c>
      <c r="AI190" s="285">
        <v>2020</v>
      </c>
      <c r="AJ190" s="285">
        <v>2020</v>
      </c>
      <c r="AK190" s="152"/>
    </row>
    <row r="191" spans="1:40" s="293" customFormat="1" ht="62.25" x14ac:dyDescent="0.9">
      <c r="B191" s="302" t="s">
        <v>880</v>
      </c>
      <c r="C191" s="295"/>
      <c r="D191" s="222" t="s">
        <v>903</v>
      </c>
      <c r="E191" s="296">
        <v>0.82630000000000003</v>
      </c>
      <c r="F191" s="206">
        <v>50753.95</v>
      </c>
      <c r="G191" s="206">
        <v>0</v>
      </c>
      <c r="H191" s="206">
        <v>0</v>
      </c>
      <c r="I191" s="206">
        <v>0</v>
      </c>
      <c r="J191" s="206">
        <v>0</v>
      </c>
      <c r="K191" s="206">
        <v>0</v>
      </c>
      <c r="L191" s="206">
        <v>0</v>
      </c>
      <c r="M191" s="297">
        <v>0</v>
      </c>
      <c r="N191" s="206">
        <v>0</v>
      </c>
      <c r="O191" s="206">
        <v>828</v>
      </c>
      <c r="P191" s="206">
        <v>50003.89</v>
      </c>
      <c r="Q191" s="206">
        <v>0</v>
      </c>
      <c r="R191" s="206">
        <v>0</v>
      </c>
      <c r="S191" s="206">
        <v>0</v>
      </c>
      <c r="T191" s="206">
        <v>0</v>
      </c>
      <c r="U191" s="206">
        <v>0</v>
      </c>
      <c r="V191" s="206">
        <v>0</v>
      </c>
      <c r="W191" s="206">
        <v>0</v>
      </c>
      <c r="X191" s="206">
        <v>0</v>
      </c>
      <c r="Y191" s="206">
        <v>0</v>
      </c>
      <c r="Z191" s="206">
        <v>0</v>
      </c>
      <c r="AA191" s="206">
        <v>0</v>
      </c>
      <c r="AB191" s="206">
        <v>0</v>
      </c>
      <c r="AC191" s="206">
        <v>0</v>
      </c>
      <c r="AD191" s="206">
        <v>0</v>
      </c>
      <c r="AE191" s="206">
        <v>750.06</v>
      </c>
      <c r="AF191" s="206">
        <v>0</v>
      </c>
      <c r="AG191" s="206">
        <v>0</v>
      </c>
      <c r="AH191" s="298" t="s">
        <v>903</v>
      </c>
      <c r="AI191" s="298" t="s">
        <v>903</v>
      </c>
      <c r="AJ191" s="298" t="s">
        <v>903</v>
      </c>
      <c r="AK191" s="299"/>
    </row>
    <row r="192" spans="1:40" s="293" customFormat="1" ht="62.25" x14ac:dyDescent="0.9">
      <c r="B192" s="294">
        <v>106</v>
      </c>
      <c r="C192" s="295" t="s">
        <v>1925</v>
      </c>
      <c r="D192" s="221" t="s">
        <v>1910</v>
      </c>
      <c r="E192" s="296">
        <v>0.82630000000000003</v>
      </c>
      <c r="F192" s="206">
        <f>P192+AE192</f>
        <v>50753.95</v>
      </c>
      <c r="G192" s="206">
        <v>0</v>
      </c>
      <c r="H192" s="206">
        <v>0</v>
      </c>
      <c r="I192" s="206">
        <v>0</v>
      </c>
      <c r="J192" s="206">
        <v>0</v>
      </c>
      <c r="K192" s="206">
        <v>0</v>
      </c>
      <c r="L192" s="206">
        <v>0</v>
      </c>
      <c r="M192" s="297">
        <v>0</v>
      </c>
      <c r="N192" s="206">
        <v>0</v>
      </c>
      <c r="O192" s="206">
        <v>828</v>
      </c>
      <c r="P192" s="206">
        <v>50003.89</v>
      </c>
      <c r="Q192" s="206">
        <v>0</v>
      </c>
      <c r="R192" s="206">
        <v>0</v>
      </c>
      <c r="S192" s="206">
        <v>0</v>
      </c>
      <c r="T192" s="229">
        <v>0</v>
      </c>
      <c r="U192" s="206">
        <v>0</v>
      </c>
      <c r="V192" s="206">
        <v>0</v>
      </c>
      <c r="W192" s="206">
        <v>0</v>
      </c>
      <c r="X192" s="206">
        <v>0</v>
      </c>
      <c r="Y192" s="206">
        <v>0</v>
      </c>
      <c r="Z192" s="206">
        <v>0</v>
      </c>
      <c r="AA192" s="206">
        <v>0</v>
      </c>
      <c r="AB192" s="206">
        <v>0</v>
      </c>
      <c r="AC192" s="206">
        <v>0</v>
      </c>
      <c r="AD192" s="206">
        <v>0</v>
      </c>
      <c r="AE192" s="206">
        <f>ROUND(P192*1.5%,2)</f>
        <v>750.06</v>
      </c>
      <c r="AF192" s="206">
        <v>0</v>
      </c>
      <c r="AG192" s="206">
        <v>0</v>
      </c>
      <c r="AH192" s="298" t="s">
        <v>271</v>
      </c>
      <c r="AI192" s="298">
        <v>2020</v>
      </c>
      <c r="AJ192" s="298">
        <v>2020</v>
      </c>
      <c r="AK192" s="299"/>
    </row>
    <row r="193" spans="1:37" customFormat="1" ht="62.25" x14ac:dyDescent="0.9">
      <c r="B193" s="301" t="s">
        <v>865</v>
      </c>
      <c r="C193" s="289"/>
      <c r="D193" s="288" t="s">
        <v>903</v>
      </c>
      <c r="E193" s="284">
        <f>AVERAGE(E194:E196)</f>
        <v>0.91273333333333329</v>
      </c>
      <c r="F193" s="208">
        <f>F194+F195+F196</f>
        <v>274179.65000000002</v>
      </c>
      <c r="G193" s="208">
        <f t="shared" ref="G193:AG193" si="49">G194+G195+G196</f>
        <v>0</v>
      </c>
      <c r="H193" s="208">
        <f t="shared" si="49"/>
        <v>0</v>
      </c>
      <c r="I193" s="208">
        <f t="shared" si="49"/>
        <v>175721.62</v>
      </c>
      <c r="J193" s="208">
        <f t="shared" si="49"/>
        <v>0</v>
      </c>
      <c r="K193" s="208">
        <f t="shared" si="49"/>
        <v>0</v>
      </c>
      <c r="L193" s="208">
        <f t="shared" si="49"/>
        <v>0</v>
      </c>
      <c r="M193" s="276">
        <f t="shared" si="49"/>
        <v>0</v>
      </c>
      <c r="N193" s="208">
        <f t="shared" si="49"/>
        <v>0</v>
      </c>
      <c r="O193" s="208">
        <f t="shared" si="49"/>
        <v>1779.9</v>
      </c>
      <c r="P193" s="208">
        <f t="shared" si="49"/>
        <v>94406.12000000001</v>
      </c>
      <c r="Q193" s="208">
        <f t="shared" si="49"/>
        <v>0</v>
      </c>
      <c r="R193" s="208">
        <f t="shared" si="49"/>
        <v>0</v>
      </c>
      <c r="S193" s="208">
        <f t="shared" si="49"/>
        <v>0</v>
      </c>
      <c r="T193" s="208">
        <f t="shared" si="49"/>
        <v>0</v>
      </c>
      <c r="U193" s="208">
        <f t="shared" si="49"/>
        <v>0</v>
      </c>
      <c r="V193" s="208">
        <f t="shared" si="49"/>
        <v>0</v>
      </c>
      <c r="W193" s="208">
        <f t="shared" si="49"/>
        <v>0</v>
      </c>
      <c r="X193" s="208">
        <f t="shared" si="49"/>
        <v>0</v>
      </c>
      <c r="Y193" s="208">
        <f t="shared" si="49"/>
        <v>0</v>
      </c>
      <c r="Z193" s="208">
        <f t="shared" si="49"/>
        <v>0</v>
      </c>
      <c r="AA193" s="208">
        <f t="shared" si="49"/>
        <v>0</v>
      </c>
      <c r="AB193" s="208">
        <f t="shared" si="49"/>
        <v>0</v>
      </c>
      <c r="AC193" s="208">
        <f t="shared" si="49"/>
        <v>0</v>
      </c>
      <c r="AD193" s="208">
        <f t="shared" si="49"/>
        <v>0</v>
      </c>
      <c r="AE193" s="208">
        <f t="shared" si="49"/>
        <v>4051.91</v>
      </c>
      <c r="AF193" s="208">
        <f t="shared" si="49"/>
        <v>0</v>
      </c>
      <c r="AG193" s="208">
        <f t="shared" si="49"/>
        <v>0</v>
      </c>
      <c r="AH193" s="285" t="s">
        <v>903</v>
      </c>
      <c r="AI193" s="285" t="s">
        <v>903</v>
      </c>
      <c r="AJ193" s="285" t="s">
        <v>903</v>
      </c>
      <c r="AK193" s="152"/>
    </row>
    <row r="194" spans="1:37" customFormat="1" ht="62.25" x14ac:dyDescent="0.9">
      <c r="A194">
        <v>1</v>
      </c>
      <c r="B194" s="274">
        <v>107</v>
      </c>
      <c r="C194" s="289" t="s">
        <v>1503</v>
      </c>
      <c r="D194" s="290" t="s">
        <v>1910</v>
      </c>
      <c r="E194" s="284">
        <v>0.96160000000000001</v>
      </c>
      <c r="F194" s="208">
        <f>G194+H194+I194+J194+K194+L194+N194+P194+R194+T194+V194+W194+X194+Y194+Z194+AA194+AB194+AC194+AD194+AE194+AF194+AG194</f>
        <v>82303.180000000008</v>
      </c>
      <c r="G194" s="208">
        <v>0</v>
      </c>
      <c r="H194" s="208">
        <v>0</v>
      </c>
      <c r="I194" s="208">
        <v>0</v>
      </c>
      <c r="J194" s="208">
        <v>0</v>
      </c>
      <c r="K194" s="208">
        <v>0</v>
      </c>
      <c r="L194" s="208">
        <v>0</v>
      </c>
      <c r="M194" s="276">
        <v>0</v>
      </c>
      <c r="N194" s="208">
        <v>0</v>
      </c>
      <c r="O194" s="208">
        <v>1245.4000000000001</v>
      </c>
      <c r="P194" s="208">
        <v>81086.880000000005</v>
      </c>
      <c r="Q194" s="208">
        <v>0</v>
      </c>
      <c r="R194" s="208">
        <v>0</v>
      </c>
      <c r="S194" s="208">
        <v>0</v>
      </c>
      <c r="T194" s="208">
        <v>0</v>
      </c>
      <c r="U194" s="208">
        <v>0</v>
      </c>
      <c r="V194" s="208">
        <v>0</v>
      </c>
      <c r="W194" s="208">
        <v>0</v>
      </c>
      <c r="X194" s="208">
        <v>0</v>
      </c>
      <c r="Y194" s="208">
        <v>0</v>
      </c>
      <c r="Z194" s="208">
        <v>0</v>
      </c>
      <c r="AA194" s="208">
        <v>0</v>
      </c>
      <c r="AB194" s="208">
        <v>0</v>
      </c>
      <c r="AC194" s="208">
        <v>0</v>
      </c>
      <c r="AD194" s="208">
        <v>0</v>
      </c>
      <c r="AE194" s="208">
        <f>ROUND(P194*1.5%,2)</f>
        <v>1216.3</v>
      </c>
      <c r="AF194" s="208">
        <v>0</v>
      </c>
      <c r="AG194" s="208">
        <v>0</v>
      </c>
      <c r="AH194" s="285" t="s">
        <v>271</v>
      </c>
      <c r="AI194" s="285">
        <v>2020</v>
      </c>
      <c r="AJ194" s="285">
        <v>2020</v>
      </c>
      <c r="AK194" s="152"/>
    </row>
    <row r="195" spans="1:37" customFormat="1" ht="62.25" x14ac:dyDescent="0.9">
      <c r="A195">
        <v>1</v>
      </c>
      <c r="B195" s="274">
        <v>108</v>
      </c>
      <c r="C195" s="289" t="s">
        <v>1504</v>
      </c>
      <c r="D195" s="290" t="s">
        <v>1911</v>
      </c>
      <c r="E195" s="284">
        <v>0.92120000000000002</v>
      </c>
      <c r="F195" s="208">
        <f>G195+H195+I195+J195+K195+L195+N195+P195+R195+T195+V195+W195+X195+Y195+Z195+AA195+AB195+AC195+AD195+AE195+AF195+AG195</f>
        <v>13519.03</v>
      </c>
      <c r="G195" s="208">
        <v>0</v>
      </c>
      <c r="H195" s="208">
        <v>0</v>
      </c>
      <c r="I195" s="208">
        <v>0</v>
      </c>
      <c r="J195" s="208">
        <v>0</v>
      </c>
      <c r="K195" s="208">
        <v>0</v>
      </c>
      <c r="L195" s="208">
        <v>0</v>
      </c>
      <c r="M195" s="276">
        <v>0</v>
      </c>
      <c r="N195" s="208">
        <v>0</v>
      </c>
      <c r="O195" s="208">
        <v>534.5</v>
      </c>
      <c r="P195" s="208">
        <v>13319.24</v>
      </c>
      <c r="Q195" s="208">
        <v>0</v>
      </c>
      <c r="R195" s="208">
        <v>0</v>
      </c>
      <c r="S195" s="208">
        <v>0</v>
      </c>
      <c r="T195" s="208">
        <v>0</v>
      </c>
      <c r="U195" s="208">
        <v>0</v>
      </c>
      <c r="V195" s="208">
        <v>0</v>
      </c>
      <c r="W195" s="208">
        <v>0</v>
      </c>
      <c r="X195" s="208">
        <v>0</v>
      </c>
      <c r="Y195" s="208">
        <v>0</v>
      </c>
      <c r="Z195" s="208">
        <v>0</v>
      </c>
      <c r="AA195" s="208">
        <v>0</v>
      </c>
      <c r="AB195" s="208">
        <v>0</v>
      </c>
      <c r="AC195" s="208">
        <v>0</v>
      </c>
      <c r="AD195" s="208">
        <v>0</v>
      </c>
      <c r="AE195" s="208">
        <f>ROUND(P195*1.5%,2)</f>
        <v>199.79</v>
      </c>
      <c r="AF195" s="208">
        <v>0</v>
      </c>
      <c r="AG195" s="208">
        <v>0</v>
      </c>
      <c r="AH195" s="285" t="s">
        <v>271</v>
      </c>
      <c r="AI195" s="285">
        <v>2020</v>
      </c>
      <c r="AJ195" s="285">
        <v>2020</v>
      </c>
      <c r="AK195" s="152"/>
    </row>
    <row r="196" spans="1:37" customFormat="1" ht="62.25" x14ac:dyDescent="0.9">
      <c r="A196">
        <v>1</v>
      </c>
      <c r="B196" s="274">
        <v>109</v>
      </c>
      <c r="C196" s="289" t="s">
        <v>1505</v>
      </c>
      <c r="D196" s="288" t="s">
        <v>1910</v>
      </c>
      <c r="E196" s="284">
        <v>0.85540000000000005</v>
      </c>
      <c r="F196" s="208">
        <f>G196+H196+I196+J196+K196+L196+N196+P196+R196+T196+V196+W196+X196+Y196+Z196+AA196+AB196+AC196+AD196+AE196+AF196+AG196</f>
        <v>178357.44</v>
      </c>
      <c r="G196" s="208">
        <v>0</v>
      </c>
      <c r="H196" s="208">
        <v>0</v>
      </c>
      <c r="I196" s="208">
        <v>175721.62</v>
      </c>
      <c r="J196" s="208">
        <v>0</v>
      </c>
      <c r="K196" s="208">
        <v>0</v>
      </c>
      <c r="L196" s="208">
        <v>0</v>
      </c>
      <c r="M196" s="276">
        <v>0</v>
      </c>
      <c r="N196" s="208">
        <v>0</v>
      </c>
      <c r="O196" s="208">
        <v>0</v>
      </c>
      <c r="P196" s="208">
        <v>0</v>
      </c>
      <c r="Q196" s="208">
        <v>0</v>
      </c>
      <c r="R196" s="208">
        <v>0</v>
      </c>
      <c r="S196" s="208">
        <v>0</v>
      </c>
      <c r="T196" s="208">
        <v>0</v>
      </c>
      <c r="U196" s="208">
        <v>0</v>
      </c>
      <c r="V196" s="208">
        <v>0</v>
      </c>
      <c r="W196" s="208">
        <v>0</v>
      </c>
      <c r="X196" s="208">
        <v>0</v>
      </c>
      <c r="Y196" s="208">
        <v>0</v>
      </c>
      <c r="Z196" s="208">
        <v>0</v>
      </c>
      <c r="AA196" s="208">
        <v>0</v>
      </c>
      <c r="AB196" s="208">
        <v>0</v>
      </c>
      <c r="AC196" s="208">
        <v>0</v>
      </c>
      <c r="AD196" s="208">
        <v>0</v>
      </c>
      <c r="AE196" s="208">
        <f>ROUND(I196*1.5%,2)</f>
        <v>2635.82</v>
      </c>
      <c r="AF196" s="208">
        <v>0</v>
      </c>
      <c r="AG196" s="208">
        <v>0</v>
      </c>
      <c r="AH196" s="285" t="s">
        <v>271</v>
      </c>
      <c r="AI196" s="285">
        <v>2020</v>
      </c>
      <c r="AJ196" s="285">
        <v>2020</v>
      </c>
      <c r="AK196" s="152"/>
    </row>
    <row r="197" spans="1:37" customFormat="1" ht="62.25" x14ac:dyDescent="0.9">
      <c r="B197" s="301" t="s">
        <v>1306</v>
      </c>
      <c r="C197" s="289"/>
      <c r="D197" s="288" t="s">
        <v>903</v>
      </c>
      <c r="E197" s="284">
        <f>E198</f>
        <v>0.99180000000000001</v>
      </c>
      <c r="F197" s="208">
        <f>F198</f>
        <v>222759.59</v>
      </c>
      <c r="G197" s="208">
        <f t="shared" ref="G197:AG197" si="50">G198</f>
        <v>0</v>
      </c>
      <c r="H197" s="208">
        <f t="shared" si="50"/>
        <v>0</v>
      </c>
      <c r="I197" s="208">
        <f t="shared" si="50"/>
        <v>0</v>
      </c>
      <c r="J197" s="208">
        <f t="shared" si="50"/>
        <v>0</v>
      </c>
      <c r="K197" s="208">
        <f t="shared" si="50"/>
        <v>0</v>
      </c>
      <c r="L197" s="208">
        <f t="shared" si="50"/>
        <v>0</v>
      </c>
      <c r="M197" s="276">
        <f t="shared" si="50"/>
        <v>0</v>
      </c>
      <c r="N197" s="208">
        <f t="shared" si="50"/>
        <v>0</v>
      </c>
      <c r="O197" s="208">
        <f t="shared" si="50"/>
        <v>0</v>
      </c>
      <c r="P197" s="208">
        <f t="shared" si="50"/>
        <v>0</v>
      </c>
      <c r="Q197" s="208">
        <f t="shared" si="50"/>
        <v>0</v>
      </c>
      <c r="R197" s="208">
        <f t="shared" si="50"/>
        <v>0</v>
      </c>
      <c r="S197" s="208">
        <f t="shared" si="50"/>
        <v>488.11</v>
      </c>
      <c r="T197" s="208">
        <f t="shared" si="50"/>
        <v>219483.79</v>
      </c>
      <c r="U197" s="208">
        <f t="shared" si="50"/>
        <v>0</v>
      </c>
      <c r="V197" s="208">
        <f t="shared" si="50"/>
        <v>0</v>
      </c>
      <c r="W197" s="208">
        <f t="shared" si="50"/>
        <v>0</v>
      </c>
      <c r="X197" s="208">
        <f t="shared" si="50"/>
        <v>0</v>
      </c>
      <c r="Y197" s="208">
        <f t="shared" si="50"/>
        <v>0</v>
      </c>
      <c r="Z197" s="208">
        <f t="shared" si="50"/>
        <v>0</v>
      </c>
      <c r="AA197" s="208">
        <f t="shared" si="50"/>
        <v>0</v>
      </c>
      <c r="AB197" s="208">
        <f t="shared" si="50"/>
        <v>0</v>
      </c>
      <c r="AC197" s="208">
        <f t="shared" si="50"/>
        <v>0</v>
      </c>
      <c r="AD197" s="208">
        <f t="shared" si="50"/>
        <v>0</v>
      </c>
      <c r="AE197" s="208">
        <f t="shared" si="50"/>
        <v>3275.8</v>
      </c>
      <c r="AF197" s="208">
        <f t="shared" si="50"/>
        <v>0</v>
      </c>
      <c r="AG197" s="208">
        <f t="shared" si="50"/>
        <v>0</v>
      </c>
      <c r="AH197" s="285" t="s">
        <v>903</v>
      </c>
      <c r="AI197" s="285" t="s">
        <v>903</v>
      </c>
      <c r="AJ197" s="285" t="s">
        <v>903</v>
      </c>
      <c r="AK197" s="152"/>
    </row>
    <row r="198" spans="1:37" customFormat="1" ht="62.25" x14ac:dyDescent="0.9">
      <c r="A198">
        <v>1</v>
      </c>
      <c r="B198" s="274">
        <v>110</v>
      </c>
      <c r="C198" s="289" t="s">
        <v>1506</v>
      </c>
      <c r="D198" s="288" t="s">
        <v>1550</v>
      </c>
      <c r="E198" s="284">
        <v>0.99180000000000001</v>
      </c>
      <c r="F198" s="208">
        <f>G198+H198+I198+J198+K198+L198+N198+P198+R198+T198+V198+W198+X198+Y198+Z198+AA198+AB198+AC198+AD198+AE198+AF198+AG198</f>
        <v>222759.59</v>
      </c>
      <c r="G198" s="208">
        <v>0</v>
      </c>
      <c r="H198" s="208">
        <v>0</v>
      </c>
      <c r="I198" s="208">
        <v>0</v>
      </c>
      <c r="J198" s="208">
        <v>0</v>
      </c>
      <c r="K198" s="208">
        <v>0</v>
      </c>
      <c r="L198" s="208">
        <v>0</v>
      </c>
      <c r="M198" s="276">
        <v>0</v>
      </c>
      <c r="N198" s="208">
        <v>0</v>
      </c>
      <c r="O198" s="208">
        <v>0</v>
      </c>
      <c r="P198" s="208">
        <v>0</v>
      </c>
      <c r="Q198" s="208">
        <v>0</v>
      </c>
      <c r="R198" s="208">
        <v>0</v>
      </c>
      <c r="S198" s="208">
        <v>488.11</v>
      </c>
      <c r="T198" s="208">
        <v>219483.79</v>
      </c>
      <c r="U198" s="208">
        <v>0</v>
      </c>
      <c r="V198" s="208">
        <v>0</v>
      </c>
      <c r="W198" s="208">
        <v>0</v>
      </c>
      <c r="X198" s="208">
        <v>0</v>
      </c>
      <c r="Y198" s="208">
        <v>0</v>
      </c>
      <c r="Z198" s="208">
        <v>0</v>
      </c>
      <c r="AA198" s="208">
        <v>0</v>
      </c>
      <c r="AB198" s="208">
        <v>0</v>
      </c>
      <c r="AC198" s="208">
        <v>0</v>
      </c>
      <c r="AD198" s="208">
        <v>0</v>
      </c>
      <c r="AE198" s="208">
        <v>3275.8</v>
      </c>
      <c r="AF198" s="208">
        <v>0</v>
      </c>
      <c r="AG198" s="208">
        <v>0</v>
      </c>
      <c r="AH198" s="285" t="s">
        <v>271</v>
      </c>
      <c r="AI198" s="285">
        <v>2020</v>
      </c>
      <c r="AJ198" s="285">
        <v>2020</v>
      </c>
      <c r="AK198" s="152"/>
    </row>
    <row r="199" spans="1:37" customFormat="1" ht="62.25" x14ac:dyDescent="0.9">
      <c r="B199" s="301" t="s">
        <v>861</v>
      </c>
      <c r="C199" s="289"/>
      <c r="D199" s="288" t="s">
        <v>903</v>
      </c>
      <c r="E199" s="284">
        <f>E200</f>
        <v>1</v>
      </c>
      <c r="F199" s="208">
        <f>F200</f>
        <v>137654.99000000002</v>
      </c>
      <c r="G199" s="208">
        <f t="shared" ref="G199:AG199" si="51">G200</f>
        <v>0</v>
      </c>
      <c r="H199" s="208">
        <f t="shared" si="51"/>
        <v>0</v>
      </c>
      <c r="I199" s="208">
        <f t="shared" si="51"/>
        <v>0</v>
      </c>
      <c r="J199" s="208">
        <f t="shared" si="51"/>
        <v>0</v>
      </c>
      <c r="K199" s="208">
        <f t="shared" si="51"/>
        <v>0</v>
      </c>
      <c r="L199" s="208">
        <f t="shared" si="51"/>
        <v>0</v>
      </c>
      <c r="M199" s="276">
        <f t="shared" si="51"/>
        <v>0</v>
      </c>
      <c r="N199" s="208">
        <f t="shared" si="51"/>
        <v>0</v>
      </c>
      <c r="O199" s="208">
        <f t="shared" si="51"/>
        <v>0</v>
      </c>
      <c r="P199" s="208">
        <f t="shared" si="51"/>
        <v>0</v>
      </c>
      <c r="Q199" s="208">
        <f t="shared" si="51"/>
        <v>0</v>
      </c>
      <c r="R199" s="208">
        <f t="shared" si="51"/>
        <v>0</v>
      </c>
      <c r="S199" s="208">
        <f t="shared" si="51"/>
        <v>370.88</v>
      </c>
      <c r="T199" s="208">
        <f t="shared" si="51"/>
        <v>135630.70000000001</v>
      </c>
      <c r="U199" s="208">
        <f t="shared" si="51"/>
        <v>0</v>
      </c>
      <c r="V199" s="208">
        <f t="shared" si="51"/>
        <v>0</v>
      </c>
      <c r="W199" s="208">
        <f t="shared" si="51"/>
        <v>0</v>
      </c>
      <c r="X199" s="208">
        <f t="shared" si="51"/>
        <v>0</v>
      </c>
      <c r="Y199" s="208">
        <f t="shared" si="51"/>
        <v>0</v>
      </c>
      <c r="Z199" s="208">
        <f t="shared" si="51"/>
        <v>0</v>
      </c>
      <c r="AA199" s="208">
        <f t="shared" si="51"/>
        <v>0</v>
      </c>
      <c r="AB199" s="208">
        <f t="shared" si="51"/>
        <v>0</v>
      </c>
      <c r="AC199" s="208">
        <f t="shared" si="51"/>
        <v>0</v>
      </c>
      <c r="AD199" s="208">
        <f t="shared" si="51"/>
        <v>0</v>
      </c>
      <c r="AE199" s="208">
        <f t="shared" si="51"/>
        <v>2024.29</v>
      </c>
      <c r="AF199" s="208">
        <f t="shared" si="51"/>
        <v>0</v>
      </c>
      <c r="AG199" s="208">
        <f t="shared" si="51"/>
        <v>0</v>
      </c>
      <c r="AH199" s="285" t="s">
        <v>903</v>
      </c>
      <c r="AI199" s="285" t="s">
        <v>903</v>
      </c>
      <c r="AJ199" s="285" t="s">
        <v>903</v>
      </c>
      <c r="AK199" s="152"/>
    </row>
    <row r="200" spans="1:37" customFormat="1" ht="62.25" x14ac:dyDescent="0.9">
      <c r="A200">
        <v>1</v>
      </c>
      <c r="B200" s="274">
        <v>111</v>
      </c>
      <c r="C200" s="289" t="s">
        <v>1507</v>
      </c>
      <c r="D200" s="288" t="s">
        <v>1550</v>
      </c>
      <c r="E200" s="284">
        <v>1</v>
      </c>
      <c r="F200" s="208">
        <f>G200+H200+I200+J200+K200+L200+N200+P200+R200+T200+V200+W200+X200+Y200+Z200+AA200+AB200+AC200+AD200+AE200+AF200+AG200</f>
        <v>137654.99000000002</v>
      </c>
      <c r="G200" s="208">
        <v>0</v>
      </c>
      <c r="H200" s="208">
        <v>0</v>
      </c>
      <c r="I200" s="208">
        <v>0</v>
      </c>
      <c r="J200" s="208">
        <v>0</v>
      </c>
      <c r="K200" s="208">
        <v>0</v>
      </c>
      <c r="L200" s="208">
        <v>0</v>
      </c>
      <c r="M200" s="276">
        <v>0</v>
      </c>
      <c r="N200" s="208">
        <v>0</v>
      </c>
      <c r="O200" s="208">
        <v>0</v>
      </c>
      <c r="P200" s="208">
        <v>0</v>
      </c>
      <c r="Q200" s="208">
        <v>0</v>
      </c>
      <c r="R200" s="208">
        <v>0</v>
      </c>
      <c r="S200" s="208">
        <v>370.88</v>
      </c>
      <c r="T200" s="208">
        <v>135630.70000000001</v>
      </c>
      <c r="U200" s="208">
        <v>0</v>
      </c>
      <c r="V200" s="208">
        <v>0</v>
      </c>
      <c r="W200" s="208">
        <v>0</v>
      </c>
      <c r="X200" s="208">
        <v>0</v>
      </c>
      <c r="Y200" s="208">
        <v>0</v>
      </c>
      <c r="Z200" s="208">
        <v>0</v>
      </c>
      <c r="AA200" s="208">
        <v>0</v>
      </c>
      <c r="AB200" s="208">
        <v>0</v>
      </c>
      <c r="AC200" s="208">
        <v>0</v>
      </c>
      <c r="AD200" s="208">
        <v>0</v>
      </c>
      <c r="AE200" s="208">
        <v>2024.29</v>
      </c>
      <c r="AF200" s="208">
        <v>0</v>
      </c>
      <c r="AG200" s="208">
        <v>0</v>
      </c>
      <c r="AH200" s="285" t="s">
        <v>271</v>
      </c>
      <c r="AI200" s="285">
        <v>2020</v>
      </c>
      <c r="AJ200" s="285">
        <v>2020</v>
      </c>
      <c r="AK200" s="152"/>
    </row>
    <row r="201" spans="1:37" customFormat="1" ht="62.25" x14ac:dyDescent="0.9">
      <c r="B201" s="301" t="s">
        <v>849</v>
      </c>
      <c r="C201" s="289"/>
      <c r="D201" s="288" t="s">
        <v>903</v>
      </c>
      <c r="E201" s="284">
        <f>E202</f>
        <v>0.98829999999999996</v>
      </c>
      <c r="F201" s="208">
        <f>F202</f>
        <v>894902.36</v>
      </c>
      <c r="G201" s="208">
        <f t="shared" ref="G201:AG201" si="52">G202</f>
        <v>0</v>
      </c>
      <c r="H201" s="208">
        <f t="shared" si="52"/>
        <v>0</v>
      </c>
      <c r="I201" s="208">
        <f t="shared" si="52"/>
        <v>0</v>
      </c>
      <c r="J201" s="208">
        <f t="shared" si="52"/>
        <v>0</v>
      </c>
      <c r="K201" s="208">
        <f t="shared" si="52"/>
        <v>0</v>
      </c>
      <c r="L201" s="208">
        <f t="shared" si="52"/>
        <v>0</v>
      </c>
      <c r="M201" s="276">
        <f t="shared" si="52"/>
        <v>0</v>
      </c>
      <c r="N201" s="208">
        <f t="shared" si="52"/>
        <v>0</v>
      </c>
      <c r="O201" s="208">
        <f t="shared" si="52"/>
        <v>400</v>
      </c>
      <c r="P201" s="208">
        <f t="shared" si="52"/>
        <v>881677.2</v>
      </c>
      <c r="Q201" s="208">
        <f t="shared" si="52"/>
        <v>0</v>
      </c>
      <c r="R201" s="208">
        <f t="shared" si="52"/>
        <v>0</v>
      </c>
      <c r="S201" s="208">
        <f t="shared" si="52"/>
        <v>0</v>
      </c>
      <c r="T201" s="208">
        <f t="shared" si="52"/>
        <v>0</v>
      </c>
      <c r="U201" s="208">
        <f t="shared" si="52"/>
        <v>0</v>
      </c>
      <c r="V201" s="208">
        <f t="shared" si="52"/>
        <v>0</v>
      </c>
      <c r="W201" s="208">
        <f t="shared" si="52"/>
        <v>0</v>
      </c>
      <c r="X201" s="208">
        <f t="shared" si="52"/>
        <v>0</v>
      </c>
      <c r="Y201" s="208">
        <f t="shared" si="52"/>
        <v>0</v>
      </c>
      <c r="Z201" s="208">
        <f t="shared" si="52"/>
        <v>0</v>
      </c>
      <c r="AA201" s="208">
        <f t="shared" si="52"/>
        <v>0</v>
      </c>
      <c r="AB201" s="208">
        <f t="shared" si="52"/>
        <v>0</v>
      </c>
      <c r="AC201" s="208">
        <f t="shared" si="52"/>
        <v>0</v>
      </c>
      <c r="AD201" s="208">
        <f t="shared" si="52"/>
        <v>0</v>
      </c>
      <c r="AE201" s="208">
        <f t="shared" si="52"/>
        <v>13225.16</v>
      </c>
      <c r="AF201" s="208">
        <f t="shared" si="52"/>
        <v>0</v>
      </c>
      <c r="AG201" s="208">
        <f t="shared" si="52"/>
        <v>0</v>
      </c>
      <c r="AH201" s="285" t="s">
        <v>903</v>
      </c>
      <c r="AI201" s="285" t="s">
        <v>903</v>
      </c>
      <c r="AJ201" s="285" t="s">
        <v>903</v>
      </c>
      <c r="AK201" s="152"/>
    </row>
    <row r="202" spans="1:37" customFormat="1" ht="62.25" x14ac:dyDescent="0.9">
      <c r="A202">
        <v>1</v>
      </c>
      <c r="B202" s="274">
        <v>112</v>
      </c>
      <c r="C202" s="289" t="s">
        <v>1508</v>
      </c>
      <c r="D202" s="290" t="s">
        <v>1911</v>
      </c>
      <c r="E202" s="284">
        <v>0.98829999999999996</v>
      </c>
      <c r="F202" s="208">
        <f>G202+H202+I202+J202+K202+L202+N202+P202+R202+T202+V202+W202+X202+Y202+Z202+AA202+AB202+AC202+AD202+AE202+AF202+AG202</f>
        <v>894902.36</v>
      </c>
      <c r="G202" s="208">
        <v>0</v>
      </c>
      <c r="H202" s="208">
        <v>0</v>
      </c>
      <c r="I202" s="208">
        <v>0</v>
      </c>
      <c r="J202" s="208">
        <v>0</v>
      </c>
      <c r="K202" s="208">
        <v>0</v>
      </c>
      <c r="L202" s="208">
        <v>0</v>
      </c>
      <c r="M202" s="276">
        <v>0</v>
      </c>
      <c r="N202" s="208">
        <v>0</v>
      </c>
      <c r="O202" s="208">
        <v>400</v>
      </c>
      <c r="P202" s="208">
        <v>881677.2</v>
      </c>
      <c r="Q202" s="208">
        <v>0</v>
      </c>
      <c r="R202" s="208">
        <v>0</v>
      </c>
      <c r="S202" s="208">
        <v>0</v>
      </c>
      <c r="T202" s="208">
        <v>0</v>
      </c>
      <c r="U202" s="208">
        <v>0</v>
      </c>
      <c r="V202" s="208">
        <v>0</v>
      </c>
      <c r="W202" s="208">
        <v>0</v>
      </c>
      <c r="X202" s="208">
        <v>0</v>
      </c>
      <c r="Y202" s="208">
        <v>0</v>
      </c>
      <c r="Z202" s="208">
        <v>0</v>
      </c>
      <c r="AA202" s="208">
        <v>0</v>
      </c>
      <c r="AB202" s="208">
        <v>0</v>
      </c>
      <c r="AC202" s="208">
        <v>0</v>
      </c>
      <c r="AD202" s="208">
        <v>0</v>
      </c>
      <c r="AE202" s="208">
        <f>ROUND(P202*1.5%,2)</f>
        <v>13225.16</v>
      </c>
      <c r="AF202" s="208">
        <v>0</v>
      </c>
      <c r="AG202" s="208">
        <v>0</v>
      </c>
      <c r="AH202" s="285" t="s">
        <v>271</v>
      </c>
      <c r="AI202" s="285">
        <v>2020</v>
      </c>
      <c r="AJ202" s="285">
        <v>2020</v>
      </c>
      <c r="AK202" s="152"/>
    </row>
    <row r="203" spans="1:37" customFormat="1" ht="62.25" x14ac:dyDescent="0.9">
      <c r="B203" s="301" t="s">
        <v>854</v>
      </c>
      <c r="C203" s="289"/>
      <c r="D203" s="288" t="s">
        <v>903</v>
      </c>
      <c r="E203" s="284">
        <f>E204</f>
        <v>0.72670000000000001</v>
      </c>
      <c r="F203" s="208">
        <f>F204</f>
        <v>40586.949999999997</v>
      </c>
      <c r="G203" s="208">
        <f t="shared" ref="G203:AG203" si="53">G204</f>
        <v>0</v>
      </c>
      <c r="H203" s="208">
        <f t="shared" si="53"/>
        <v>0</v>
      </c>
      <c r="I203" s="208">
        <f t="shared" si="53"/>
        <v>0</v>
      </c>
      <c r="J203" s="208">
        <f t="shared" si="53"/>
        <v>0</v>
      </c>
      <c r="K203" s="208">
        <f t="shared" si="53"/>
        <v>0</v>
      </c>
      <c r="L203" s="208">
        <f t="shared" si="53"/>
        <v>0</v>
      </c>
      <c r="M203" s="276">
        <f t="shared" si="53"/>
        <v>0</v>
      </c>
      <c r="N203" s="208">
        <f t="shared" si="53"/>
        <v>0</v>
      </c>
      <c r="O203" s="208">
        <f t="shared" si="53"/>
        <v>651</v>
      </c>
      <c r="P203" s="208">
        <f t="shared" si="53"/>
        <v>39987.14</v>
      </c>
      <c r="Q203" s="208">
        <f t="shared" si="53"/>
        <v>0</v>
      </c>
      <c r="R203" s="208">
        <f t="shared" si="53"/>
        <v>0</v>
      </c>
      <c r="S203" s="208">
        <f t="shared" si="53"/>
        <v>0</v>
      </c>
      <c r="T203" s="208">
        <f t="shared" si="53"/>
        <v>0</v>
      </c>
      <c r="U203" s="208">
        <f t="shared" si="53"/>
        <v>0</v>
      </c>
      <c r="V203" s="208">
        <f t="shared" si="53"/>
        <v>0</v>
      </c>
      <c r="W203" s="208">
        <f t="shared" si="53"/>
        <v>0</v>
      </c>
      <c r="X203" s="208">
        <f t="shared" si="53"/>
        <v>0</v>
      </c>
      <c r="Y203" s="208">
        <f t="shared" si="53"/>
        <v>0</v>
      </c>
      <c r="Z203" s="208">
        <f t="shared" si="53"/>
        <v>0</v>
      </c>
      <c r="AA203" s="208">
        <f t="shared" si="53"/>
        <v>0</v>
      </c>
      <c r="AB203" s="208">
        <f t="shared" si="53"/>
        <v>0</v>
      </c>
      <c r="AC203" s="208">
        <f t="shared" si="53"/>
        <v>0</v>
      </c>
      <c r="AD203" s="208">
        <f t="shared" si="53"/>
        <v>0</v>
      </c>
      <c r="AE203" s="208">
        <f t="shared" si="53"/>
        <v>599.80999999999995</v>
      </c>
      <c r="AF203" s="208">
        <f t="shared" si="53"/>
        <v>0</v>
      </c>
      <c r="AG203" s="208">
        <f t="shared" si="53"/>
        <v>0</v>
      </c>
      <c r="AH203" s="285" t="s">
        <v>903</v>
      </c>
      <c r="AI203" s="285" t="s">
        <v>903</v>
      </c>
      <c r="AJ203" s="285" t="s">
        <v>903</v>
      </c>
      <c r="AK203" s="152"/>
    </row>
    <row r="204" spans="1:37" customFormat="1" ht="62.25" x14ac:dyDescent="0.9">
      <c r="A204">
        <v>1</v>
      </c>
      <c r="B204" s="274">
        <v>113</v>
      </c>
      <c r="C204" s="289" t="s">
        <v>1509</v>
      </c>
      <c r="D204" s="290" t="s">
        <v>1550</v>
      </c>
      <c r="E204" s="284">
        <v>0.72670000000000001</v>
      </c>
      <c r="F204" s="208">
        <f>G204+H204+I204+J204+K204+L204+N204+P204+R204+T204+V204+W204+X204+Y204+Z204+AA204+AB204+AC204+AD204+AE204+AF204+AG204</f>
        <v>40586.949999999997</v>
      </c>
      <c r="G204" s="208">
        <v>0</v>
      </c>
      <c r="H204" s="208">
        <v>0</v>
      </c>
      <c r="I204" s="208">
        <v>0</v>
      </c>
      <c r="J204" s="208">
        <v>0</v>
      </c>
      <c r="K204" s="208">
        <v>0</v>
      </c>
      <c r="L204" s="208">
        <v>0</v>
      </c>
      <c r="M204" s="276">
        <v>0</v>
      </c>
      <c r="N204" s="208">
        <v>0</v>
      </c>
      <c r="O204" s="208">
        <v>651</v>
      </c>
      <c r="P204" s="208">
        <v>39987.14</v>
      </c>
      <c r="Q204" s="208">
        <v>0</v>
      </c>
      <c r="R204" s="208">
        <v>0</v>
      </c>
      <c r="S204" s="208">
        <v>0</v>
      </c>
      <c r="T204" s="208">
        <v>0</v>
      </c>
      <c r="U204" s="208">
        <v>0</v>
      </c>
      <c r="V204" s="208">
        <v>0</v>
      </c>
      <c r="W204" s="208">
        <v>0</v>
      </c>
      <c r="X204" s="208">
        <v>0</v>
      </c>
      <c r="Y204" s="208">
        <v>0</v>
      </c>
      <c r="Z204" s="208">
        <v>0</v>
      </c>
      <c r="AA204" s="208">
        <v>0</v>
      </c>
      <c r="AB204" s="208">
        <v>0</v>
      </c>
      <c r="AC204" s="208">
        <v>0</v>
      </c>
      <c r="AD204" s="208">
        <v>0</v>
      </c>
      <c r="AE204" s="208">
        <f>ROUND(P204*1.5%,2)</f>
        <v>599.80999999999995</v>
      </c>
      <c r="AF204" s="208">
        <v>0</v>
      </c>
      <c r="AG204" s="208">
        <v>0</v>
      </c>
      <c r="AH204" s="285" t="s">
        <v>271</v>
      </c>
      <c r="AI204" s="285">
        <v>2020</v>
      </c>
      <c r="AJ204" s="285">
        <v>2020</v>
      </c>
      <c r="AK204" s="152"/>
    </row>
    <row r="205" spans="1:37" customFormat="1" ht="62.25" x14ac:dyDescent="0.9">
      <c r="B205" s="301" t="s">
        <v>869</v>
      </c>
      <c r="C205" s="289"/>
      <c r="D205" s="288" t="s">
        <v>903</v>
      </c>
      <c r="E205" s="284">
        <f>E206</f>
        <v>0.98380000000000001</v>
      </c>
      <c r="F205" s="208">
        <f>F206</f>
        <v>39622.869999999995</v>
      </c>
      <c r="G205" s="208">
        <f t="shared" ref="G205:AG205" si="54">G206</f>
        <v>0</v>
      </c>
      <c r="H205" s="208">
        <f t="shared" si="54"/>
        <v>0</v>
      </c>
      <c r="I205" s="208">
        <f t="shared" si="54"/>
        <v>0</v>
      </c>
      <c r="J205" s="208">
        <f t="shared" si="54"/>
        <v>0</v>
      </c>
      <c r="K205" s="208">
        <f t="shared" si="54"/>
        <v>0</v>
      </c>
      <c r="L205" s="208">
        <f t="shared" si="54"/>
        <v>0</v>
      </c>
      <c r="M205" s="276">
        <f t="shared" si="54"/>
        <v>0</v>
      </c>
      <c r="N205" s="208">
        <f t="shared" si="54"/>
        <v>0</v>
      </c>
      <c r="O205" s="208">
        <f t="shared" si="54"/>
        <v>762</v>
      </c>
      <c r="P205" s="208">
        <f t="shared" si="54"/>
        <v>39037.31</v>
      </c>
      <c r="Q205" s="208">
        <f t="shared" si="54"/>
        <v>0</v>
      </c>
      <c r="R205" s="208">
        <f t="shared" si="54"/>
        <v>0</v>
      </c>
      <c r="S205" s="208">
        <f t="shared" si="54"/>
        <v>0</v>
      </c>
      <c r="T205" s="208">
        <f t="shared" si="54"/>
        <v>0</v>
      </c>
      <c r="U205" s="208">
        <f t="shared" si="54"/>
        <v>0</v>
      </c>
      <c r="V205" s="208">
        <f t="shared" si="54"/>
        <v>0</v>
      </c>
      <c r="W205" s="208">
        <f t="shared" si="54"/>
        <v>0</v>
      </c>
      <c r="X205" s="208">
        <f t="shared" si="54"/>
        <v>0</v>
      </c>
      <c r="Y205" s="208">
        <f t="shared" si="54"/>
        <v>0</v>
      </c>
      <c r="Z205" s="208">
        <f t="shared" si="54"/>
        <v>0</v>
      </c>
      <c r="AA205" s="208">
        <f t="shared" si="54"/>
        <v>0</v>
      </c>
      <c r="AB205" s="208">
        <f t="shared" si="54"/>
        <v>0</v>
      </c>
      <c r="AC205" s="208">
        <f t="shared" si="54"/>
        <v>0</v>
      </c>
      <c r="AD205" s="208">
        <f t="shared" si="54"/>
        <v>0</v>
      </c>
      <c r="AE205" s="208">
        <f t="shared" si="54"/>
        <v>585.55999999999995</v>
      </c>
      <c r="AF205" s="208">
        <f t="shared" si="54"/>
        <v>0</v>
      </c>
      <c r="AG205" s="208">
        <f t="shared" si="54"/>
        <v>0</v>
      </c>
      <c r="AH205" s="285" t="s">
        <v>903</v>
      </c>
      <c r="AI205" s="285" t="s">
        <v>903</v>
      </c>
      <c r="AJ205" s="285" t="s">
        <v>903</v>
      </c>
      <c r="AK205" s="152"/>
    </row>
    <row r="206" spans="1:37" customFormat="1" ht="62.25" x14ac:dyDescent="0.9">
      <c r="A206">
        <v>1</v>
      </c>
      <c r="B206" s="274">
        <v>114</v>
      </c>
      <c r="C206" s="289" t="s">
        <v>1510</v>
      </c>
      <c r="D206" s="290" t="s">
        <v>1911</v>
      </c>
      <c r="E206" s="284">
        <v>0.98380000000000001</v>
      </c>
      <c r="F206" s="208">
        <f>G206+H206+I206+J206+K206+L206+N206+P206+R206+T206+V206+W206+X206+Y206+Z206+AA206+AB206+AC206+AD206+AE206+AF206+AG206</f>
        <v>39622.869999999995</v>
      </c>
      <c r="G206" s="208">
        <v>0</v>
      </c>
      <c r="H206" s="208">
        <v>0</v>
      </c>
      <c r="I206" s="208">
        <v>0</v>
      </c>
      <c r="J206" s="208">
        <v>0</v>
      </c>
      <c r="K206" s="208">
        <v>0</v>
      </c>
      <c r="L206" s="208">
        <v>0</v>
      </c>
      <c r="M206" s="276">
        <v>0</v>
      </c>
      <c r="N206" s="208">
        <v>0</v>
      </c>
      <c r="O206" s="208">
        <v>762</v>
      </c>
      <c r="P206" s="208">
        <v>39037.31</v>
      </c>
      <c r="Q206" s="208">
        <v>0</v>
      </c>
      <c r="R206" s="208">
        <v>0</v>
      </c>
      <c r="S206" s="208">
        <v>0</v>
      </c>
      <c r="T206" s="208">
        <v>0</v>
      </c>
      <c r="U206" s="208">
        <v>0</v>
      </c>
      <c r="V206" s="208">
        <v>0</v>
      </c>
      <c r="W206" s="208">
        <v>0</v>
      </c>
      <c r="X206" s="208">
        <v>0</v>
      </c>
      <c r="Y206" s="208">
        <v>0</v>
      </c>
      <c r="Z206" s="208">
        <v>0</v>
      </c>
      <c r="AA206" s="208">
        <v>0</v>
      </c>
      <c r="AB206" s="208">
        <v>0</v>
      </c>
      <c r="AC206" s="208">
        <v>0</v>
      </c>
      <c r="AD206" s="208">
        <v>0</v>
      </c>
      <c r="AE206" s="208">
        <f>ROUND(P206*1.5%,2)</f>
        <v>585.55999999999995</v>
      </c>
      <c r="AF206" s="208">
        <v>0</v>
      </c>
      <c r="AG206" s="208">
        <v>0</v>
      </c>
      <c r="AH206" s="285" t="s">
        <v>271</v>
      </c>
      <c r="AI206" s="285">
        <v>2020</v>
      </c>
      <c r="AJ206" s="285">
        <v>2020</v>
      </c>
      <c r="AK206" s="152"/>
    </row>
    <row r="207" spans="1:37" customFormat="1" ht="62.25" x14ac:dyDescent="0.9">
      <c r="B207" s="301" t="s">
        <v>847</v>
      </c>
      <c r="C207" s="289"/>
      <c r="D207" s="288" t="s">
        <v>903</v>
      </c>
      <c r="E207" s="284">
        <f>E208</f>
        <v>0.96889999999999998</v>
      </c>
      <c r="F207" s="208">
        <f>F208</f>
        <v>8149.86</v>
      </c>
      <c r="G207" s="208">
        <f t="shared" ref="G207:AG207" si="55">G208</f>
        <v>0</v>
      </c>
      <c r="H207" s="208">
        <f t="shared" si="55"/>
        <v>0</v>
      </c>
      <c r="I207" s="208">
        <f t="shared" si="55"/>
        <v>0</v>
      </c>
      <c r="J207" s="208">
        <f t="shared" si="55"/>
        <v>0</v>
      </c>
      <c r="K207" s="208">
        <f t="shared" si="55"/>
        <v>0</v>
      </c>
      <c r="L207" s="208">
        <f t="shared" si="55"/>
        <v>0</v>
      </c>
      <c r="M207" s="276">
        <f t="shared" si="55"/>
        <v>0</v>
      </c>
      <c r="N207" s="208">
        <f t="shared" si="55"/>
        <v>0</v>
      </c>
      <c r="O207" s="208">
        <f t="shared" si="55"/>
        <v>981.6</v>
      </c>
      <c r="P207" s="208">
        <f t="shared" si="55"/>
        <v>8029.42</v>
      </c>
      <c r="Q207" s="208">
        <f t="shared" si="55"/>
        <v>0</v>
      </c>
      <c r="R207" s="208">
        <f t="shared" si="55"/>
        <v>0</v>
      </c>
      <c r="S207" s="208">
        <f t="shared" si="55"/>
        <v>0</v>
      </c>
      <c r="T207" s="208">
        <f t="shared" si="55"/>
        <v>0</v>
      </c>
      <c r="U207" s="208">
        <f t="shared" si="55"/>
        <v>0</v>
      </c>
      <c r="V207" s="208">
        <f t="shared" si="55"/>
        <v>0</v>
      </c>
      <c r="W207" s="208">
        <f t="shared" si="55"/>
        <v>0</v>
      </c>
      <c r="X207" s="208">
        <f t="shared" si="55"/>
        <v>0</v>
      </c>
      <c r="Y207" s="208">
        <f t="shared" si="55"/>
        <v>0</v>
      </c>
      <c r="Z207" s="208">
        <f t="shared" si="55"/>
        <v>0</v>
      </c>
      <c r="AA207" s="208">
        <f t="shared" si="55"/>
        <v>0</v>
      </c>
      <c r="AB207" s="208">
        <f t="shared" si="55"/>
        <v>0</v>
      </c>
      <c r="AC207" s="208">
        <f t="shared" si="55"/>
        <v>0</v>
      </c>
      <c r="AD207" s="208">
        <f t="shared" si="55"/>
        <v>0</v>
      </c>
      <c r="AE207" s="208">
        <f t="shared" si="55"/>
        <v>120.44</v>
      </c>
      <c r="AF207" s="208">
        <f t="shared" si="55"/>
        <v>0</v>
      </c>
      <c r="AG207" s="208">
        <f t="shared" si="55"/>
        <v>0</v>
      </c>
      <c r="AH207" s="285" t="s">
        <v>903</v>
      </c>
      <c r="AI207" s="285" t="s">
        <v>903</v>
      </c>
      <c r="AJ207" s="285" t="s">
        <v>903</v>
      </c>
      <c r="AK207" s="152"/>
    </row>
    <row r="208" spans="1:37" customFormat="1" ht="62.25" x14ac:dyDescent="0.9">
      <c r="A208">
        <v>1</v>
      </c>
      <c r="B208" s="274">
        <v>115</v>
      </c>
      <c r="C208" s="289" t="s">
        <v>1518</v>
      </c>
      <c r="D208" s="290">
        <v>2017</v>
      </c>
      <c r="E208" s="284">
        <v>0.96889999999999998</v>
      </c>
      <c r="F208" s="208">
        <f>G208+H208+I208+J208+K208+L208+N208+P208+R208+T208+V208+W208+X208+Y208+Z208+AA208+AB208+AC208+AD208+AE208+AF208+AG208</f>
        <v>8149.86</v>
      </c>
      <c r="G208" s="208">
        <v>0</v>
      </c>
      <c r="H208" s="208">
        <v>0</v>
      </c>
      <c r="I208" s="208">
        <v>0</v>
      </c>
      <c r="J208" s="208">
        <v>0</v>
      </c>
      <c r="K208" s="208">
        <v>0</v>
      </c>
      <c r="L208" s="208">
        <v>0</v>
      </c>
      <c r="M208" s="276">
        <v>0</v>
      </c>
      <c r="N208" s="208">
        <v>0</v>
      </c>
      <c r="O208" s="208">
        <v>981.6</v>
      </c>
      <c r="P208" s="208">
        <v>8029.42</v>
      </c>
      <c r="Q208" s="208">
        <v>0</v>
      </c>
      <c r="R208" s="208">
        <v>0</v>
      </c>
      <c r="S208" s="208">
        <v>0</v>
      </c>
      <c r="T208" s="208">
        <v>0</v>
      </c>
      <c r="U208" s="208">
        <v>0</v>
      </c>
      <c r="V208" s="208">
        <v>0</v>
      </c>
      <c r="W208" s="208">
        <v>0</v>
      </c>
      <c r="X208" s="208">
        <v>0</v>
      </c>
      <c r="Y208" s="208">
        <v>0</v>
      </c>
      <c r="Z208" s="208">
        <v>0</v>
      </c>
      <c r="AA208" s="208">
        <v>0</v>
      </c>
      <c r="AB208" s="208">
        <v>0</v>
      </c>
      <c r="AC208" s="208">
        <v>0</v>
      </c>
      <c r="AD208" s="208">
        <v>0</v>
      </c>
      <c r="AE208" s="208">
        <f>ROUND(P208*1.5%,2)</f>
        <v>120.44</v>
      </c>
      <c r="AF208" s="208">
        <v>0</v>
      </c>
      <c r="AG208" s="208">
        <v>0</v>
      </c>
      <c r="AH208" s="285" t="s">
        <v>271</v>
      </c>
      <c r="AI208" s="285">
        <v>2020</v>
      </c>
      <c r="AJ208" s="285">
        <v>2020</v>
      </c>
      <c r="AK208" s="152"/>
    </row>
    <row r="209" spans="1:37" customFormat="1" ht="62.25" x14ac:dyDescent="0.9">
      <c r="B209" s="301" t="s">
        <v>852</v>
      </c>
      <c r="C209" s="289"/>
      <c r="D209" s="288" t="s">
        <v>903</v>
      </c>
      <c r="E209" s="284">
        <f>AVERAGE(E210:E211)</f>
        <v>0.83830000000000005</v>
      </c>
      <c r="F209" s="208">
        <f>F210+F211</f>
        <v>180508.62</v>
      </c>
      <c r="G209" s="208">
        <f t="shared" ref="G209:AG209" si="56">G210+G211</f>
        <v>0</v>
      </c>
      <c r="H209" s="208">
        <f t="shared" si="56"/>
        <v>0</v>
      </c>
      <c r="I209" s="208">
        <f t="shared" si="56"/>
        <v>0</v>
      </c>
      <c r="J209" s="208">
        <f t="shared" si="56"/>
        <v>0</v>
      </c>
      <c r="K209" s="208">
        <f t="shared" si="56"/>
        <v>0</v>
      </c>
      <c r="L209" s="208">
        <f t="shared" si="56"/>
        <v>0</v>
      </c>
      <c r="M209" s="276">
        <f t="shared" si="56"/>
        <v>0</v>
      </c>
      <c r="N209" s="208">
        <f t="shared" si="56"/>
        <v>0</v>
      </c>
      <c r="O209" s="208">
        <f t="shared" si="56"/>
        <v>949</v>
      </c>
      <c r="P209" s="208">
        <f t="shared" si="56"/>
        <v>177841</v>
      </c>
      <c r="Q209" s="208">
        <f t="shared" si="56"/>
        <v>0</v>
      </c>
      <c r="R209" s="208">
        <f t="shared" si="56"/>
        <v>0</v>
      </c>
      <c r="S209" s="208">
        <f t="shared" si="56"/>
        <v>0</v>
      </c>
      <c r="T209" s="208">
        <f t="shared" si="56"/>
        <v>0</v>
      </c>
      <c r="U209" s="208">
        <f t="shared" si="56"/>
        <v>0</v>
      </c>
      <c r="V209" s="208">
        <f t="shared" si="56"/>
        <v>0</v>
      </c>
      <c r="W209" s="208">
        <f t="shared" si="56"/>
        <v>0</v>
      </c>
      <c r="X209" s="208">
        <f t="shared" si="56"/>
        <v>0</v>
      </c>
      <c r="Y209" s="208">
        <f t="shared" si="56"/>
        <v>0</v>
      </c>
      <c r="Z209" s="208">
        <f t="shared" si="56"/>
        <v>0</v>
      </c>
      <c r="AA209" s="208">
        <f t="shared" si="56"/>
        <v>0</v>
      </c>
      <c r="AB209" s="208">
        <f t="shared" si="56"/>
        <v>0</v>
      </c>
      <c r="AC209" s="208">
        <f t="shared" si="56"/>
        <v>0</v>
      </c>
      <c r="AD209" s="208">
        <f t="shared" si="56"/>
        <v>0</v>
      </c>
      <c r="AE209" s="208">
        <f t="shared" si="56"/>
        <v>2667.62</v>
      </c>
      <c r="AF209" s="208">
        <f t="shared" si="56"/>
        <v>0</v>
      </c>
      <c r="AG209" s="208">
        <f t="shared" si="56"/>
        <v>0</v>
      </c>
      <c r="AH209" s="285" t="s">
        <v>903</v>
      </c>
      <c r="AI209" s="285" t="s">
        <v>903</v>
      </c>
      <c r="AJ209" s="285" t="s">
        <v>903</v>
      </c>
      <c r="AK209" s="152"/>
    </row>
    <row r="210" spans="1:37" customFormat="1" ht="62.25" x14ac:dyDescent="0.9">
      <c r="A210">
        <v>1</v>
      </c>
      <c r="B210" s="274">
        <v>116</v>
      </c>
      <c r="C210" s="289" t="s">
        <v>1519</v>
      </c>
      <c r="D210" s="290" t="s">
        <v>1910</v>
      </c>
      <c r="E210" s="284">
        <v>0.75480000000000003</v>
      </c>
      <c r="F210" s="208">
        <f>G210+H210+I210+J210+K210+L210+N210+P210+R210+T210+V210+W210+X210+Y210+Z210+AA210+AB210+AC210+AD210+AE210+AF210+AG210</f>
        <v>103408.2</v>
      </c>
      <c r="G210" s="208">
        <v>0</v>
      </c>
      <c r="H210" s="208">
        <v>0</v>
      </c>
      <c r="I210" s="208">
        <v>0</v>
      </c>
      <c r="J210" s="208">
        <v>0</v>
      </c>
      <c r="K210" s="208">
        <v>0</v>
      </c>
      <c r="L210" s="208">
        <v>0</v>
      </c>
      <c r="M210" s="276">
        <v>0</v>
      </c>
      <c r="N210" s="208">
        <v>0</v>
      </c>
      <c r="O210" s="208">
        <v>577</v>
      </c>
      <c r="P210" s="208">
        <v>101880</v>
      </c>
      <c r="Q210" s="208">
        <v>0</v>
      </c>
      <c r="R210" s="208">
        <v>0</v>
      </c>
      <c r="S210" s="208">
        <v>0</v>
      </c>
      <c r="T210" s="208">
        <v>0</v>
      </c>
      <c r="U210" s="208">
        <v>0</v>
      </c>
      <c r="V210" s="208">
        <v>0</v>
      </c>
      <c r="W210" s="208">
        <v>0</v>
      </c>
      <c r="X210" s="208">
        <v>0</v>
      </c>
      <c r="Y210" s="208">
        <v>0</v>
      </c>
      <c r="Z210" s="208">
        <v>0</v>
      </c>
      <c r="AA210" s="208">
        <v>0</v>
      </c>
      <c r="AB210" s="208">
        <v>0</v>
      </c>
      <c r="AC210" s="208">
        <v>0</v>
      </c>
      <c r="AD210" s="208">
        <v>0</v>
      </c>
      <c r="AE210" s="208">
        <f>ROUND(P210*1.5%,2)</f>
        <v>1528.2</v>
      </c>
      <c r="AF210" s="208">
        <v>0</v>
      </c>
      <c r="AG210" s="208">
        <v>0</v>
      </c>
      <c r="AH210" s="285" t="s">
        <v>271</v>
      </c>
      <c r="AI210" s="285">
        <v>2020</v>
      </c>
      <c r="AJ210" s="285">
        <v>2020</v>
      </c>
      <c r="AK210" s="152"/>
    </row>
    <row r="211" spans="1:37" customFormat="1" ht="62.25" x14ac:dyDescent="0.9">
      <c r="A211">
        <v>1</v>
      </c>
      <c r="B211" s="274">
        <v>117</v>
      </c>
      <c r="C211" s="289" t="s">
        <v>1520</v>
      </c>
      <c r="D211" s="290" t="s">
        <v>1911</v>
      </c>
      <c r="E211" s="284">
        <v>0.92179999999999995</v>
      </c>
      <c r="F211" s="208">
        <f>G211+H211+I211+J211+K211+L211+N211+P211+R211+T211+V211+W211+X211+Y211+Z211+AA211+AB211+AC211+AD211+AE211+AF211+AG211</f>
        <v>77100.42</v>
      </c>
      <c r="G211" s="208">
        <v>0</v>
      </c>
      <c r="H211" s="208">
        <v>0</v>
      </c>
      <c r="I211" s="208">
        <v>0</v>
      </c>
      <c r="J211" s="208">
        <v>0</v>
      </c>
      <c r="K211" s="208">
        <v>0</v>
      </c>
      <c r="L211" s="208">
        <v>0</v>
      </c>
      <c r="M211" s="276">
        <v>0</v>
      </c>
      <c r="N211" s="208">
        <v>0</v>
      </c>
      <c r="O211" s="208">
        <v>372</v>
      </c>
      <c r="P211" s="208">
        <v>75961</v>
      </c>
      <c r="Q211" s="208">
        <v>0</v>
      </c>
      <c r="R211" s="208">
        <v>0</v>
      </c>
      <c r="S211" s="208">
        <v>0</v>
      </c>
      <c r="T211" s="208">
        <v>0</v>
      </c>
      <c r="U211" s="208">
        <v>0</v>
      </c>
      <c r="V211" s="208">
        <v>0</v>
      </c>
      <c r="W211" s="208">
        <v>0</v>
      </c>
      <c r="X211" s="208">
        <v>0</v>
      </c>
      <c r="Y211" s="208">
        <v>0</v>
      </c>
      <c r="Z211" s="208">
        <v>0</v>
      </c>
      <c r="AA211" s="208">
        <v>0</v>
      </c>
      <c r="AB211" s="208">
        <v>0</v>
      </c>
      <c r="AC211" s="208">
        <v>0</v>
      </c>
      <c r="AD211" s="208">
        <v>0</v>
      </c>
      <c r="AE211" s="208">
        <f>ROUND(P211*1.5%,2)</f>
        <v>1139.42</v>
      </c>
      <c r="AF211" s="208">
        <v>0</v>
      </c>
      <c r="AG211" s="208">
        <v>0</v>
      </c>
      <c r="AH211" s="285" t="s">
        <v>271</v>
      </c>
      <c r="AI211" s="285">
        <v>2020</v>
      </c>
      <c r="AJ211" s="285">
        <v>2020</v>
      </c>
      <c r="AK211" s="152"/>
    </row>
    <row r="212" spans="1:37" customFormat="1" ht="62.25" x14ac:dyDescent="0.9">
      <c r="B212" s="301" t="s">
        <v>1061</v>
      </c>
      <c r="C212" s="289"/>
      <c r="D212" s="288" t="s">
        <v>903</v>
      </c>
      <c r="E212" s="284">
        <f t="shared" ref="E212:T216" si="57">E213</f>
        <v>0.93410000000000004</v>
      </c>
      <c r="F212" s="208">
        <f t="shared" si="57"/>
        <v>5309.7</v>
      </c>
      <c r="G212" s="208">
        <f t="shared" si="57"/>
        <v>0</v>
      </c>
      <c r="H212" s="208">
        <f t="shared" si="57"/>
        <v>0</v>
      </c>
      <c r="I212" s="208">
        <f t="shared" si="57"/>
        <v>0</v>
      </c>
      <c r="J212" s="208">
        <f t="shared" si="57"/>
        <v>0</v>
      </c>
      <c r="K212" s="208">
        <f t="shared" si="57"/>
        <v>0</v>
      </c>
      <c r="L212" s="208">
        <f t="shared" si="57"/>
        <v>0</v>
      </c>
      <c r="M212" s="276">
        <f t="shared" si="57"/>
        <v>0</v>
      </c>
      <c r="N212" s="208">
        <f t="shared" si="57"/>
        <v>0</v>
      </c>
      <c r="O212" s="208">
        <f t="shared" si="57"/>
        <v>429.6</v>
      </c>
      <c r="P212" s="208">
        <f t="shared" si="57"/>
        <v>5231.2299999999996</v>
      </c>
      <c r="Q212" s="208">
        <f t="shared" si="57"/>
        <v>0</v>
      </c>
      <c r="R212" s="208">
        <f t="shared" si="57"/>
        <v>0</v>
      </c>
      <c r="S212" s="208">
        <f t="shared" si="57"/>
        <v>0</v>
      </c>
      <c r="T212" s="208">
        <f t="shared" si="57"/>
        <v>0</v>
      </c>
      <c r="U212" s="208">
        <f t="shared" ref="U212:AG212" si="58">U213</f>
        <v>0</v>
      </c>
      <c r="V212" s="208">
        <f t="shared" si="58"/>
        <v>0</v>
      </c>
      <c r="W212" s="208">
        <f t="shared" si="58"/>
        <v>0</v>
      </c>
      <c r="X212" s="208">
        <f t="shared" si="58"/>
        <v>0</v>
      </c>
      <c r="Y212" s="208">
        <f t="shared" si="58"/>
        <v>0</v>
      </c>
      <c r="Z212" s="208">
        <f t="shared" si="58"/>
        <v>0</v>
      </c>
      <c r="AA212" s="208">
        <f t="shared" si="58"/>
        <v>0</v>
      </c>
      <c r="AB212" s="208">
        <f t="shared" si="58"/>
        <v>0</v>
      </c>
      <c r="AC212" s="208">
        <f t="shared" si="58"/>
        <v>0</v>
      </c>
      <c r="AD212" s="208">
        <f t="shared" si="58"/>
        <v>0</v>
      </c>
      <c r="AE212" s="208">
        <f t="shared" si="58"/>
        <v>78.47</v>
      </c>
      <c r="AF212" s="208">
        <f t="shared" si="58"/>
        <v>0</v>
      </c>
      <c r="AG212" s="208">
        <f t="shared" si="58"/>
        <v>0</v>
      </c>
      <c r="AH212" s="285" t="s">
        <v>903</v>
      </c>
      <c r="AI212" s="285" t="s">
        <v>903</v>
      </c>
      <c r="AJ212" s="285" t="s">
        <v>903</v>
      </c>
      <c r="AK212" s="152"/>
    </row>
    <row r="213" spans="1:37" customFormat="1" ht="62.25" x14ac:dyDescent="0.9">
      <c r="A213">
        <v>1</v>
      </c>
      <c r="B213" s="274">
        <v>118</v>
      </c>
      <c r="C213" s="289" t="s">
        <v>1616</v>
      </c>
      <c r="D213" s="290" t="s">
        <v>1910</v>
      </c>
      <c r="E213" s="284">
        <v>0.93410000000000004</v>
      </c>
      <c r="F213" s="208">
        <f>G213+H213+I213+J213+K213+L213+N213+P213+R213+T213+V213+W213+X213+Y213+Z213+AA213+AB213+AC213+AD213+AE213+AF213+AG213</f>
        <v>5309.7</v>
      </c>
      <c r="G213" s="208">
        <v>0</v>
      </c>
      <c r="H213" s="208">
        <v>0</v>
      </c>
      <c r="I213" s="208">
        <v>0</v>
      </c>
      <c r="J213" s="208">
        <v>0</v>
      </c>
      <c r="K213" s="208">
        <v>0</v>
      </c>
      <c r="L213" s="208">
        <v>0</v>
      </c>
      <c r="M213" s="276">
        <v>0</v>
      </c>
      <c r="N213" s="208">
        <v>0</v>
      </c>
      <c r="O213" s="208">
        <v>429.6</v>
      </c>
      <c r="P213" s="208">
        <v>5231.2299999999996</v>
      </c>
      <c r="Q213" s="208">
        <v>0</v>
      </c>
      <c r="R213" s="208">
        <v>0</v>
      </c>
      <c r="S213" s="208">
        <v>0</v>
      </c>
      <c r="T213" s="208">
        <v>0</v>
      </c>
      <c r="U213" s="208">
        <v>0</v>
      </c>
      <c r="V213" s="208">
        <v>0</v>
      </c>
      <c r="W213" s="208">
        <v>0</v>
      </c>
      <c r="X213" s="208">
        <v>0</v>
      </c>
      <c r="Y213" s="208">
        <v>0</v>
      </c>
      <c r="Z213" s="208">
        <v>0</v>
      </c>
      <c r="AA213" s="208">
        <v>0</v>
      </c>
      <c r="AB213" s="208">
        <v>0</v>
      </c>
      <c r="AC213" s="208">
        <v>0</v>
      </c>
      <c r="AD213" s="208">
        <v>0</v>
      </c>
      <c r="AE213" s="208">
        <f>ROUND(P213*1.5%,2)</f>
        <v>78.47</v>
      </c>
      <c r="AF213" s="208">
        <v>0</v>
      </c>
      <c r="AG213" s="208">
        <v>0</v>
      </c>
      <c r="AH213" s="285" t="s">
        <v>271</v>
      </c>
      <c r="AI213" s="285">
        <v>2020</v>
      </c>
      <c r="AJ213" s="285">
        <v>2020</v>
      </c>
      <c r="AK213" s="152"/>
    </row>
    <row r="214" spans="1:37" s="293" customFormat="1" ht="62.25" x14ac:dyDescent="0.9">
      <c r="B214" s="302" t="s">
        <v>895</v>
      </c>
      <c r="C214" s="295"/>
      <c r="D214" s="303" t="s">
        <v>903</v>
      </c>
      <c r="E214" s="296">
        <v>0.99509999999999998</v>
      </c>
      <c r="F214" s="206">
        <f t="shared" si="57"/>
        <v>207516.75</v>
      </c>
      <c r="G214" s="206">
        <f t="shared" si="57"/>
        <v>0</v>
      </c>
      <c r="H214" s="206">
        <f t="shared" si="57"/>
        <v>0</v>
      </c>
      <c r="I214" s="206">
        <f t="shared" si="57"/>
        <v>0</v>
      </c>
      <c r="J214" s="206">
        <f t="shared" si="57"/>
        <v>0</v>
      </c>
      <c r="K214" s="206">
        <f t="shared" si="57"/>
        <v>0</v>
      </c>
      <c r="L214" s="206">
        <f t="shared" si="57"/>
        <v>0</v>
      </c>
      <c r="M214" s="297">
        <f t="shared" si="57"/>
        <v>0</v>
      </c>
      <c r="N214" s="206">
        <f t="shared" si="57"/>
        <v>0</v>
      </c>
      <c r="O214" s="206">
        <f t="shared" si="57"/>
        <v>186.15</v>
      </c>
      <c r="P214" s="206">
        <f t="shared" si="57"/>
        <v>204450</v>
      </c>
      <c r="Q214" s="206">
        <f t="shared" si="57"/>
        <v>0</v>
      </c>
      <c r="R214" s="206">
        <f t="shared" si="57"/>
        <v>0</v>
      </c>
      <c r="S214" s="206">
        <f t="shared" si="57"/>
        <v>0</v>
      </c>
      <c r="T214" s="206">
        <f t="shared" si="57"/>
        <v>0</v>
      </c>
      <c r="U214" s="206">
        <f t="shared" ref="U214:AG214" si="59">U215</f>
        <v>0</v>
      </c>
      <c r="V214" s="206">
        <f t="shared" si="59"/>
        <v>0</v>
      </c>
      <c r="W214" s="206">
        <f t="shared" si="59"/>
        <v>0</v>
      </c>
      <c r="X214" s="206">
        <f t="shared" si="59"/>
        <v>0</v>
      </c>
      <c r="Y214" s="206">
        <f t="shared" si="59"/>
        <v>0</v>
      </c>
      <c r="Z214" s="206">
        <f t="shared" si="59"/>
        <v>0</v>
      </c>
      <c r="AA214" s="206">
        <f t="shared" si="59"/>
        <v>0</v>
      </c>
      <c r="AB214" s="206">
        <f t="shared" si="59"/>
        <v>0</v>
      </c>
      <c r="AC214" s="206">
        <f t="shared" si="59"/>
        <v>0</v>
      </c>
      <c r="AD214" s="206">
        <f t="shared" si="59"/>
        <v>0</v>
      </c>
      <c r="AE214" s="206">
        <f t="shared" si="59"/>
        <v>3066.75</v>
      </c>
      <c r="AF214" s="206">
        <f t="shared" si="59"/>
        <v>0</v>
      </c>
      <c r="AG214" s="206">
        <f t="shared" si="59"/>
        <v>0</v>
      </c>
      <c r="AH214" s="298" t="s">
        <v>903</v>
      </c>
      <c r="AI214" s="298" t="s">
        <v>903</v>
      </c>
      <c r="AJ214" s="298" t="s">
        <v>903</v>
      </c>
      <c r="AK214" s="299"/>
    </row>
    <row r="215" spans="1:37" s="293" customFormat="1" ht="62.25" x14ac:dyDescent="0.9">
      <c r="A215" s="293">
        <v>1</v>
      </c>
      <c r="B215" s="294">
        <v>119</v>
      </c>
      <c r="C215" s="295" t="s">
        <v>1706</v>
      </c>
      <c r="D215" s="221" t="s">
        <v>1910</v>
      </c>
      <c r="E215" s="296">
        <v>0.99509999999999998</v>
      </c>
      <c r="F215" s="206">
        <f>P215+AE215</f>
        <v>207516.75</v>
      </c>
      <c r="G215" s="206">
        <v>0</v>
      </c>
      <c r="H215" s="206">
        <v>0</v>
      </c>
      <c r="I215" s="206">
        <v>0</v>
      </c>
      <c r="J215" s="206">
        <v>0</v>
      </c>
      <c r="K215" s="206">
        <v>0</v>
      </c>
      <c r="L215" s="206">
        <v>0</v>
      </c>
      <c r="M215" s="297">
        <v>0</v>
      </c>
      <c r="N215" s="206">
        <v>0</v>
      </c>
      <c r="O215" s="206">
        <v>186.15</v>
      </c>
      <c r="P215" s="206">
        <v>204450</v>
      </c>
      <c r="Q215" s="206">
        <v>0</v>
      </c>
      <c r="R215" s="206">
        <v>0</v>
      </c>
      <c r="S215" s="206">
        <v>0</v>
      </c>
      <c r="T215" s="229">
        <v>0</v>
      </c>
      <c r="U215" s="206">
        <v>0</v>
      </c>
      <c r="V215" s="206">
        <v>0</v>
      </c>
      <c r="W215" s="206">
        <v>0</v>
      </c>
      <c r="X215" s="206">
        <v>0</v>
      </c>
      <c r="Y215" s="206">
        <v>0</v>
      </c>
      <c r="Z215" s="206">
        <v>0</v>
      </c>
      <c r="AA215" s="206">
        <v>0</v>
      </c>
      <c r="AB215" s="206">
        <v>0</v>
      </c>
      <c r="AC215" s="206">
        <v>0</v>
      </c>
      <c r="AD215" s="206">
        <v>0</v>
      </c>
      <c r="AE215" s="206">
        <f>ROUND(P215*1.5%,2)</f>
        <v>3066.75</v>
      </c>
      <c r="AF215" s="206">
        <v>0</v>
      </c>
      <c r="AG215" s="206">
        <v>0</v>
      </c>
      <c r="AH215" s="298" t="s">
        <v>271</v>
      </c>
      <c r="AI215" s="298">
        <v>2020</v>
      </c>
      <c r="AJ215" s="298">
        <v>2020</v>
      </c>
      <c r="AK215" s="299"/>
    </row>
    <row r="216" spans="1:37" s="293" customFormat="1" ht="62.25" x14ac:dyDescent="0.9">
      <c r="B216" s="302" t="s">
        <v>866</v>
      </c>
      <c r="C216" s="295"/>
      <c r="D216" s="303" t="s">
        <v>903</v>
      </c>
      <c r="E216" s="296">
        <f t="shared" si="57"/>
        <v>0.981975146584529</v>
      </c>
      <c r="F216" s="206">
        <f t="shared" si="57"/>
        <v>29122.38</v>
      </c>
      <c r="G216" s="206">
        <f t="shared" si="57"/>
        <v>0</v>
      </c>
      <c r="H216" s="206">
        <f t="shared" si="57"/>
        <v>0</v>
      </c>
      <c r="I216" s="206">
        <f t="shared" si="57"/>
        <v>28692</v>
      </c>
      <c r="J216" s="206">
        <f t="shared" si="57"/>
        <v>0</v>
      </c>
      <c r="K216" s="206">
        <f t="shared" si="57"/>
        <v>0</v>
      </c>
      <c r="L216" s="206">
        <f t="shared" si="57"/>
        <v>0</v>
      </c>
      <c r="M216" s="297">
        <f t="shared" si="57"/>
        <v>0</v>
      </c>
      <c r="N216" s="206">
        <f t="shared" si="57"/>
        <v>0</v>
      </c>
      <c r="O216" s="206">
        <f t="shared" si="57"/>
        <v>0</v>
      </c>
      <c r="P216" s="206">
        <f t="shared" si="57"/>
        <v>0</v>
      </c>
      <c r="Q216" s="206">
        <f t="shared" si="57"/>
        <v>0</v>
      </c>
      <c r="R216" s="206">
        <f t="shared" si="57"/>
        <v>0</v>
      </c>
      <c r="S216" s="206">
        <f t="shared" si="57"/>
        <v>0</v>
      </c>
      <c r="T216" s="206">
        <f t="shared" si="57"/>
        <v>0</v>
      </c>
      <c r="U216" s="206">
        <f t="shared" ref="U216:AG216" si="60">U217</f>
        <v>0</v>
      </c>
      <c r="V216" s="206">
        <f t="shared" si="60"/>
        <v>0</v>
      </c>
      <c r="W216" s="206">
        <f t="shared" si="60"/>
        <v>0</v>
      </c>
      <c r="X216" s="206">
        <f t="shared" si="60"/>
        <v>0</v>
      </c>
      <c r="Y216" s="206">
        <f t="shared" si="60"/>
        <v>0</v>
      </c>
      <c r="Z216" s="206">
        <f t="shared" si="60"/>
        <v>0</v>
      </c>
      <c r="AA216" s="206">
        <f t="shared" si="60"/>
        <v>0</v>
      </c>
      <c r="AB216" s="206">
        <f t="shared" si="60"/>
        <v>0</v>
      </c>
      <c r="AC216" s="206">
        <f t="shared" si="60"/>
        <v>0</v>
      </c>
      <c r="AD216" s="206">
        <f t="shared" si="60"/>
        <v>0</v>
      </c>
      <c r="AE216" s="206">
        <f t="shared" si="60"/>
        <v>430.38</v>
      </c>
      <c r="AF216" s="206">
        <f t="shared" si="60"/>
        <v>0</v>
      </c>
      <c r="AG216" s="206">
        <f t="shared" si="60"/>
        <v>0</v>
      </c>
      <c r="AH216" s="298" t="s">
        <v>903</v>
      </c>
      <c r="AI216" s="298" t="s">
        <v>903</v>
      </c>
      <c r="AJ216" s="298" t="s">
        <v>903</v>
      </c>
      <c r="AK216" s="299"/>
    </row>
    <row r="217" spans="1:37" s="293" customFormat="1" ht="62.25" x14ac:dyDescent="0.9">
      <c r="A217" s="293">
        <v>1</v>
      </c>
      <c r="B217" s="294">
        <v>120</v>
      </c>
      <c r="C217" s="295" t="s">
        <v>1926</v>
      </c>
      <c r="D217" s="222">
        <v>2015</v>
      </c>
      <c r="E217" s="296">
        <v>0.981975146584529</v>
      </c>
      <c r="F217" s="206">
        <f>G217+H217+I217+J217+K217+L217+N217+P217+R217+T217+V217+W217+X217+Y217+Z217+AA217+AB217+AC217+AD217+AE217+AF217+AG217</f>
        <v>29122.38</v>
      </c>
      <c r="G217" s="206">
        <v>0</v>
      </c>
      <c r="H217" s="206">
        <v>0</v>
      </c>
      <c r="I217" s="206">
        <v>28692</v>
      </c>
      <c r="J217" s="206">
        <v>0</v>
      </c>
      <c r="K217" s="206">
        <v>0</v>
      </c>
      <c r="L217" s="206">
        <v>0</v>
      </c>
      <c r="M217" s="297">
        <v>0</v>
      </c>
      <c r="N217" s="206">
        <v>0</v>
      </c>
      <c r="O217" s="206">
        <v>0</v>
      </c>
      <c r="P217" s="206">
        <v>0</v>
      </c>
      <c r="Q217" s="206">
        <v>0</v>
      </c>
      <c r="R217" s="206">
        <v>0</v>
      </c>
      <c r="S217" s="206">
        <v>0</v>
      </c>
      <c r="T217" s="229">
        <v>0</v>
      </c>
      <c r="U217" s="206">
        <v>0</v>
      </c>
      <c r="V217" s="206">
        <v>0</v>
      </c>
      <c r="W217" s="206">
        <v>0</v>
      </c>
      <c r="X217" s="206">
        <v>0</v>
      </c>
      <c r="Y217" s="206">
        <v>0</v>
      </c>
      <c r="Z217" s="206">
        <v>0</v>
      </c>
      <c r="AA217" s="206">
        <v>0</v>
      </c>
      <c r="AB217" s="206">
        <v>0</v>
      </c>
      <c r="AC217" s="206">
        <v>0</v>
      </c>
      <c r="AD217" s="206">
        <v>0</v>
      </c>
      <c r="AE217" s="206">
        <f>ROUND(I217*1.5%,2)</f>
        <v>430.38</v>
      </c>
      <c r="AF217" s="206">
        <v>0</v>
      </c>
      <c r="AG217" s="206">
        <v>0</v>
      </c>
      <c r="AH217" s="298" t="s">
        <v>271</v>
      </c>
      <c r="AI217" s="298">
        <v>2020</v>
      </c>
      <c r="AJ217" s="298">
        <v>2020</v>
      </c>
      <c r="AK217" s="299"/>
    </row>
  </sheetData>
  <autoFilter ref="A67:AN217">
    <filterColumn colId="1" showButton="0"/>
  </autoFilter>
  <mergeCells count="34"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  <mergeCell ref="B10:AJ10"/>
    <mergeCell ref="W6:W7"/>
    <mergeCell ref="S6:T7"/>
    <mergeCell ref="M6:N7"/>
    <mergeCell ref="G6:L6"/>
    <mergeCell ref="U6:V7"/>
    <mergeCell ref="B67:C67"/>
    <mergeCell ref="B66:AJ66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J5:AJ8"/>
    <mergeCell ref="O6:P7"/>
    <mergeCell ref="Q6:R7"/>
    <mergeCell ref="AI5:AI8"/>
  </mergeCells>
  <phoneticPr fontId="44" type="noConversion"/>
  <pageMargins left="0.39370078740157483" right="0.39370078740157483" top="0.39370078740157483" bottom="0.39370078740157483" header="0" footer="0"/>
  <pageSetup paperSize="8" scale="1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6"/>
  <sheetViews>
    <sheetView topLeftCell="B1" zoomScale="30" zoomScaleNormal="30" workbookViewId="0">
      <selection activeCell="O66" sqref="O66:O216"/>
    </sheetView>
  </sheetViews>
  <sheetFormatPr defaultRowHeight="15" x14ac:dyDescent="0.25"/>
  <cols>
    <col min="1" max="1" width="9.140625" style="6" hidden="1" customWidth="1"/>
    <col min="2" max="2" width="15.85546875" style="6" customWidth="1"/>
    <col min="3" max="3" width="219.85546875" style="6" customWidth="1"/>
    <col min="4" max="4" width="21.42578125" style="6" customWidth="1"/>
    <col min="5" max="5" width="14.85546875" style="6" customWidth="1"/>
    <col min="6" max="6" width="74.28515625" style="6" customWidth="1"/>
    <col min="7" max="7" width="12.85546875" style="6" customWidth="1"/>
    <col min="8" max="8" width="13.85546875" style="6" customWidth="1"/>
    <col min="9" max="9" width="31.140625" style="6" customWidth="1"/>
    <col min="10" max="10" width="32.28515625" style="6" customWidth="1"/>
    <col min="11" max="11" width="32.5703125" style="6" customWidth="1"/>
    <col min="12" max="12" width="32.85546875" style="6" customWidth="1"/>
    <col min="13" max="13" width="42.28515625" style="6" customWidth="1"/>
    <col min="14" max="14" width="95.28515625" style="6" customWidth="1"/>
    <col min="15" max="15" width="45.5703125" style="6" customWidth="1"/>
    <col min="16" max="16" width="29.85546875" style="6" customWidth="1"/>
    <col min="17" max="17" width="25.5703125" style="6" customWidth="1"/>
    <col min="18" max="16384" width="9.140625" style="6"/>
  </cols>
  <sheetData>
    <row r="1" spans="1:17" ht="35.25" x14ac:dyDescent="0.5">
      <c r="B1" s="56"/>
      <c r="C1" s="56"/>
      <c r="D1" s="56"/>
      <c r="E1" s="56"/>
      <c r="F1" s="56"/>
      <c r="G1" s="57"/>
      <c r="H1" s="56"/>
      <c r="I1" s="56"/>
      <c r="J1" s="56"/>
      <c r="K1" s="56"/>
      <c r="L1" s="56"/>
      <c r="M1" s="100"/>
      <c r="N1" s="100"/>
      <c r="O1" s="510" t="s">
        <v>1065</v>
      </c>
      <c r="P1" s="510"/>
      <c r="Q1" s="510"/>
    </row>
    <row r="2" spans="1:17" ht="71.25" customHeight="1" x14ac:dyDescent="0.5">
      <c r="B2" s="56"/>
      <c r="C2" s="56"/>
      <c r="D2" s="56"/>
      <c r="E2" s="56"/>
      <c r="F2" s="56"/>
      <c r="G2" s="57"/>
      <c r="H2" s="56"/>
      <c r="I2" s="56"/>
      <c r="J2" s="56"/>
      <c r="K2" s="56"/>
      <c r="L2" s="56"/>
      <c r="M2" s="58"/>
      <c r="N2" s="511" t="s">
        <v>1066</v>
      </c>
      <c r="O2" s="511"/>
      <c r="P2" s="511"/>
      <c r="Q2" s="511"/>
    </row>
    <row r="3" spans="1:17" ht="201.75" customHeight="1" x14ac:dyDescent="0.25">
      <c r="B3" s="512" t="s">
        <v>1071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</row>
    <row r="4" spans="1:17" ht="35.25" x14ac:dyDescent="0.25">
      <c r="B4" s="513" t="s">
        <v>6</v>
      </c>
      <c r="C4" s="513" t="s">
        <v>1067</v>
      </c>
      <c r="D4" s="513" t="s">
        <v>251</v>
      </c>
      <c r="E4" s="514"/>
      <c r="F4" s="516" t="s">
        <v>252</v>
      </c>
      <c r="G4" s="517" t="s">
        <v>253</v>
      </c>
      <c r="H4" s="517" t="s">
        <v>254</v>
      </c>
      <c r="I4" s="516" t="s">
        <v>255</v>
      </c>
      <c r="J4" s="513" t="s">
        <v>256</v>
      </c>
      <c r="K4" s="514"/>
      <c r="L4" s="523" t="s">
        <v>1068</v>
      </c>
      <c r="M4" s="523" t="s">
        <v>1069</v>
      </c>
      <c r="N4" s="523" t="s">
        <v>257</v>
      </c>
      <c r="O4" s="528" t="s">
        <v>8</v>
      </c>
      <c r="P4" s="531" t="s">
        <v>259</v>
      </c>
      <c r="Q4" s="531" t="s">
        <v>260</v>
      </c>
    </row>
    <row r="5" spans="1:17" x14ac:dyDescent="0.25">
      <c r="B5" s="514"/>
      <c r="C5" s="514"/>
      <c r="D5" s="516" t="s">
        <v>261</v>
      </c>
      <c r="E5" s="517" t="s">
        <v>262</v>
      </c>
      <c r="F5" s="514"/>
      <c r="G5" s="518"/>
      <c r="H5" s="518"/>
      <c r="I5" s="514"/>
      <c r="J5" s="516" t="s">
        <v>263</v>
      </c>
      <c r="K5" s="517" t="s">
        <v>1070</v>
      </c>
      <c r="L5" s="524"/>
      <c r="M5" s="526"/>
      <c r="N5" s="526"/>
      <c r="O5" s="529"/>
      <c r="P5" s="532"/>
      <c r="Q5" s="532"/>
    </row>
    <row r="6" spans="1:17" ht="301.5" customHeight="1" x14ac:dyDescent="0.25">
      <c r="B6" s="514"/>
      <c r="C6" s="514"/>
      <c r="D6" s="514"/>
      <c r="E6" s="529"/>
      <c r="F6" s="514"/>
      <c r="G6" s="518"/>
      <c r="H6" s="518"/>
      <c r="I6" s="514"/>
      <c r="J6" s="514"/>
      <c r="K6" s="534"/>
      <c r="L6" s="525"/>
      <c r="M6" s="526"/>
      <c r="N6" s="526"/>
      <c r="O6" s="530"/>
      <c r="P6" s="532"/>
      <c r="Q6" s="532"/>
    </row>
    <row r="7" spans="1:17" ht="35.25" x14ac:dyDescent="0.25">
      <c r="B7" s="515"/>
      <c r="C7" s="515"/>
      <c r="D7" s="515"/>
      <c r="E7" s="533"/>
      <c r="F7" s="514"/>
      <c r="G7" s="519"/>
      <c r="H7" s="519"/>
      <c r="I7" s="59" t="s">
        <v>38</v>
      </c>
      <c r="J7" s="59" t="s">
        <v>38</v>
      </c>
      <c r="K7" s="59" t="s">
        <v>38</v>
      </c>
      <c r="L7" s="59" t="s">
        <v>266</v>
      </c>
      <c r="M7" s="527"/>
      <c r="N7" s="527"/>
      <c r="O7" s="59" t="s">
        <v>36</v>
      </c>
      <c r="P7" s="59" t="s">
        <v>267</v>
      </c>
      <c r="Q7" s="59" t="s">
        <v>267</v>
      </c>
    </row>
    <row r="8" spans="1:17" ht="35.25" x14ac:dyDescent="0.25"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60">
        <v>5.5697674418604599</v>
      </c>
      <c r="H8" s="60">
        <v>7</v>
      </c>
      <c r="I8" s="60">
        <v>8</v>
      </c>
      <c r="J8" s="60">
        <v>9</v>
      </c>
      <c r="K8" s="60">
        <v>10</v>
      </c>
      <c r="L8" s="59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</row>
    <row r="9" spans="1:17" ht="45.75" x14ac:dyDescent="0.25">
      <c r="B9" s="520" t="s">
        <v>1030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2"/>
    </row>
    <row r="10" spans="1:17" ht="35.25" x14ac:dyDescent="0.4">
      <c r="B10" s="94" t="s">
        <v>1064</v>
      </c>
      <c r="C10" s="95"/>
      <c r="D10" s="91" t="s">
        <v>903</v>
      </c>
      <c r="E10" s="91" t="s">
        <v>903</v>
      </c>
      <c r="F10" s="91" t="s">
        <v>903</v>
      </c>
      <c r="G10" s="91" t="s">
        <v>903</v>
      </c>
      <c r="H10" s="91" t="s">
        <v>903</v>
      </c>
      <c r="I10" s="93">
        <f>I11+I13+I23+I27+I29+I32+I35+I39+I41+I45+I49+I51+I53+I55+I59+I25+I61+I63+I43</f>
        <v>34576.28</v>
      </c>
      <c r="J10" s="93">
        <f t="shared" ref="J10:L10" si="0">J11+J13+J23+J27+J29+J32+J35+J39+J41+J45+J49+J51+J53+J55+J59+J25+J61+J63+J43</f>
        <v>26505.829999999998</v>
      </c>
      <c r="K10" s="93">
        <f t="shared" si="0"/>
        <v>23549.209999999995</v>
      </c>
      <c r="L10" s="97">
        <f t="shared" si="0"/>
        <v>1419</v>
      </c>
      <c r="M10" s="91" t="s">
        <v>903</v>
      </c>
      <c r="N10" s="91" t="s">
        <v>903</v>
      </c>
      <c r="O10" s="93">
        <v>84849769.13000001</v>
      </c>
      <c r="P10" s="92">
        <f>O10/I10</f>
        <v>2453.987795390366</v>
      </c>
      <c r="Q10" s="167">
        <f>MAX(Q11)</f>
        <v>11442.668502202645</v>
      </c>
    </row>
    <row r="11" spans="1:17" ht="35.25" x14ac:dyDescent="0.4">
      <c r="B11" s="94" t="s">
        <v>828</v>
      </c>
      <c r="C11" s="95"/>
      <c r="D11" s="91" t="s">
        <v>903</v>
      </c>
      <c r="E11" s="91" t="s">
        <v>903</v>
      </c>
      <c r="F11" s="91" t="s">
        <v>903</v>
      </c>
      <c r="G11" s="91" t="s">
        <v>903</v>
      </c>
      <c r="H11" s="91" t="s">
        <v>903</v>
      </c>
      <c r="I11" s="93">
        <f>I12</f>
        <v>792.7</v>
      </c>
      <c r="J11" s="93">
        <f>J12</f>
        <v>481</v>
      </c>
      <c r="K11" s="93">
        <f>K12</f>
        <v>481</v>
      </c>
      <c r="L11" s="97">
        <f>L12</f>
        <v>42</v>
      </c>
      <c r="M11" s="91" t="s">
        <v>903</v>
      </c>
      <c r="N11" s="91" t="s">
        <v>903</v>
      </c>
      <c r="O11" s="92">
        <v>2320165.87</v>
      </c>
      <c r="P11" s="92">
        <f t="shared" ref="P11:P64" si="1">O11/I11</f>
        <v>2926.9154408981958</v>
      </c>
      <c r="Q11" s="92">
        <f>MAX(Q12:Q64)</f>
        <v>11442.668502202645</v>
      </c>
    </row>
    <row r="12" spans="1:17" ht="35.25" x14ac:dyDescent="0.5">
      <c r="A12" s="6">
        <v>1</v>
      </c>
      <c r="B12" s="90">
        <f>SUBTOTAL(103,$A12:A$12)</f>
        <v>1</v>
      </c>
      <c r="C12" s="96" t="s">
        <v>1033</v>
      </c>
      <c r="D12" s="91">
        <v>1969</v>
      </c>
      <c r="E12" s="91"/>
      <c r="F12" s="91" t="s">
        <v>270</v>
      </c>
      <c r="G12" s="91">
        <v>2</v>
      </c>
      <c r="H12" s="91">
        <v>2</v>
      </c>
      <c r="I12" s="93">
        <v>792.7</v>
      </c>
      <c r="J12" s="93">
        <v>481</v>
      </c>
      <c r="K12" s="93">
        <f>J12</f>
        <v>481</v>
      </c>
      <c r="L12" s="97">
        <v>42</v>
      </c>
      <c r="M12" s="91" t="s">
        <v>269</v>
      </c>
      <c r="N12" s="91" t="s">
        <v>271</v>
      </c>
      <c r="O12" s="92">
        <v>2320165.87</v>
      </c>
      <c r="P12" s="92">
        <f t="shared" si="1"/>
        <v>2926.9154408981958</v>
      </c>
      <c r="Q12" s="167">
        <v>4331.1116096884061</v>
      </c>
    </row>
    <row r="13" spans="1:17" ht="35.25" x14ac:dyDescent="0.4">
      <c r="B13" s="96" t="s">
        <v>1060</v>
      </c>
      <c r="C13" s="96"/>
      <c r="D13" s="91" t="s">
        <v>903</v>
      </c>
      <c r="E13" s="91" t="s">
        <v>903</v>
      </c>
      <c r="F13" s="91" t="s">
        <v>903</v>
      </c>
      <c r="G13" s="91" t="s">
        <v>903</v>
      </c>
      <c r="H13" s="91" t="s">
        <v>903</v>
      </c>
      <c r="I13" s="93">
        <f>SUM(I14:I22)</f>
        <v>13095.9</v>
      </c>
      <c r="J13" s="93">
        <f>SUM(J14:J22)</f>
        <v>9093.0200000000023</v>
      </c>
      <c r="K13" s="93">
        <f>SUM(K14:K22)</f>
        <v>8308.7999999999993</v>
      </c>
      <c r="L13" s="97">
        <f>SUM(L14:L22)</f>
        <v>458</v>
      </c>
      <c r="M13" s="91" t="s">
        <v>903</v>
      </c>
      <c r="N13" s="91" t="s">
        <v>903</v>
      </c>
      <c r="O13" s="92">
        <v>20850310.030000001</v>
      </c>
      <c r="P13" s="92">
        <f t="shared" si="1"/>
        <v>1592.125018517246</v>
      </c>
      <c r="Q13" s="92">
        <f>MAX(Q14:Q22)</f>
        <v>11442.668502202645</v>
      </c>
    </row>
    <row r="14" spans="1:17" ht="35.25" x14ac:dyDescent="0.5">
      <c r="A14" s="6">
        <v>1</v>
      </c>
      <c r="B14" s="90">
        <f>SUBTOTAL(103,$A$12:A14)</f>
        <v>2</v>
      </c>
      <c r="C14" s="96" t="s">
        <v>1034</v>
      </c>
      <c r="D14" s="91">
        <v>1958</v>
      </c>
      <c r="E14" s="91"/>
      <c r="F14" s="91" t="s">
        <v>270</v>
      </c>
      <c r="G14" s="91">
        <v>5</v>
      </c>
      <c r="H14" s="91">
        <v>4</v>
      </c>
      <c r="I14" s="93">
        <v>5229.2</v>
      </c>
      <c r="J14" s="93">
        <v>2434.1</v>
      </c>
      <c r="K14" s="93">
        <f>J14-227.6</f>
        <v>2206.5</v>
      </c>
      <c r="L14" s="97">
        <v>121</v>
      </c>
      <c r="M14" s="91" t="s">
        <v>345</v>
      </c>
      <c r="N14" s="91" t="s">
        <v>1072</v>
      </c>
      <c r="O14" s="92">
        <v>6220368.3300000001</v>
      </c>
      <c r="P14" s="92">
        <f t="shared" si="1"/>
        <v>1189.5449265662053</v>
      </c>
      <c r="Q14" s="167">
        <v>1719.2437294423623</v>
      </c>
    </row>
    <row r="15" spans="1:17" ht="35.25" x14ac:dyDescent="0.5">
      <c r="A15" s="6">
        <v>1</v>
      </c>
      <c r="B15" s="90">
        <f>SUBTOTAL(103,$A$12:A15)</f>
        <v>3</v>
      </c>
      <c r="C15" s="96" t="s">
        <v>1035</v>
      </c>
      <c r="D15" s="91">
        <v>1979</v>
      </c>
      <c r="E15" s="91"/>
      <c r="F15" s="91" t="s">
        <v>270</v>
      </c>
      <c r="G15" s="91">
        <v>5</v>
      </c>
      <c r="H15" s="91">
        <v>1</v>
      </c>
      <c r="I15" s="93">
        <v>802.1</v>
      </c>
      <c r="J15" s="93">
        <v>554.20000000000005</v>
      </c>
      <c r="K15" s="93">
        <f>J15</f>
        <v>554.20000000000005</v>
      </c>
      <c r="L15" s="97">
        <v>25</v>
      </c>
      <c r="M15" s="91" t="s">
        <v>272</v>
      </c>
      <c r="N15" s="91" t="s">
        <v>1073</v>
      </c>
      <c r="O15" s="92">
        <v>987000</v>
      </c>
      <c r="P15" s="92">
        <f t="shared" si="1"/>
        <v>1230.5198853010845</v>
      </c>
      <c r="Q15" s="167">
        <v>1866.7727216057847</v>
      </c>
    </row>
    <row r="16" spans="1:17" ht="35.25" x14ac:dyDescent="0.5">
      <c r="A16" s="6">
        <v>1</v>
      </c>
      <c r="B16" s="90">
        <f>SUBTOTAL(103,$A$12:A16)</f>
        <v>4</v>
      </c>
      <c r="C16" s="96" t="s">
        <v>1036</v>
      </c>
      <c r="D16" s="91">
        <v>1961</v>
      </c>
      <c r="E16" s="91"/>
      <c r="F16" s="91" t="s">
        <v>270</v>
      </c>
      <c r="G16" s="91">
        <v>2</v>
      </c>
      <c r="H16" s="91">
        <v>1</v>
      </c>
      <c r="I16" s="93">
        <v>301.39999999999998</v>
      </c>
      <c r="J16" s="93">
        <v>276.5</v>
      </c>
      <c r="K16" s="93">
        <f>J16-38</f>
        <v>238.5</v>
      </c>
      <c r="L16" s="97">
        <v>16</v>
      </c>
      <c r="M16" s="91" t="s">
        <v>272</v>
      </c>
      <c r="N16" s="91" t="s">
        <v>1011</v>
      </c>
      <c r="O16" s="92">
        <v>1125039.6200000001</v>
      </c>
      <c r="P16" s="92">
        <f t="shared" si="1"/>
        <v>3732.7127405441279</v>
      </c>
      <c r="Q16" s="167">
        <v>5319.8403118779033</v>
      </c>
    </row>
    <row r="17" spans="1:17" ht="35.25" x14ac:dyDescent="0.5">
      <c r="A17" s="6">
        <v>1</v>
      </c>
      <c r="B17" s="90">
        <f>SUBTOTAL(103,$A$12:A17)</f>
        <v>5</v>
      </c>
      <c r="C17" s="96" t="s">
        <v>1049</v>
      </c>
      <c r="D17" s="91">
        <v>1957</v>
      </c>
      <c r="E17" s="91"/>
      <c r="F17" s="91" t="s">
        <v>270</v>
      </c>
      <c r="G17" s="91">
        <v>2</v>
      </c>
      <c r="H17" s="91">
        <v>1</v>
      </c>
      <c r="I17" s="93">
        <v>272.39999999999998</v>
      </c>
      <c r="J17" s="93">
        <v>194.8</v>
      </c>
      <c r="K17" s="93">
        <f>J17-37.2</f>
        <v>157.60000000000002</v>
      </c>
      <c r="L17" s="97">
        <v>14</v>
      </c>
      <c r="M17" s="91" t="s">
        <v>272</v>
      </c>
      <c r="N17" s="91" t="s">
        <v>1074</v>
      </c>
      <c r="O17" s="92">
        <v>1498191</v>
      </c>
      <c r="P17" s="92">
        <f t="shared" si="1"/>
        <v>5499.9669603524235</v>
      </c>
      <c r="Q17" s="167">
        <v>11442.668502202645</v>
      </c>
    </row>
    <row r="18" spans="1:17" ht="35.25" x14ac:dyDescent="0.5">
      <c r="A18" s="6">
        <v>1</v>
      </c>
      <c r="B18" s="90">
        <f>SUBTOTAL(103,$A$12:A18)</f>
        <v>6</v>
      </c>
      <c r="C18" s="96" t="s">
        <v>1094</v>
      </c>
      <c r="D18" s="91">
        <v>1960</v>
      </c>
      <c r="E18" s="91"/>
      <c r="F18" s="91" t="s">
        <v>270</v>
      </c>
      <c r="G18" s="91">
        <v>4</v>
      </c>
      <c r="H18" s="91">
        <v>4</v>
      </c>
      <c r="I18" s="93">
        <v>2738.8</v>
      </c>
      <c r="J18" s="93">
        <v>2498.1</v>
      </c>
      <c r="K18" s="93">
        <f>2498.1-114.3</f>
        <v>2383.7999999999997</v>
      </c>
      <c r="L18" s="97">
        <v>128</v>
      </c>
      <c r="M18" s="91" t="s">
        <v>272</v>
      </c>
      <c r="N18" s="91" t="s">
        <v>1093</v>
      </c>
      <c r="O18" s="92">
        <v>5363310.75</v>
      </c>
      <c r="P18" s="92">
        <f t="shared" si="1"/>
        <v>1958.2703191178616</v>
      </c>
      <c r="Q18" s="167">
        <v>2321.7091689791146</v>
      </c>
    </row>
    <row r="19" spans="1:17" ht="35.25" x14ac:dyDescent="0.5">
      <c r="A19" s="6">
        <v>1</v>
      </c>
      <c r="B19" s="90">
        <f>SUBTOTAL(103,$A$12:A19)</f>
        <v>7</v>
      </c>
      <c r="C19" s="89" t="s">
        <v>1101</v>
      </c>
      <c r="D19" s="91">
        <v>1956</v>
      </c>
      <c r="E19" s="91"/>
      <c r="F19" s="91" t="s">
        <v>270</v>
      </c>
      <c r="G19" s="91">
        <v>2</v>
      </c>
      <c r="H19" s="91">
        <v>1</v>
      </c>
      <c r="I19" s="93">
        <v>443</v>
      </c>
      <c r="J19" s="93">
        <v>397.1</v>
      </c>
      <c r="K19" s="93">
        <v>353.4</v>
      </c>
      <c r="L19" s="97">
        <v>24</v>
      </c>
      <c r="M19" s="91" t="s">
        <v>272</v>
      </c>
      <c r="N19" s="91" t="s">
        <v>1093</v>
      </c>
      <c r="O19" s="92">
        <v>2595067.46</v>
      </c>
      <c r="P19" s="92">
        <f t="shared" si="1"/>
        <v>5857.940090293454</v>
      </c>
      <c r="Q19" s="167">
        <v>8764.5360338600458</v>
      </c>
    </row>
    <row r="20" spans="1:17" ht="35.25" x14ac:dyDescent="0.5">
      <c r="A20" s="6">
        <v>1</v>
      </c>
      <c r="B20" s="90">
        <f>SUBTOTAL(103,$A$12:A20)</f>
        <v>8</v>
      </c>
      <c r="C20" s="89" t="s">
        <v>1102</v>
      </c>
      <c r="D20" s="91">
        <v>1956</v>
      </c>
      <c r="E20" s="91"/>
      <c r="F20" s="91" t="s">
        <v>270</v>
      </c>
      <c r="G20" s="91">
        <v>2</v>
      </c>
      <c r="H20" s="91">
        <v>1</v>
      </c>
      <c r="I20" s="93">
        <v>512.5</v>
      </c>
      <c r="J20" s="93">
        <v>324.10000000000002</v>
      </c>
      <c r="K20" s="93">
        <v>324.10000000000002</v>
      </c>
      <c r="L20" s="97">
        <v>25</v>
      </c>
      <c r="M20" s="91" t="s">
        <v>272</v>
      </c>
      <c r="N20" s="91" t="s">
        <v>1074</v>
      </c>
      <c r="O20" s="92">
        <v>50283.37</v>
      </c>
      <c r="P20" s="92">
        <f t="shared" si="1"/>
        <v>98.113892682926831</v>
      </c>
      <c r="Q20" s="167">
        <v>98.113892682926831</v>
      </c>
    </row>
    <row r="21" spans="1:17" ht="35.25" x14ac:dyDescent="0.5">
      <c r="A21" s="6">
        <v>1</v>
      </c>
      <c r="B21" s="90">
        <f>SUBTOTAL(103,$A$12:A21)</f>
        <v>9</v>
      </c>
      <c r="C21" s="89" t="s">
        <v>1417</v>
      </c>
      <c r="D21" s="91">
        <v>1957</v>
      </c>
      <c r="E21" s="91"/>
      <c r="F21" s="91" t="s">
        <v>270</v>
      </c>
      <c r="G21" s="91">
        <v>2</v>
      </c>
      <c r="H21" s="91">
        <v>1</v>
      </c>
      <c r="I21" s="93">
        <v>387.1</v>
      </c>
      <c r="J21" s="93">
        <v>387.1</v>
      </c>
      <c r="K21" s="93">
        <v>340.8</v>
      </c>
      <c r="L21" s="97">
        <v>20</v>
      </c>
      <c r="M21" s="91" t="s">
        <v>272</v>
      </c>
      <c r="N21" s="91" t="s">
        <v>1418</v>
      </c>
      <c r="O21" s="92">
        <v>1488549.4999999998</v>
      </c>
      <c r="P21" s="92">
        <f t="shared" ref="P21" si="2">O21/I21</f>
        <v>3845.3874967708593</v>
      </c>
      <c r="Q21" s="167">
        <v>6042.7655032291395</v>
      </c>
    </row>
    <row r="22" spans="1:17" ht="35.25" x14ac:dyDescent="0.5">
      <c r="A22" s="6">
        <v>1</v>
      </c>
      <c r="B22" s="90">
        <f>SUBTOTAL(103,$A$12:A22)</f>
        <v>10</v>
      </c>
      <c r="C22" s="89" t="s">
        <v>1746</v>
      </c>
      <c r="D22" s="91">
        <v>1965</v>
      </c>
      <c r="E22" s="91"/>
      <c r="F22" s="91" t="s">
        <v>270</v>
      </c>
      <c r="G22" s="91">
        <v>5</v>
      </c>
      <c r="H22" s="91">
        <v>2</v>
      </c>
      <c r="I22" s="93">
        <v>2409.4</v>
      </c>
      <c r="J22" s="93">
        <v>2027.02</v>
      </c>
      <c r="K22" s="93">
        <v>1749.9</v>
      </c>
      <c r="L22" s="97">
        <v>85</v>
      </c>
      <c r="M22" s="91" t="s">
        <v>268</v>
      </c>
      <c r="N22" s="91" t="s">
        <v>1398</v>
      </c>
      <c r="O22" s="92">
        <v>1522500</v>
      </c>
      <c r="P22" s="92">
        <f t="shared" si="1"/>
        <v>631.90005810575246</v>
      </c>
      <c r="Q22" s="167">
        <v>777.85696189922794</v>
      </c>
    </row>
    <row r="23" spans="1:17" ht="35.25" x14ac:dyDescent="0.4">
      <c r="B23" s="96" t="s">
        <v>832</v>
      </c>
      <c r="C23" s="96"/>
      <c r="D23" s="91" t="s">
        <v>903</v>
      </c>
      <c r="E23" s="91" t="s">
        <v>903</v>
      </c>
      <c r="F23" s="91" t="s">
        <v>903</v>
      </c>
      <c r="G23" s="91" t="s">
        <v>903</v>
      </c>
      <c r="H23" s="91" t="s">
        <v>903</v>
      </c>
      <c r="I23" s="93">
        <f>I24</f>
        <v>882.3</v>
      </c>
      <c r="J23" s="93">
        <f>J24</f>
        <v>779.5</v>
      </c>
      <c r="K23" s="93">
        <f>K24</f>
        <v>779.5</v>
      </c>
      <c r="L23" s="97">
        <f>L24</f>
        <v>29</v>
      </c>
      <c r="M23" s="91" t="s">
        <v>903</v>
      </c>
      <c r="N23" s="91" t="s">
        <v>903</v>
      </c>
      <c r="O23" s="92">
        <v>2196540.5</v>
      </c>
      <c r="P23" s="92">
        <f t="shared" si="1"/>
        <v>2489.5619403830897</v>
      </c>
      <c r="Q23" s="92">
        <f>Q24</f>
        <v>2735.1358812195399</v>
      </c>
    </row>
    <row r="24" spans="1:17" ht="35.25" x14ac:dyDescent="0.5">
      <c r="A24" s="6">
        <v>1</v>
      </c>
      <c r="B24" s="90">
        <f>SUBTOTAL(103,$A$12:A24)</f>
        <v>11</v>
      </c>
      <c r="C24" s="96" t="s">
        <v>687</v>
      </c>
      <c r="D24" s="91">
        <v>1982</v>
      </c>
      <c r="E24" s="91"/>
      <c r="F24" s="91" t="s">
        <v>270</v>
      </c>
      <c r="G24" s="91">
        <v>4</v>
      </c>
      <c r="H24" s="91">
        <v>1</v>
      </c>
      <c r="I24" s="93">
        <v>882.3</v>
      </c>
      <c r="J24" s="93">
        <v>779.5</v>
      </c>
      <c r="K24" s="93">
        <f>J24</f>
        <v>779.5</v>
      </c>
      <c r="L24" s="97">
        <v>29</v>
      </c>
      <c r="M24" s="91" t="s">
        <v>269</v>
      </c>
      <c r="N24" s="91" t="s">
        <v>271</v>
      </c>
      <c r="O24" s="92">
        <v>2196540.5</v>
      </c>
      <c r="P24" s="92">
        <f t="shared" si="1"/>
        <v>2489.5619403830897</v>
      </c>
      <c r="Q24" s="167">
        <v>2735.1358812195399</v>
      </c>
    </row>
    <row r="25" spans="1:17" ht="35.25" x14ac:dyDescent="0.5">
      <c r="B25" s="106" t="s">
        <v>836</v>
      </c>
      <c r="C25" s="96"/>
      <c r="D25" s="91" t="s">
        <v>903</v>
      </c>
      <c r="E25" s="91" t="s">
        <v>903</v>
      </c>
      <c r="F25" s="91" t="s">
        <v>903</v>
      </c>
      <c r="G25" s="91" t="s">
        <v>903</v>
      </c>
      <c r="H25" s="91" t="s">
        <v>903</v>
      </c>
      <c r="I25" s="93">
        <f>I26</f>
        <v>1813.2</v>
      </c>
      <c r="J25" s="93">
        <f>J26</f>
        <v>1042.3</v>
      </c>
      <c r="K25" s="93">
        <f>K26</f>
        <v>567</v>
      </c>
      <c r="L25" s="97">
        <f>L26</f>
        <v>156</v>
      </c>
      <c r="M25" s="91" t="s">
        <v>903</v>
      </c>
      <c r="N25" s="91" t="s">
        <v>903</v>
      </c>
      <c r="O25" s="92">
        <v>6235729.1299999999</v>
      </c>
      <c r="P25" s="92">
        <f t="shared" si="1"/>
        <v>3439.0740844915067</v>
      </c>
      <c r="Q25" s="92">
        <f>Q26</f>
        <v>3718.1591363335538</v>
      </c>
    </row>
    <row r="26" spans="1:17" ht="35.25" x14ac:dyDescent="0.5">
      <c r="A26" s="6">
        <v>1</v>
      </c>
      <c r="B26" s="90">
        <f>SUBTOTAL(103,$A$12:A26)</f>
        <v>12</v>
      </c>
      <c r="C26" s="96" t="s">
        <v>1084</v>
      </c>
      <c r="D26" s="91">
        <v>2007</v>
      </c>
      <c r="E26" s="91"/>
      <c r="F26" s="91" t="s">
        <v>270</v>
      </c>
      <c r="G26" s="91">
        <v>3</v>
      </c>
      <c r="H26" s="91">
        <v>3</v>
      </c>
      <c r="I26" s="93">
        <v>1813.2</v>
      </c>
      <c r="J26" s="93">
        <v>1042.3</v>
      </c>
      <c r="K26" s="93">
        <f>J26-475.3</f>
        <v>567</v>
      </c>
      <c r="L26" s="97">
        <v>156</v>
      </c>
      <c r="M26" s="91" t="s">
        <v>272</v>
      </c>
      <c r="N26" s="91" t="s">
        <v>1086</v>
      </c>
      <c r="O26" s="92">
        <v>6235729.1299999999</v>
      </c>
      <c r="P26" s="92">
        <f t="shared" si="1"/>
        <v>3439.0740844915067</v>
      </c>
      <c r="Q26" s="167">
        <v>3718.1591363335538</v>
      </c>
    </row>
    <row r="27" spans="1:17" ht="35.25" x14ac:dyDescent="0.4">
      <c r="B27" s="96" t="s">
        <v>837</v>
      </c>
      <c r="C27" s="96"/>
      <c r="D27" s="91" t="s">
        <v>903</v>
      </c>
      <c r="E27" s="91" t="s">
        <v>903</v>
      </c>
      <c r="F27" s="91" t="s">
        <v>903</v>
      </c>
      <c r="G27" s="91" t="s">
        <v>903</v>
      </c>
      <c r="H27" s="91" t="s">
        <v>903</v>
      </c>
      <c r="I27" s="93">
        <f>I28</f>
        <v>366.5</v>
      </c>
      <c r="J27" s="93">
        <f>J28</f>
        <v>336.9</v>
      </c>
      <c r="K27" s="93">
        <f>K28</f>
        <v>336.9</v>
      </c>
      <c r="L27" s="97">
        <f>L28</f>
        <v>13</v>
      </c>
      <c r="M27" s="91" t="s">
        <v>903</v>
      </c>
      <c r="N27" s="91" t="s">
        <v>903</v>
      </c>
      <c r="O27" s="92">
        <v>1370556.38</v>
      </c>
      <c r="P27" s="92">
        <f t="shared" si="1"/>
        <v>3739.5808458390175</v>
      </c>
      <c r="Q27" s="92">
        <f>Q28</f>
        <v>4984.3188212824007</v>
      </c>
    </row>
    <row r="28" spans="1:17" ht="35.25" x14ac:dyDescent="0.5">
      <c r="A28" s="6">
        <v>1</v>
      </c>
      <c r="B28" s="90">
        <f>SUBTOTAL(103,$A$12:A28)</f>
        <v>13</v>
      </c>
      <c r="C28" s="96" t="s">
        <v>1037</v>
      </c>
      <c r="D28" s="91">
        <v>1971</v>
      </c>
      <c r="E28" s="91"/>
      <c r="F28" s="91" t="s">
        <v>270</v>
      </c>
      <c r="G28" s="91">
        <v>2</v>
      </c>
      <c r="H28" s="91">
        <v>1</v>
      </c>
      <c r="I28" s="93">
        <v>366.5</v>
      </c>
      <c r="J28" s="93">
        <v>336.9</v>
      </c>
      <c r="K28" s="93">
        <f>J28</f>
        <v>336.9</v>
      </c>
      <c r="L28" s="97">
        <v>13</v>
      </c>
      <c r="M28" s="91" t="s">
        <v>272</v>
      </c>
      <c r="N28" s="91" t="s">
        <v>337</v>
      </c>
      <c r="O28" s="92">
        <v>1370556.38</v>
      </c>
      <c r="P28" s="92">
        <f t="shared" si="1"/>
        <v>3739.5808458390175</v>
      </c>
      <c r="Q28" s="167">
        <v>4984.3188212824007</v>
      </c>
    </row>
    <row r="29" spans="1:17" ht="35.25" x14ac:dyDescent="0.4">
      <c r="B29" s="96" t="s">
        <v>1061</v>
      </c>
      <c r="C29" s="96"/>
      <c r="D29" s="91" t="s">
        <v>903</v>
      </c>
      <c r="E29" s="91" t="s">
        <v>903</v>
      </c>
      <c r="F29" s="91" t="s">
        <v>903</v>
      </c>
      <c r="G29" s="91" t="s">
        <v>903</v>
      </c>
      <c r="H29" s="91" t="s">
        <v>903</v>
      </c>
      <c r="I29" s="93">
        <f>I30+I31</f>
        <v>874.3</v>
      </c>
      <c r="J29" s="93">
        <f>J30+J31</f>
        <v>820.40000000000009</v>
      </c>
      <c r="K29" s="93">
        <f>K30+K31</f>
        <v>653.30000000000007</v>
      </c>
      <c r="L29" s="97">
        <f>L30+L31</f>
        <v>38</v>
      </c>
      <c r="M29" s="91" t="s">
        <v>903</v>
      </c>
      <c r="N29" s="91" t="s">
        <v>903</v>
      </c>
      <c r="O29" s="92">
        <v>3267157.84</v>
      </c>
      <c r="P29" s="92">
        <f t="shared" si="1"/>
        <v>3736.8841816310191</v>
      </c>
      <c r="Q29" s="92">
        <f>MAX(Q30:Q31)</f>
        <v>5045.2985741647153</v>
      </c>
    </row>
    <row r="30" spans="1:17" ht="35.25" x14ac:dyDescent="0.5">
      <c r="A30" s="6">
        <v>1</v>
      </c>
      <c r="B30" s="90">
        <f>SUBTOTAL(103,$A$12:A30)</f>
        <v>14</v>
      </c>
      <c r="C30" s="96" t="s">
        <v>1038</v>
      </c>
      <c r="D30" s="91">
        <v>1938</v>
      </c>
      <c r="E30" s="91"/>
      <c r="F30" s="91" t="s">
        <v>334</v>
      </c>
      <c r="G30" s="91">
        <v>2</v>
      </c>
      <c r="H30" s="91">
        <v>2</v>
      </c>
      <c r="I30" s="93">
        <v>469.9</v>
      </c>
      <c r="J30" s="93">
        <v>418.1</v>
      </c>
      <c r="K30" s="93">
        <f>J30-167.1</f>
        <v>251.00000000000003</v>
      </c>
      <c r="L30" s="97">
        <v>19</v>
      </c>
      <c r="M30" s="91" t="s">
        <v>269</v>
      </c>
      <c r="N30" s="91" t="s">
        <v>271</v>
      </c>
      <c r="O30" s="92">
        <v>1784676.59</v>
      </c>
      <c r="P30" s="92">
        <f t="shared" si="1"/>
        <v>3797.9923175143649</v>
      </c>
      <c r="Q30" s="167">
        <v>5045.2985741647153</v>
      </c>
    </row>
    <row r="31" spans="1:17" ht="35.25" x14ac:dyDescent="0.5">
      <c r="A31" s="6">
        <v>1</v>
      </c>
      <c r="B31" s="90">
        <f>SUBTOTAL(103,$A$12:A31)</f>
        <v>15</v>
      </c>
      <c r="C31" s="96" t="s">
        <v>1039</v>
      </c>
      <c r="D31" s="91">
        <v>1950</v>
      </c>
      <c r="E31" s="91"/>
      <c r="F31" s="91" t="s">
        <v>334</v>
      </c>
      <c r="G31" s="91">
        <v>2</v>
      </c>
      <c r="H31" s="91">
        <v>2</v>
      </c>
      <c r="I31" s="93">
        <v>404.4</v>
      </c>
      <c r="J31" s="93">
        <v>402.3</v>
      </c>
      <c r="K31" s="93">
        <f>J31</f>
        <v>402.3</v>
      </c>
      <c r="L31" s="97">
        <v>19</v>
      </c>
      <c r="M31" s="91" t="s">
        <v>269</v>
      </c>
      <c r="N31" s="91" t="s">
        <v>271</v>
      </c>
      <c r="O31" s="92">
        <v>1482481.25</v>
      </c>
      <c r="P31" s="92">
        <f t="shared" si="1"/>
        <v>3665.8784619188923</v>
      </c>
      <c r="Q31" s="167">
        <v>4227.5366236399605</v>
      </c>
    </row>
    <row r="32" spans="1:17" ht="35.25" x14ac:dyDescent="0.4">
      <c r="B32" s="96" t="s">
        <v>844</v>
      </c>
      <c r="C32" s="96"/>
      <c r="D32" s="91" t="s">
        <v>903</v>
      </c>
      <c r="E32" s="91" t="s">
        <v>903</v>
      </c>
      <c r="F32" s="91" t="s">
        <v>903</v>
      </c>
      <c r="G32" s="91" t="s">
        <v>903</v>
      </c>
      <c r="H32" s="91" t="s">
        <v>903</v>
      </c>
      <c r="I32" s="93">
        <f>I33+I34</f>
        <v>845.48</v>
      </c>
      <c r="J32" s="93">
        <f>J33+J34</f>
        <v>724.81000000000006</v>
      </c>
      <c r="K32" s="93">
        <f>K33+K34</f>
        <v>544.31000000000006</v>
      </c>
      <c r="L32" s="97">
        <f>L33+L34</f>
        <v>48</v>
      </c>
      <c r="M32" s="91" t="s">
        <v>903</v>
      </c>
      <c r="N32" s="91" t="s">
        <v>903</v>
      </c>
      <c r="O32" s="92">
        <v>4001546.48</v>
      </c>
      <c r="P32" s="92">
        <f t="shared" si="1"/>
        <v>4732.8694705965845</v>
      </c>
      <c r="Q32" s="92">
        <f>MAX(Q33:Q34)</f>
        <v>7918.5612167146983</v>
      </c>
    </row>
    <row r="33" spans="1:17" ht="35.25" x14ac:dyDescent="0.5">
      <c r="A33" s="6">
        <v>1</v>
      </c>
      <c r="B33" s="90">
        <f>SUBTOTAL(103,$A$12:A33)</f>
        <v>16</v>
      </c>
      <c r="C33" s="96" t="s">
        <v>1059</v>
      </c>
      <c r="D33" s="91">
        <v>1962</v>
      </c>
      <c r="E33" s="91"/>
      <c r="F33" s="91" t="s">
        <v>270</v>
      </c>
      <c r="G33" s="91">
        <v>2</v>
      </c>
      <c r="H33" s="91">
        <v>2</v>
      </c>
      <c r="I33" s="93">
        <v>671.98</v>
      </c>
      <c r="J33" s="93">
        <v>624.21</v>
      </c>
      <c r="K33" s="93">
        <f>J33-79.9</f>
        <v>544.31000000000006</v>
      </c>
      <c r="L33" s="97">
        <v>38</v>
      </c>
      <c r="M33" s="91" t="s">
        <v>272</v>
      </c>
      <c r="N33" s="91" t="s">
        <v>288</v>
      </c>
      <c r="O33" s="92">
        <v>2852994.35</v>
      </c>
      <c r="P33" s="92">
        <f t="shared" si="1"/>
        <v>4245.6536652876575</v>
      </c>
      <c r="Q33" s="167">
        <v>5509.7156915384385</v>
      </c>
    </row>
    <row r="34" spans="1:17" ht="35.25" x14ac:dyDescent="0.5">
      <c r="A34" s="6">
        <v>1</v>
      </c>
      <c r="B34" s="90">
        <f>SUBTOTAL(103,$A$12:A34)</f>
        <v>17</v>
      </c>
      <c r="C34" s="96" t="s">
        <v>1040</v>
      </c>
      <c r="D34" s="91">
        <v>1964</v>
      </c>
      <c r="E34" s="91"/>
      <c r="F34" s="91" t="s">
        <v>270</v>
      </c>
      <c r="G34" s="91">
        <v>2</v>
      </c>
      <c r="H34" s="91">
        <v>1</v>
      </c>
      <c r="I34" s="93">
        <v>173.5</v>
      </c>
      <c r="J34" s="93">
        <v>100.6</v>
      </c>
      <c r="K34" s="93">
        <v>0</v>
      </c>
      <c r="L34" s="97">
        <v>10</v>
      </c>
      <c r="M34" s="91" t="s">
        <v>269</v>
      </c>
      <c r="N34" s="91" t="s">
        <v>271</v>
      </c>
      <c r="O34" s="92">
        <v>1148552.1299999999</v>
      </c>
      <c r="P34" s="92">
        <f t="shared" si="1"/>
        <v>6619.8970028818439</v>
      </c>
      <c r="Q34" s="167">
        <v>7918.5612167146983</v>
      </c>
    </row>
    <row r="35" spans="1:17" ht="35.25" x14ac:dyDescent="0.4">
      <c r="B35" s="96" t="s">
        <v>773</v>
      </c>
      <c r="C35" s="96"/>
      <c r="D35" s="91" t="s">
        <v>903</v>
      </c>
      <c r="E35" s="91" t="s">
        <v>903</v>
      </c>
      <c r="F35" s="91" t="s">
        <v>903</v>
      </c>
      <c r="G35" s="91" t="s">
        <v>903</v>
      </c>
      <c r="H35" s="91" t="s">
        <v>903</v>
      </c>
      <c r="I35" s="93">
        <f>I36+I37+I38</f>
        <v>2093.1</v>
      </c>
      <c r="J35" s="93">
        <f>J36+J37+J38</f>
        <v>1503.4</v>
      </c>
      <c r="K35" s="93">
        <f>K36+K37+K38</f>
        <v>1335</v>
      </c>
      <c r="L35" s="97">
        <f>L36+L37+L38</f>
        <v>110</v>
      </c>
      <c r="M35" s="91" t="s">
        <v>903</v>
      </c>
      <c r="N35" s="91" t="s">
        <v>903</v>
      </c>
      <c r="O35" s="92">
        <v>5860829.3999999994</v>
      </c>
      <c r="P35" s="92">
        <f t="shared" si="1"/>
        <v>2800.0713773828293</v>
      </c>
      <c r="Q35" s="92">
        <f>MAX(Q36:Q38)</f>
        <v>5402.89606</v>
      </c>
    </row>
    <row r="36" spans="1:17" ht="35.25" x14ac:dyDescent="0.5">
      <c r="A36" s="6">
        <v>1</v>
      </c>
      <c r="B36" s="90">
        <f>SUBTOTAL(103,$A$12:A36)</f>
        <v>18</v>
      </c>
      <c r="C36" s="96" t="s">
        <v>1041</v>
      </c>
      <c r="D36" s="91">
        <v>1960</v>
      </c>
      <c r="E36" s="91"/>
      <c r="F36" s="91" t="s">
        <v>270</v>
      </c>
      <c r="G36" s="91">
        <v>2</v>
      </c>
      <c r="H36" s="91">
        <v>1</v>
      </c>
      <c r="I36" s="93">
        <v>306.60000000000002</v>
      </c>
      <c r="J36" s="93">
        <v>285.8</v>
      </c>
      <c r="K36" s="93">
        <f>J36-33.2</f>
        <v>252.60000000000002</v>
      </c>
      <c r="L36" s="97">
        <v>21</v>
      </c>
      <c r="M36" s="91" t="s">
        <v>269</v>
      </c>
      <c r="N36" s="91" t="s">
        <v>271</v>
      </c>
      <c r="O36" s="92">
        <v>1040984.0299999999</v>
      </c>
      <c r="P36" s="92">
        <f t="shared" si="1"/>
        <v>3395.2512393998691</v>
      </c>
      <c r="Q36" s="167">
        <v>4198.7498023483367</v>
      </c>
    </row>
    <row r="37" spans="1:17" ht="35.25" x14ac:dyDescent="0.5">
      <c r="A37" s="6">
        <v>1</v>
      </c>
      <c r="B37" s="90">
        <f>SUBTOTAL(103,$A$12:A37)</f>
        <v>19</v>
      </c>
      <c r="C37" s="96" t="s">
        <v>797</v>
      </c>
      <c r="D37" s="91">
        <v>1960</v>
      </c>
      <c r="E37" s="91"/>
      <c r="F37" s="91" t="s">
        <v>270</v>
      </c>
      <c r="G37" s="91">
        <v>3</v>
      </c>
      <c r="H37" s="91">
        <v>2</v>
      </c>
      <c r="I37" s="93">
        <v>1286.5</v>
      </c>
      <c r="J37" s="93">
        <v>739.6</v>
      </c>
      <c r="K37" s="93">
        <f>J37-65.9</f>
        <v>673.7</v>
      </c>
      <c r="L37" s="97">
        <v>39</v>
      </c>
      <c r="M37" s="91" t="s">
        <v>269</v>
      </c>
      <c r="N37" s="91" t="s">
        <v>271</v>
      </c>
      <c r="O37" s="92">
        <v>2764152.46</v>
      </c>
      <c r="P37" s="92">
        <f t="shared" si="1"/>
        <v>2148.5833346288377</v>
      </c>
      <c r="Q37" s="167">
        <v>2793.3246482705013</v>
      </c>
    </row>
    <row r="38" spans="1:17" ht="35.25" x14ac:dyDescent="0.5">
      <c r="A38" s="6">
        <v>1</v>
      </c>
      <c r="B38" s="90">
        <f>SUBTOTAL(103,$A$12:A38)</f>
        <v>20</v>
      </c>
      <c r="C38" s="96" t="s">
        <v>789</v>
      </c>
      <c r="D38" s="91">
        <v>1965</v>
      </c>
      <c r="E38" s="91"/>
      <c r="F38" s="91" t="s">
        <v>270</v>
      </c>
      <c r="G38" s="91">
        <v>2</v>
      </c>
      <c r="H38" s="91">
        <v>3</v>
      </c>
      <c r="I38" s="93">
        <v>500</v>
      </c>
      <c r="J38" s="93">
        <v>478</v>
      </c>
      <c r="K38" s="93">
        <f>J38-69.3</f>
        <v>408.7</v>
      </c>
      <c r="L38" s="97">
        <v>50</v>
      </c>
      <c r="M38" s="91" t="s">
        <v>269</v>
      </c>
      <c r="N38" s="91" t="s">
        <v>271</v>
      </c>
      <c r="O38" s="92">
        <v>2055692.91</v>
      </c>
      <c r="P38" s="92">
        <f t="shared" si="1"/>
        <v>4111.3858199999995</v>
      </c>
      <c r="Q38" s="167">
        <v>5402.89606</v>
      </c>
    </row>
    <row r="39" spans="1:17" ht="35.25" x14ac:dyDescent="0.4">
      <c r="B39" s="96" t="s">
        <v>851</v>
      </c>
      <c r="C39" s="96"/>
      <c r="D39" s="91" t="s">
        <v>903</v>
      </c>
      <c r="E39" s="91" t="s">
        <v>903</v>
      </c>
      <c r="F39" s="91" t="s">
        <v>903</v>
      </c>
      <c r="G39" s="91" t="s">
        <v>903</v>
      </c>
      <c r="H39" s="91" t="s">
        <v>903</v>
      </c>
      <c r="I39" s="93">
        <f>I40</f>
        <v>755.8</v>
      </c>
      <c r="J39" s="93">
        <f>J40</f>
        <v>690.5</v>
      </c>
      <c r="K39" s="93">
        <f>K40</f>
        <v>391.9</v>
      </c>
      <c r="L39" s="97">
        <f>L40</f>
        <v>20</v>
      </c>
      <c r="M39" s="91" t="s">
        <v>903</v>
      </c>
      <c r="N39" s="91" t="s">
        <v>903</v>
      </c>
      <c r="O39" s="92">
        <v>2144299</v>
      </c>
      <c r="P39" s="92">
        <f t="shared" si="1"/>
        <v>2837.1249007673991</v>
      </c>
      <c r="Q39" s="92">
        <f>Q40</f>
        <v>3704.9615973802597</v>
      </c>
    </row>
    <row r="40" spans="1:17" ht="35.25" x14ac:dyDescent="0.5">
      <c r="A40" s="6">
        <v>1</v>
      </c>
      <c r="B40" s="90">
        <f>SUBTOTAL(103,$A$12:A40)</f>
        <v>21</v>
      </c>
      <c r="C40" s="96" t="s">
        <v>1042</v>
      </c>
      <c r="D40" s="91">
        <v>1953</v>
      </c>
      <c r="E40" s="91"/>
      <c r="F40" s="91" t="s">
        <v>270</v>
      </c>
      <c r="G40" s="91">
        <v>2</v>
      </c>
      <c r="H40" s="91">
        <v>2</v>
      </c>
      <c r="I40" s="93">
        <v>755.8</v>
      </c>
      <c r="J40" s="93">
        <v>690.5</v>
      </c>
      <c r="K40" s="93">
        <f>J40-298.6</f>
        <v>391.9</v>
      </c>
      <c r="L40" s="97">
        <v>20</v>
      </c>
      <c r="M40" s="91" t="s">
        <v>269</v>
      </c>
      <c r="N40" s="91" t="s">
        <v>271</v>
      </c>
      <c r="O40" s="92">
        <v>2144299</v>
      </c>
      <c r="P40" s="92">
        <f t="shared" si="1"/>
        <v>2837.1249007673991</v>
      </c>
      <c r="Q40" s="167">
        <v>3704.9615973802597</v>
      </c>
    </row>
    <row r="41" spans="1:17" ht="35.25" x14ac:dyDescent="0.4">
      <c r="B41" s="96" t="s">
        <v>853</v>
      </c>
      <c r="C41" s="96"/>
      <c r="D41" s="91" t="s">
        <v>903</v>
      </c>
      <c r="E41" s="91" t="s">
        <v>903</v>
      </c>
      <c r="F41" s="91" t="s">
        <v>903</v>
      </c>
      <c r="G41" s="91" t="s">
        <v>903</v>
      </c>
      <c r="H41" s="91" t="s">
        <v>903</v>
      </c>
      <c r="I41" s="93">
        <f>I42</f>
        <v>1840.2</v>
      </c>
      <c r="J41" s="93">
        <f>J42</f>
        <v>1606</v>
      </c>
      <c r="K41" s="93">
        <f>K42</f>
        <v>1461.2</v>
      </c>
      <c r="L41" s="97">
        <f>L42</f>
        <v>77</v>
      </c>
      <c r="M41" s="91" t="s">
        <v>903</v>
      </c>
      <c r="N41" s="91" t="s">
        <v>903</v>
      </c>
      <c r="O41" s="92">
        <v>5635847.5700000003</v>
      </c>
      <c r="P41" s="92">
        <f t="shared" si="1"/>
        <v>3062.6277415498316</v>
      </c>
      <c r="Q41" s="92">
        <f>Q42</f>
        <v>3508.429102977937</v>
      </c>
    </row>
    <row r="42" spans="1:17" ht="35.25" x14ac:dyDescent="0.5">
      <c r="A42" s="6">
        <v>1</v>
      </c>
      <c r="B42" s="90">
        <f>SUBTOTAL(103,$A$12:A42)</f>
        <v>22</v>
      </c>
      <c r="C42" s="96" t="s">
        <v>1043</v>
      </c>
      <c r="D42" s="91">
        <v>1986</v>
      </c>
      <c r="E42" s="91"/>
      <c r="F42" s="91" t="s">
        <v>270</v>
      </c>
      <c r="G42" s="91">
        <v>3</v>
      </c>
      <c r="H42" s="91">
        <v>3</v>
      </c>
      <c r="I42" s="93">
        <v>1840.2</v>
      </c>
      <c r="J42" s="93">
        <v>1606</v>
      </c>
      <c r="K42" s="93">
        <f>J42-144.8</f>
        <v>1461.2</v>
      </c>
      <c r="L42" s="97">
        <v>77</v>
      </c>
      <c r="M42" s="91" t="s">
        <v>345</v>
      </c>
      <c r="N42" s="91" t="s">
        <v>1075</v>
      </c>
      <c r="O42" s="92">
        <v>5635847.5700000003</v>
      </c>
      <c r="P42" s="92">
        <f t="shared" si="1"/>
        <v>3062.6277415498316</v>
      </c>
      <c r="Q42" s="167">
        <v>3508.429102977937</v>
      </c>
    </row>
    <row r="43" spans="1:17" ht="35.25" x14ac:dyDescent="0.4">
      <c r="B43" s="96" t="s">
        <v>1729</v>
      </c>
      <c r="C43" s="96"/>
      <c r="D43" s="91" t="s">
        <v>903</v>
      </c>
      <c r="E43" s="91" t="s">
        <v>903</v>
      </c>
      <c r="F43" s="91" t="s">
        <v>903</v>
      </c>
      <c r="G43" s="91" t="s">
        <v>903</v>
      </c>
      <c r="H43" s="91" t="s">
        <v>903</v>
      </c>
      <c r="I43" s="93">
        <f>I44</f>
        <v>1257.7</v>
      </c>
      <c r="J43" s="93">
        <f>J44</f>
        <v>732.5</v>
      </c>
      <c r="K43" s="93">
        <f>K44</f>
        <v>732.5</v>
      </c>
      <c r="L43" s="97">
        <f>L44</f>
        <v>36</v>
      </c>
      <c r="M43" s="91" t="s">
        <v>903</v>
      </c>
      <c r="N43" s="91" t="s">
        <v>903</v>
      </c>
      <c r="O43" s="92">
        <v>3672464.4</v>
      </c>
      <c r="P43" s="92">
        <f t="shared" ref="P43:P44" si="3">O43/I43</f>
        <v>2919.9844159974555</v>
      </c>
      <c r="Q43" s="92">
        <f>Q44</f>
        <v>3296.7954090800667</v>
      </c>
    </row>
    <row r="44" spans="1:17" ht="35.25" x14ac:dyDescent="0.5">
      <c r="A44" s="6">
        <v>1</v>
      </c>
      <c r="B44" s="90">
        <f>SUBTOTAL(103,$A$12:A44)</f>
        <v>23</v>
      </c>
      <c r="C44" s="96" t="s">
        <v>1728</v>
      </c>
      <c r="D44" s="91">
        <v>1972</v>
      </c>
      <c r="E44" s="91"/>
      <c r="F44" s="91" t="s">
        <v>270</v>
      </c>
      <c r="G44" s="91">
        <v>2</v>
      </c>
      <c r="H44" s="91">
        <v>2</v>
      </c>
      <c r="I44" s="93">
        <v>1257.7</v>
      </c>
      <c r="J44" s="93">
        <v>732.5</v>
      </c>
      <c r="K44" s="93">
        <f>J44</f>
        <v>732.5</v>
      </c>
      <c r="L44" s="97">
        <v>36</v>
      </c>
      <c r="M44" s="91" t="s">
        <v>345</v>
      </c>
      <c r="N44" s="91" t="s">
        <v>1730</v>
      </c>
      <c r="O44" s="92">
        <v>3672464.4</v>
      </c>
      <c r="P44" s="92">
        <f t="shared" si="3"/>
        <v>2919.9844159974555</v>
      </c>
      <c r="Q44" s="167">
        <v>3296.7954090800667</v>
      </c>
    </row>
    <row r="45" spans="1:17" ht="35.25" x14ac:dyDescent="0.4">
      <c r="B45" s="96" t="s">
        <v>1062</v>
      </c>
      <c r="C45" s="96"/>
      <c r="D45" s="91" t="s">
        <v>903</v>
      </c>
      <c r="E45" s="91" t="s">
        <v>903</v>
      </c>
      <c r="F45" s="91" t="s">
        <v>903</v>
      </c>
      <c r="G45" s="91" t="s">
        <v>903</v>
      </c>
      <c r="H45" s="91" t="s">
        <v>903</v>
      </c>
      <c r="I45" s="93">
        <f>I46+I47+I48</f>
        <v>1542</v>
      </c>
      <c r="J45" s="93">
        <f>J46+J47+J48</f>
        <v>1398.2</v>
      </c>
      <c r="K45" s="93">
        <f>K46+K47+K48</f>
        <v>1169.9000000000001</v>
      </c>
      <c r="L45" s="97">
        <f>L46+L47+L48</f>
        <v>58</v>
      </c>
      <c r="M45" s="91" t="s">
        <v>903</v>
      </c>
      <c r="N45" s="91" t="s">
        <v>903</v>
      </c>
      <c r="O45" s="92">
        <v>7637123.5900000008</v>
      </c>
      <c r="P45" s="92">
        <f t="shared" si="1"/>
        <v>4952.7390337224388</v>
      </c>
      <c r="Q45" s="92">
        <f>MAX(Q46:Q48)</f>
        <v>6263.0148795454543</v>
      </c>
    </row>
    <row r="46" spans="1:17" ht="35.25" x14ac:dyDescent="0.5">
      <c r="A46" s="6">
        <v>1</v>
      </c>
      <c r="B46" s="90">
        <f>SUBTOTAL(103,$A$12:A46)</f>
        <v>24</v>
      </c>
      <c r="C46" s="96" t="s">
        <v>1044</v>
      </c>
      <c r="D46" s="91">
        <v>1950</v>
      </c>
      <c r="E46" s="91"/>
      <c r="F46" s="91" t="s">
        <v>270</v>
      </c>
      <c r="G46" s="91">
        <v>2</v>
      </c>
      <c r="H46" s="91">
        <v>1</v>
      </c>
      <c r="I46" s="93">
        <v>440</v>
      </c>
      <c r="J46" s="93">
        <v>433.9</v>
      </c>
      <c r="K46" s="93">
        <f>J46-53.4</f>
        <v>380.5</v>
      </c>
      <c r="L46" s="97">
        <v>18</v>
      </c>
      <c r="M46" s="91" t="s">
        <v>272</v>
      </c>
      <c r="N46" s="91" t="s">
        <v>325</v>
      </c>
      <c r="O46" s="92">
        <v>2406352.7599999998</v>
      </c>
      <c r="P46" s="92">
        <f t="shared" si="1"/>
        <v>5468.9835454545446</v>
      </c>
      <c r="Q46" s="167">
        <v>6263.0148795454543</v>
      </c>
    </row>
    <row r="47" spans="1:17" ht="35.25" x14ac:dyDescent="0.5">
      <c r="A47" s="6">
        <v>1</v>
      </c>
      <c r="B47" s="90">
        <f>SUBTOTAL(103,$A$12:A47)</f>
        <v>25</v>
      </c>
      <c r="C47" s="96" t="s">
        <v>1045</v>
      </c>
      <c r="D47" s="91">
        <v>1956</v>
      </c>
      <c r="E47" s="91"/>
      <c r="F47" s="91" t="s">
        <v>270</v>
      </c>
      <c r="G47" s="91">
        <v>2</v>
      </c>
      <c r="H47" s="91">
        <v>1</v>
      </c>
      <c r="I47" s="93">
        <v>536.70000000000005</v>
      </c>
      <c r="J47" s="93">
        <v>447.8</v>
      </c>
      <c r="K47" s="93">
        <f>J47-79.8</f>
        <v>368</v>
      </c>
      <c r="L47" s="97">
        <v>13</v>
      </c>
      <c r="M47" s="91" t="s">
        <v>272</v>
      </c>
      <c r="N47" s="91" t="s">
        <v>325</v>
      </c>
      <c r="O47" s="92">
        <v>2491755.89</v>
      </c>
      <c r="P47" s="92">
        <f t="shared" si="1"/>
        <v>4642.7350288801936</v>
      </c>
      <c r="Q47" s="167">
        <v>5835.5372088690137</v>
      </c>
    </row>
    <row r="48" spans="1:17" ht="35.25" x14ac:dyDescent="0.5">
      <c r="A48" s="6">
        <v>1</v>
      </c>
      <c r="B48" s="90">
        <f>SUBTOTAL(103,$A$12:A48)</f>
        <v>26</v>
      </c>
      <c r="C48" s="96" t="s">
        <v>1046</v>
      </c>
      <c r="D48" s="91">
        <v>1963</v>
      </c>
      <c r="E48" s="91"/>
      <c r="F48" s="91" t="s">
        <v>270</v>
      </c>
      <c r="G48" s="91">
        <v>2</v>
      </c>
      <c r="H48" s="91">
        <v>2</v>
      </c>
      <c r="I48" s="93">
        <v>565.29999999999995</v>
      </c>
      <c r="J48" s="93">
        <v>516.5</v>
      </c>
      <c r="K48" s="93">
        <f>J48-95.1</f>
        <v>421.4</v>
      </c>
      <c r="L48" s="97">
        <v>27</v>
      </c>
      <c r="M48" s="91" t="s">
        <v>272</v>
      </c>
      <c r="N48" s="91" t="s">
        <v>331</v>
      </c>
      <c r="O48" s="92">
        <v>2739014.9400000004</v>
      </c>
      <c r="P48" s="92">
        <f t="shared" si="1"/>
        <v>4845.2413585706718</v>
      </c>
      <c r="Q48" s="167">
        <v>5463.0469662126307</v>
      </c>
    </row>
    <row r="49" spans="1:17" ht="35.25" x14ac:dyDescent="0.4">
      <c r="B49" s="96" t="s">
        <v>1063</v>
      </c>
      <c r="C49" s="96"/>
      <c r="D49" s="91" t="s">
        <v>903</v>
      </c>
      <c r="E49" s="91" t="s">
        <v>903</v>
      </c>
      <c r="F49" s="91" t="s">
        <v>903</v>
      </c>
      <c r="G49" s="91" t="s">
        <v>903</v>
      </c>
      <c r="H49" s="91" t="s">
        <v>903</v>
      </c>
      <c r="I49" s="93">
        <f>I50</f>
        <v>970.5</v>
      </c>
      <c r="J49" s="93">
        <f>J50</f>
        <v>874</v>
      </c>
      <c r="K49" s="93">
        <f>K50</f>
        <v>786.4</v>
      </c>
      <c r="L49" s="97">
        <f>L50</f>
        <v>38</v>
      </c>
      <c r="M49" s="91" t="s">
        <v>903</v>
      </c>
      <c r="N49" s="91" t="s">
        <v>903</v>
      </c>
      <c r="O49" s="92">
        <v>2437244.0600000005</v>
      </c>
      <c r="P49" s="92">
        <f t="shared" si="1"/>
        <v>2511.3282431736225</v>
      </c>
      <c r="Q49" s="92">
        <f>Q50</f>
        <v>5014.2707882534778</v>
      </c>
    </row>
    <row r="50" spans="1:17" ht="35.25" x14ac:dyDescent="0.5">
      <c r="A50" s="6">
        <v>1</v>
      </c>
      <c r="B50" s="90">
        <f>SUBTOTAL(103,$A$12:A50)</f>
        <v>27</v>
      </c>
      <c r="C50" s="96" t="s">
        <v>1051</v>
      </c>
      <c r="D50" s="91">
        <v>1974</v>
      </c>
      <c r="E50" s="91"/>
      <c r="F50" s="91" t="s">
        <v>270</v>
      </c>
      <c r="G50" s="91">
        <v>2</v>
      </c>
      <c r="H50" s="91">
        <v>3</v>
      </c>
      <c r="I50" s="93">
        <v>970.5</v>
      </c>
      <c r="J50" s="93">
        <v>874</v>
      </c>
      <c r="K50" s="93">
        <f>J50-87.6</f>
        <v>786.4</v>
      </c>
      <c r="L50" s="97">
        <v>38</v>
      </c>
      <c r="M50" s="91" t="s">
        <v>272</v>
      </c>
      <c r="N50" s="91" t="s">
        <v>297</v>
      </c>
      <c r="O50" s="92">
        <v>2437244.0600000005</v>
      </c>
      <c r="P50" s="92">
        <f t="shared" si="1"/>
        <v>2511.3282431736225</v>
      </c>
      <c r="Q50" s="167">
        <v>5014.2707882534778</v>
      </c>
    </row>
    <row r="51" spans="1:17" ht="35.25" x14ac:dyDescent="0.4">
      <c r="B51" s="96" t="s">
        <v>864</v>
      </c>
      <c r="C51" s="96"/>
      <c r="D51" s="91" t="s">
        <v>903</v>
      </c>
      <c r="E51" s="91" t="s">
        <v>903</v>
      </c>
      <c r="F51" s="91" t="s">
        <v>903</v>
      </c>
      <c r="G51" s="91" t="s">
        <v>903</v>
      </c>
      <c r="H51" s="91" t="s">
        <v>903</v>
      </c>
      <c r="I51" s="93">
        <f>I52</f>
        <v>465</v>
      </c>
      <c r="J51" s="93">
        <f>J52</f>
        <v>424.6</v>
      </c>
      <c r="K51" s="93">
        <f>K52</f>
        <v>175.8</v>
      </c>
      <c r="L51" s="97">
        <f>L52</f>
        <v>26</v>
      </c>
      <c r="M51" s="91" t="s">
        <v>903</v>
      </c>
      <c r="N51" s="91" t="s">
        <v>903</v>
      </c>
      <c r="O51" s="92">
        <v>1691459.11</v>
      </c>
      <c r="P51" s="92">
        <f t="shared" si="1"/>
        <v>3637.5464731182797</v>
      </c>
      <c r="Q51" s="92">
        <f>Q52</f>
        <v>4729.4962903225805</v>
      </c>
    </row>
    <row r="52" spans="1:17" ht="35.25" x14ac:dyDescent="0.5">
      <c r="A52" s="6">
        <v>1</v>
      </c>
      <c r="B52" s="90">
        <f>SUBTOTAL(103,$A$12:A52)</f>
        <v>28</v>
      </c>
      <c r="C52" s="96" t="s">
        <v>1047</v>
      </c>
      <c r="D52" s="91">
        <v>1953</v>
      </c>
      <c r="E52" s="91"/>
      <c r="F52" s="91" t="s">
        <v>270</v>
      </c>
      <c r="G52" s="91">
        <v>2</v>
      </c>
      <c r="H52" s="91">
        <v>1</v>
      </c>
      <c r="I52" s="93">
        <v>465</v>
      </c>
      <c r="J52" s="93">
        <v>424.6</v>
      </c>
      <c r="K52" s="93">
        <f>J52-248.8</f>
        <v>175.8</v>
      </c>
      <c r="L52" s="97">
        <v>26</v>
      </c>
      <c r="M52" s="91" t="s">
        <v>269</v>
      </c>
      <c r="N52" s="91" t="s">
        <v>271</v>
      </c>
      <c r="O52" s="92">
        <v>1691459.11</v>
      </c>
      <c r="P52" s="92">
        <f t="shared" si="1"/>
        <v>3637.5464731182797</v>
      </c>
      <c r="Q52" s="167">
        <v>4729.4962903225805</v>
      </c>
    </row>
    <row r="53" spans="1:17" ht="35.25" x14ac:dyDescent="0.4">
      <c r="B53" s="96" t="s">
        <v>870</v>
      </c>
      <c r="C53" s="96"/>
      <c r="D53" s="91" t="s">
        <v>903</v>
      </c>
      <c r="E53" s="91" t="s">
        <v>903</v>
      </c>
      <c r="F53" s="91" t="s">
        <v>903</v>
      </c>
      <c r="G53" s="91" t="s">
        <v>903</v>
      </c>
      <c r="H53" s="91" t="s">
        <v>903</v>
      </c>
      <c r="I53" s="93">
        <f>I54</f>
        <v>943.2</v>
      </c>
      <c r="J53" s="93">
        <f>J54</f>
        <v>861.5</v>
      </c>
      <c r="K53" s="93">
        <f>K54</f>
        <v>816.5</v>
      </c>
      <c r="L53" s="97">
        <f>L54</f>
        <v>31</v>
      </c>
      <c r="M53" s="91" t="s">
        <v>903</v>
      </c>
      <c r="N53" s="91" t="s">
        <v>903</v>
      </c>
      <c r="O53" s="92">
        <v>3168456.39</v>
      </c>
      <c r="P53" s="92">
        <f t="shared" si="1"/>
        <v>3359.2624999999998</v>
      </c>
      <c r="Q53" s="92">
        <f>Q54</f>
        <v>5781.1782654792196</v>
      </c>
    </row>
    <row r="54" spans="1:17" ht="35.25" x14ac:dyDescent="0.5">
      <c r="A54" s="6">
        <v>1</v>
      </c>
      <c r="B54" s="90">
        <f>SUBTOTAL(103,$A$12:A54)</f>
        <v>29</v>
      </c>
      <c r="C54" s="96" t="s">
        <v>1050</v>
      </c>
      <c r="D54" s="91">
        <v>1980</v>
      </c>
      <c r="E54" s="91"/>
      <c r="F54" s="91" t="s">
        <v>270</v>
      </c>
      <c r="G54" s="91">
        <v>2</v>
      </c>
      <c r="H54" s="91">
        <v>3</v>
      </c>
      <c r="I54" s="93">
        <v>943.2</v>
      </c>
      <c r="J54" s="93">
        <v>861.5</v>
      </c>
      <c r="K54" s="93">
        <f>J54-45</f>
        <v>816.5</v>
      </c>
      <c r="L54" s="97">
        <v>31</v>
      </c>
      <c r="M54" s="91" t="s">
        <v>272</v>
      </c>
      <c r="N54" s="91" t="s">
        <v>285</v>
      </c>
      <c r="O54" s="92">
        <v>3168456.39</v>
      </c>
      <c r="P54" s="92">
        <f t="shared" si="1"/>
        <v>3359.2624999999998</v>
      </c>
      <c r="Q54" s="167">
        <v>5781.1782654792196</v>
      </c>
    </row>
    <row r="55" spans="1:17" ht="35.25" x14ac:dyDescent="0.4">
      <c r="B55" s="96" t="s">
        <v>872</v>
      </c>
      <c r="C55" s="96"/>
      <c r="D55" s="91" t="s">
        <v>903</v>
      </c>
      <c r="E55" s="91" t="s">
        <v>903</v>
      </c>
      <c r="F55" s="91" t="s">
        <v>903</v>
      </c>
      <c r="G55" s="91" t="s">
        <v>903</v>
      </c>
      <c r="H55" s="91" t="s">
        <v>903</v>
      </c>
      <c r="I55" s="93">
        <f>I57+I56+I58</f>
        <v>2249.1999999999998</v>
      </c>
      <c r="J55" s="93">
        <f>J57+J56+J58</f>
        <v>2068.4</v>
      </c>
      <c r="K55" s="93">
        <f>K57+K56+K58</f>
        <v>2023.6000000000001</v>
      </c>
      <c r="L55" s="97">
        <f>L57+L56+L58</f>
        <v>104</v>
      </c>
      <c r="M55" s="91" t="s">
        <v>903</v>
      </c>
      <c r="N55" s="91" t="s">
        <v>903</v>
      </c>
      <c r="O55" s="92">
        <v>5843453.6200000001</v>
      </c>
      <c r="P55" s="92">
        <f t="shared" si="1"/>
        <v>2598.0142361728617</v>
      </c>
      <c r="Q55" s="92">
        <f>MAX(Q56:Q58)</f>
        <v>8015.8744116918506</v>
      </c>
    </row>
    <row r="56" spans="1:17" ht="35.25" x14ac:dyDescent="0.5">
      <c r="A56" s="6">
        <v>1</v>
      </c>
      <c r="B56" s="90">
        <f>SUBTOTAL(103,$A$12:A56)</f>
        <v>30</v>
      </c>
      <c r="C56" s="96" t="s">
        <v>1095</v>
      </c>
      <c r="D56" s="91">
        <v>1980</v>
      </c>
      <c r="E56" s="91"/>
      <c r="F56" s="91" t="s">
        <v>322</v>
      </c>
      <c r="G56" s="91">
        <v>3</v>
      </c>
      <c r="H56" s="91">
        <v>3</v>
      </c>
      <c r="I56" s="93">
        <v>1481.6</v>
      </c>
      <c r="J56" s="93">
        <v>1361.4</v>
      </c>
      <c r="K56" s="93">
        <v>1361.4</v>
      </c>
      <c r="L56" s="97">
        <v>70</v>
      </c>
      <c r="M56" s="91" t="s">
        <v>269</v>
      </c>
      <c r="N56" s="91" t="s">
        <v>271</v>
      </c>
      <c r="O56" s="92">
        <v>2125397.4</v>
      </c>
      <c r="P56" s="92">
        <f t="shared" si="1"/>
        <v>1434.5284827213823</v>
      </c>
      <c r="Q56" s="167">
        <v>2614.5648076403886</v>
      </c>
    </row>
    <row r="57" spans="1:17" ht="35.25" x14ac:dyDescent="0.5">
      <c r="A57" s="6">
        <v>1</v>
      </c>
      <c r="B57" s="90">
        <f>SUBTOTAL(103,$A$12:A57)</f>
        <v>31</v>
      </c>
      <c r="C57" s="96" t="s">
        <v>1048</v>
      </c>
      <c r="D57" s="91">
        <v>1970</v>
      </c>
      <c r="E57" s="91"/>
      <c r="F57" s="91" t="s">
        <v>270</v>
      </c>
      <c r="G57" s="91">
        <v>2</v>
      </c>
      <c r="H57" s="91">
        <v>1</v>
      </c>
      <c r="I57" s="93">
        <v>403.7</v>
      </c>
      <c r="J57" s="93">
        <v>373</v>
      </c>
      <c r="K57" s="93">
        <f>J57-44.8</f>
        <v>328.2</v>
      </c>
      <c r="L57" s="97">
        <v>20</v>
      </c>
      <c r="M57" s="91" t="s">
        <v>269</v>
      </c>
      <c r="N57" s="91" t="s">
        <v>271</v>
      </c>
      <c r="O57" s="92">
        <v>2324222.61</v>
      </c>
      <c r="P57" s="92">
        <f t="shared" si="1"/>
        <v>5757.3014862521677</v>
      </c>
      <c r="Q57" s="167">
        <v>8015.8744116918506</v>
      </c>
    </row>
    <row r="58" spans="1:17" ht="35.25" x14ac:dyDescent="0.5">
      <c r="A58" s="6">
        <v>1</v>
      </c>
      <c r="B58" s="90">
        <f>SUBTOTAL(103,$A$12:A58)</f>
        <v>32</v>
      </c>
      <c r="C58" s="96" t="s">
        <v>193</v>
      </c>
      <c r="D58" s="91">
        <v>1968</v>
      </c>
      <c r="E58" s="91"/>
      <c r="F58" s="91" t="s">
        <v>270</v>
      </c>
      <c r="G58" s="91">
        <v>2</v>
      </c>
      <c r="H58" s="91">
        <v>1</v>
      </c>
      <c r="I58" s="93">
        <v>363.9</v>
      </c>
      <c r="J58" s="93">
        <v>334</v>
      </c>
      <c r="K58" s="93">
        <v>334</v>
      </c>
      <c r="L58" s="97">
        <v>14</v>
      </c>
      <c r="M58" s="91" t="s">
        <v>269</v>
      </c>
      <c r="N58" s="92" t="s">
        <v>271</v>
      </c>
      <c r="O58" s="92">
        <v>1393833.61</v>
      </c>
      <c r="P58" s="92">
        <f t="shared" si="1"/>
        <v>3830.2654850233585</v>
      </c>
      <c r="Q58" s="167">
        <v>5296.8157309700464</v>
      </c>
    </row>
    <row r="59" spans="1:17" ht="35.25" x14ac:dyDescent="0.4">
      <c r="B59" s="96" t="s">
        <v>871</v>
      </c>
      <c r="C59" s="96"/>
      <c r="D59" s="91" t="s">
        <v>903</v>
      </c>
      <c r="E59" s="91" t="s">
        <v>903</v>
      </c>
      <c r="F59" s="91" t="s">
        <v>903</v>
      </c>
      <c r="G59" s="91" t="s">
        <v>903</v>
      </c>
      <c r="H59" s="91" t="s">
        <v>903</v>
      </c>
      <c r="I59" s="93">
        <f>I60</f>
        <v>940.4</v>
      </c>
      <c r="J59" s="93">
        <f>J60</f>
        <v>558.4</v>
      </c>
      <c r="K59" s="93">
        <f>K60</f>
        <v>558.4</v>
      </c>
      <c r="L59" s="97">
        <f>L60</f>
        <v>26</v>
      </c>
      <c r="M59" s="91" t="s">
        <v>903</v>
      </c>
      <c r="N59" s="91" t="s">
        <v>903</v>
      </c>
      <c r="O59" s="92">
        <v>2164797.61</v>
      </c>
      <c r="P59" s="92">
        <f t="shared" si="1"/>
        <v>2301.996607826457</v>
      </c>
      <c r="Q59" s="92">
        <f>Q60</f>
        <v>3816.0580944279031</v>
      </c>
    </row>
    <row r="60" spans="1:17" ht="35.25" x14ac:dyDescent="0.5">
      <c r="A60" s="6">
        <v>1</v>
      </c>
      <c r="B60" s="90">
        <f>SUBTOTAL(103,$A$12:A60)</f>
        <v>33</v>
      </c>
      <c r="C60" s="96" t="s">
        <v>1085</v>
      </c>
      <c r="D60" s="91">
        <v>1987</v>
      </c>
      <c r="E60" s="91"/>
      <c r="F60" s="91" t="s">
        <v>270</v>
      </c>
      <c r="G60" s="98">
        <v>2</v>
      </c>
      <c r="H60" s="98">
        <v>2</v>
      </c>
      <c r="I60" s="93">
        <v>940.4</v>
      </c>
      <c r="J60" s="93">
        <v>558.4</v>
      </c>
      <c r="K60" s="93">
        <f>J60</f>
        <v>558.4</v>
      </c>
      <c r="L60" s="97">
        <v>26</v>
      </c>
      <c r="M60" s="91" t="s">
        <v>272</v>
      </c>
      <c r="N60" s="91" t="s">
        <v>1087</v>
      </c>
      <c r="O60" s="92">
        <v>2164797.61</v>
      </c>
      <c r="P60" s="92">
        <f t="shared" si="1"/>
        <v>2301.996607826457</v>
      </c>
      <c r="Q60" s="167">
        <v>3816.0580944279031</v>
      </c>
    </row>
    <row r="61" spans="1:17" ht="35.25" x14ac:dyDescent="0.5">
      <c r="B61" s="106" t="s">
        <v>847</v>
      </c>
      <c r="C61" s="96"/>
      <c r="D61" s="91" t="s">
        <v>903</v>
      </c>
      <c r="E61" s="91" t="s">
        <v>903</v>
      </c>
      <c r="F61" s="91" t="s">
        <v>903</v>
      </c>
      <c r="G61" s="98" t="s">
        <v>903</v>
      </c>
      <c r="H61" s="98" t="s">
        <v>903</v>
      </c>
      <c r="I61" s="93">
        <f>I62</f>
        <v>1743.7</v>
      </c>
      <c r="J61" s="93">
        <f>J62</f>
        <v>1557.1</v>
      </c>
      <c r="K61" s="93">
        <f>K62</f>
        <v>1557.1</v>
      </c>
      <c r="L61" s="97">
        <f>L62</f>
        <v>65</v>
      </c>
      <c r="M61" s="91" t="s">
        <v>903</v>
      </c>
      <c r="N61" s="91" t="s">
        <v>903</v>
      </c>
      <c r="O61" s="92">
        <v>3748526.4</v>
      </c>
      <c r="P61" s="92">
        <f t="shared" si="1"/>
        <v>2149.7542008372998</v>
      </c>
      <c r="Q61" s="92">
        <f>Q62</f>
        <v>2558.250071686643</v>
      </c>
    </row>
    <row r="62" spans="1:17" ht="35.25" x14ac:dyDescent="0.5">
      <c r="A62" s="6">
        <v>1</v>
      </c>
      <c r="B62" s="90">
        <f>SUBTOTAL(103,$A$12:A62)</f>
        <v>34</v>
      </c>
      <c r="C62" s="96" t="s">
        <v>1419</v>
      </c>
      <c r="D62" s="91">
        <v>1978</v>
      </c>
      <c r="E62" s="91"/>
      <c r="F62" s="91" t="s">
        <v>270</v>
      </c>
      <c r="G62" s="98">
        <v>3</v>
      </c>
      <c r="H62" s="98">
        <v>3</v>
      </c>
      <c r="I62" s="93">
        <v>1743.7</v>
      </c>
      <c r="J62" s="93">
        <v>1557.1</v>
      </c>
      <c r="K62" s="93">
        <v>1557.1</v>
      </c>
      <c r="L62" s="97">
        <v>65</v>
      </c>
      <c r="M62" s="91" t="s">
        <v>272</v>
      </c>
      <c r="N62" s="91" t="s">
        <v>823</v>
      </c>
      <c r="O62" s="92">
        <v>3748526.4</v>
      </c>
      <c r="P62" s="92">
        <f t="shared" si="1"/>
        <v>2149.7542008372998</v>
      </c>
      <c r="Q62" s="167">
        <v>2558.250071686643</v>
      </c>
    </row>
    <row r="63" spans="1:17" ht="35.25" x14ac:dyDescent="0.5">
      <c r="B63" s="106" t="s">
        <v>883</v>
      </c>
      <c r="C63" s="96"/>
      <c r="D63" s="91" t="s">
        <v>903</v>
      </c>
      <c r="E63" s="91" t="s">
        <v>903</v>
      </c>
      <c r="F63" s="91" t="s">
        <v>903</v>
      </c>
      <c r="G63" s="98" t="s">
        <v>903</v>
      </c>
      <c r="H63" s="98" t="s">
        <v>903</v>
      </c>
      <c r="I63" s="93">
        <f>I64</f>
        <v>1105.0999999999999</v>
      </c>
      <c r="J63" s="93">
        <f>J64</f>
        <v>953.3</v>
      </c>
      <c r="K63" s="93">
        <f>K64</f>
        <v>870.1</v>
      </c>
      <c r="L63" s="97">
        <f>L64</f>
        <v>44</v>
      </c>
      <c r="M63" s="91" t="s">
        <v>903</v>
      </c>
      <c r="N63" s="91" t="s">
        <v>903</v>
      </c>
      <c r="O63" s="92">
        <v>603261.75</v>
      </c>
      <c r="P63" s="92">
        <f t="shared" si="1"/>
        <v>545.88883358972043</v>
      </c>
      <c r="Q63" s="92">
        <f>Q64</f>
        <v>795.31</v>
      </c>
    </row>
    <row r="64" spans="1:17" ht="35.25" x14ac:dyDescent="0.5">
      <c r="A64" s="6">
        <v>1</v>
      </c>
      <c r="B64" s="90">
        <f>SUBTOTAL(103,$A$12:A64)</f>
        <v>35</v>
      </c>
      <c r="C64" s="96" t="s">
        <v>1420</v>
      </c>
      <c r="D64" s="91">
        <v>1979</v>
      </c>
      <c r="E64" s="91"/>
      <c r="F64" s="91" t="s">
        <v>270</v>
      </c>
      <c r="G64" s="98">
        <v>2</v>
      </c>
      <c r="H64" s="98">
        <v>3</v>
      </c>
      <c r="I64" s="93">
        <v>1105.0999999999999</v>
      </c>
      <c r="J64" s="93">
        <v>953.3</v>
      </c>
      <c r="K64" s="93">
        <v>870.1</v>
      </c>
      <c r="L64" s="97">
        <v>44</v>
      </c>
      <c r="M64" s="91" t="s">
        <v>272</v>
      </c>
      <c r="N64" s="91" t="s">
        <v>1375</v>
      </c>
      <c r="O64" s="92">
        <v>603261.75</v>
      </c>
      <c r="P64" s="92">
        <f t="shared" si="1"/>
        <v>545.88883358972043</v>
      </c>
      <c r="Q64" s="167">
        <v>795.31</v>
      </c>
    </row>
    <row r="65" spans="1:23" customFormat="1" ht="45.75" x14ac:dyDescent="0.25">
      <c r="B65" s="507" t="s">
        <v>1421</v>
      </c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9"/>
    </row>
    <row r="66" spans="1:23" customFormat="1" ht="35.25" x14ac:dyDescent="0.5">
      <c r="B66" s="304" t="s">
        <v>1064</v>
      </c>
      <c r="C66" s="304"/>
      <c r="D66" s="305" t="s">
        <v>764</v>
      </c>
      <c r="E66" s="305" t="s">
        <v>764</v>
      </c>
      <c r="F66" s="306" t="s">
        <v>764</v>
      </c>
      <c r="G66" s="306" t="s">
        <v>764</v>
      </c>
      <c r="H66" s="306" t="s">
        <v>764</v>
      </c>
      <c r="I66" s="307">
        <f>I67+I74+I78+I95+I103+I108+I139+I155+I161+I164+I167+I169+I174+I176+I179+I182+I186+I188+I190+I192+I196+I198+I200+I202+I204+I206+I208+I211+I213+I215</f>
        <v>292182.99</v>
      </c>
      <c r="J66" s="307">
        <f t="shared" ref="J66:L66" si="4">J67+J74+J78+J95+J103+J108+J139+J155+J161+J164+J167+J169+J174+J176+J179+J182+J186+J188+J190+J192+J196+J198+J200+J202+J204+J206+J208+J211+J213+J215</f>
        <v>245354.85000000006</v>
      </c>
      <c r="K66" s="307">
        <f t="shared" si="4"/>
        <v>216551.44999999992</v>
      </c>
      <c r="L66" s="308">
        <f t="shared" si="4"/>
        <v>12322</v>
      </c>
      <c r="M66" s="305" t="s">
        <v>903</v>
      </c>
      <c r="N66" s="309" t="s">
        <v>903</v>
      </c>
      <c r="O66" s="307">
        <v>38779424.080000013</v>
      </c>
      <c r="P66" s="307">
        <f t="shared" ref="P66" si="5">P67+P74+P78+P95+P103+P108+P139+P155+P161+P164+P167+P169+P174+P176+P179+P182+P186+P188+P190+P192+P196+P198+P200+P202+P204+P206+P208+P211+P213+P215</f>
        <v>5220.5621729868408</v>
      </c>
      <c r="Q66" s="398">
        <f>MAX(Q67:Q216)</f>
        <v>21198.080407066056</v>
      </c>
    </row>
    <row r="67" spans="1:23" customFormat="1" ht="35.25" x14ac:dyDescent="0.5">
      <c r="B67" s="304" t="s">
        <v>828</v>
      </c>
      <c r="C67" s="304"/>
      <c r="D67" s="305" t="s">
        <v>764</v>
      </c>
      <c r="E67" s="305" t="s">
        <v>764</v>
      </c>
      <c r="F67" s="306" t="s">
        <v>764</v>
      </c>
      <c r="G67" s="305" t="s">
        <v>764</v>
      </c>
      <c r="H67" s="305" t="s">
        <v>764</v>
      </c>
      <c r="I67" s="307">
        <v>13682.619999999999</v>
      </c>
      <c r="J67" s="307">
        <v>11157.02</v>
      </c>
      <c r="K67" s="307">
        <v>10128.199999999999</v>
      </c>
      <c r="L67" s="308">
        <v>744</v>
      </c>
      <c r="M67" s="305" t="s">
        <v>903</v>
      </c>
      <c r="N67" s="309" t="s">
        <v>903</v>
      </c>
      <c r="O67" s="307">
        <v>3521522.9999999995</v>
      </c>
      <c r="P67" s="307">
        <f>O67/I67</f>
        <v>257.3719799278208</v>
      </c>
      <c r="Q67" s="398">
        <f>MAX(Q68:Q73)</f>
        <v>3428.1349059731892</v>
      </c>
    </row>
    <row r="68" spans="1:23" customFormat="1" ht="35.25" x14ac:dyDescent="0.5">
      <c r="A68">
        <v>1</v>
      </c>
      <c r="B68" s="310">
        <v>1</v>
      </c>
      <c r="C68" s="311" t="s">
        <v>628</v>
      </c>
      <c r="D68" s="305">
        <v>1965</v>
      </c>
      <c r="E68" s="305"/>
      <c r="F68" s="306" t="s">
        <v>270</v>
      </c>
      <c r="G68" s="305">
        <v>5</v>
      </c>
      <c r="H68" s="305">
        <v>2</v>
      </c>
      <c r="I68" s="307">
        <v>2985.38</v>
      </c>
      <c r="J68" s="307">
        <v>2398.58</v>
      </c>
      <c r="K68" s="307">
        <v>1889.27</v>
      </c>
      <c r="L68" s="308">
        <v>202</v>
      </c>
      <c r="M68" s="305" t="s">
        <v>272</v>
      </c>
      <c r="N68" s="305" t="s">
        <v>1331</v>
      </c>
      <c r="O68" s="312">
        <v>546602.54</v>
      </c>
      <c r="P68" s="307">
        <f>O68/I68</f>
        <v>183.09312047377554</v>
      </c>
      <c r="Q68" s="167">
        <v>1780.1095800199637</v>
      </c>
      <c r="R68" s="313"/>
      <c r="S68" s="110"/>
      <c r="V68" s="314"/>
      <c r="W68" s="314"/>
    </row>
    <row r="69" spans="1:23" customFormat="1" ht="35.25" x14ac:dyDescent="0.5">
      <c r="A69">
        <v>1</v>
      </c>
      <c r="B69" s="310">
        <v>2</v>
      </c>
      <c r="C69" s="311" t="s">
        <v>1425</v>
      </c>
      <c r="D69" s="305">
        <v>1986</v>
      </c>
      <c r="E69" s="305"/>
      <c r="F69" s="306" t="s">
        <v>270</v>
      </c>
      <c r="G69" s="305">
        <v>4</v>
      </c>
      <c r="H69" s="305">
        <v>1</v>
      </c>
      <c r="I69" s="307">
        <v>2374.1999999999998</v>
      </c>
      <c r="J69" s="307">
        <v>1689.3</v>
      </c>
      <c r="K69" s="307">
        <v>1639.4</v>
      </c>
      <c r="L69" s="308">
        <v>151</v>
      </c>
      <c r="M69" s="305" t="s">
        <v>272</v>
      </c>
      <c r="N69" s="309" t="s">
        <v>1523</v>
      </c>
      <c r="O69" s="312">
        <v>491284.57</v>
      </c>
      <c r="P69" s="307">
        <f>O69/I69</f>
        <v>206.92636256423219</v>
      </c>
      <c r="Q69" s="167">
        <v>2368.9568549406117</v>
      </c>
      <c r="R69" s="313"/>
      <c r="S69" s="110"/>
      <c r="V69" s="314"/>
      <c r="W69" s="314"/>
    </row>
    <row r="70" spans="1:23" customFormat="1" ht="35.25" x14ac:dyDescent="0.5">
      <c r="A70">
        <v>1</v>
      </c>
      <c r="B70" s="310">
        <v>3</v>
      </c>
      <c r="C70" s="311" t="s">
        <v>1426</v>
      </c>
      <c r="D70" s="305">
        <v>1969</v>
      </c>
      <c r="E70" s="305"/>
      <c r="F70" s="306" t="s">
        <v>270</v>
      </c>
      <c r="G70" s="305">
        <v>5</v>
      </c>
      <c r="H70" s="305">
        <v>4</v>
      </c>
      <c r="I70" s="307">
        <v>2953.64</v>
      </c>
      <c r="J70" s="307">
        <v>2684.14</v>
      </c>
      <c r="K70" s="307">
        <v>2616.34</v>
      </c>
      <c r="L70" s="308">
        <v>107</v>
      </c>
      <c r="M70" s="305" t="s">
        <v>272</v>
      </c>
      <c r="N70" s="309" t="s">
        <v>1096</v>
      </c>
      <c r="O70" s="307">
        <v>1849341.27</v>
      </c>
      <c r="P70" s="307">
        <v>626.12277393318084</v>
      </c>
      <c r="Q70" s="167">
        <v>1713.0577897103235</v>
      </c>
      <c r="R70" s="313"/>
      <c r="S70" s="110"/>
      <c r="V70" s="314"/>
      <c r="W70" s="314"/>
    </row>
    <row r="71" spans="1:23" customFormat="1" ht="35.25" x14ac:dyDescent="0.5">
      <c r="A71">
        <v>1</v>
      </c>
      <c r="B71" s="310">
        <v>4</v>
      </c>
      <c r="C71" s="311" t="s">
        <v>1427</v>
      </c>
      <c r="D71" s="305">
        <v>1928</v>
      </c>
      <c r="E71" s="305"/>
      <c r="F71" s="306" t="s">
        <v>270</v>
      </c>
      <c r="G71" s="305">
        <v>3</v>
      </c>
      <c r="H71" s="305">
        <v>2</v>
      </c>
      <c r="I71" s="307">
        <v>884.1</v>
      </c>
      <c r="J71" s="307">
        <v>763.7</v>
      </c>
      <c r="K71" s="307">
        <v>441.4</v>
      </c>
      <c r="L71" s="308">
        <v>48</v>
      </c>
      <c r="M71" s="305" t="s">
        <v>272</v>
      </c>
      <c r="N71" s="305" t="s">
        <v>1524</v>
      </c>
      <c r="O71" s="312">
        <v>342298.98</v>
      </c>
      <c r="P71" s="307">
        <f>O71/I71</f>
        <v>387.17224295894124</v>
      </c>
      <c r="Q71" s="167">
        <v>712.1</v>
      </c>
      <c r="R71" s="313"/>
      <c r="S71" s="110"/>
      <c r="V71" s="314"/>
      <c r="W71" s="314"/>
    </row>
    <row r="72" spans="1:23" customFormat="1" ht="35.25" x14ac:dyDescent="0.5">
      <c r="A72">
        <v>1</v>
      </c>
      <c r="B72" s="310">
        <v>5</v>
      </c>
      <c r="C72" s="311" t="s">
        <v>1428</v>
      </c>
      <c r="D72" s="305">
        <v>1958</v>
      </c>
      <c r="E72" s="305"/>
      <c r="F72" s="306" t="s">
        <v>270</v>
      </c>
      <c r="G72" s="305">
        <v>3</v>
      </c>
      <c r="H72" s="305">
        <v>3</v>
      </c>
      <c r="I72" s="307">
        <v>2111.1</v>
      </c>
      <c r="J72" s="307">
        <v>1932</v>
      </c>
      <c r="K72" s="307">
        <v>1902.39</v>
      </c>
      <c r="L72" s="308">
        <v>85</v>
      </c>
      <c r="M72" s="305" t="s">
        <v>269</v>
      </c>
      <c r="N72" s="305" t="s">
        <v>271</v>
      </c>
      <c r="O72" s="307">
        <v>179920.82</v>
      </c>
      <c r="P72" s="307">
        <v>85.226100137369144</v>
      </c>
      <c r="Q72" s="167">
        <v>3428.1349059731892</v>
      </c>
      <c r="R72" s="313"/>
      <c r="S72" s="110"/>
      <c r="V72" s="314"/>
      <c r="W72" s="314"/>
    </row>
    <row r="73" spans="1:23" customFormat="1" ht="35.25" x14ac:dyDescent="0.5">
      <c r="A73">
        <v>1</v>
      </c>
      <c r="B73" s="310">
        <v>6</v>
      </c>
      <c r="C73" s="311" t="s">
        <v>1429</v>
      </c>
      <c r="D73" s="305">
        <v>1986</v>
      </c>
      <c r="E73" s="305"/>
      <c r="F73" s="306" t="s">
        <v>270</v>
      </c>
      <c r="G73" s="305">
        <v>4</v>
      </c>
      <c r="H73" s="305">
        <v>1</v>
      </c>
      <c r="I73" s="307">
        <v>2374.1999999999998</v>
      </c>
      <c r="J73" s="307">
        <v>1689.3</v>
      </c>
      <c r="K73" s="307">
        <v>1639.4</v>
      </c>
      <c r="L73" s="308">
        <v>151</v>
      </c>
      <c r="M73" s="305" t="s">
        <v>272</v>
      </c>
      <c r="N73" s="305" t="s">
        <v>1523</v>
      </c>
      <c r="O73" s="307">
        <v>112074.81999999999</v>
      </c>
      <c r="P73" s="307">
        <v>47.205298626905908</v>
      </c>
      <c r="Q73" s="167">
        <v>2890.5740881138913</v>
      </c>
      <c r="R73" s="313"/>
      <c r="S73" s="110"/>
      <c r="V73" s="314"/>
      <c r="W73" s="314"/>
    </row>
    <row r="74" spans="1:23" customFormat="1" ht="35.25" x14ac:dyDescent="0.5">
      <c r="B74" s="304" t="s">
        <v>832</v>
      </c>
      <c r="C74" s="311"/>
      <c r="D74" s="305" t="s">
        <v>764</v>
      </c>
      <c r="E74" s="305" t="s">
        <v>764</v>
      </c>
      <c r="F74" s="305" t="s">
        <v>764</v>
      </c>
      <c r="G74" s="305" t="s">
        <v>764</v>
      </c>
      <c r="H74" s="305" t="s">
        <v>764</v>
      </c>
      <c r="I74" s="307">
        <f>I75+I76+I77</f>
        <v>2327.5</v>
      </c>
      <c r="J74" s="307">
        <f t="shared" ref="J74:L74" si="6">J75+J76+J77</f>
        <v>2088.7999999999997</v>
      </c>
      <c r="K74" s="307">
        <f t="shared" si="6"/>
        <v>1990.8000000000002</v>
      </c>
      <c r="L74" s="308">
        <f t="shared" si="6"/>
        <v>106</v>
      </c>
      <c r="M74" s="305" t="s">
        <v>903</v>
      </c>
      <c r="N74" s="309" t="s">
        <v>903</v>
      </c>
      <c r="O74" s="307">
        <v>40366.19</v>
      </c>
      <c r="P74" s="307">
        <f>O74/I74</f>
        <v>17.343153598281418</v>
      </c>
      <c r="Q74" s="398">
        <f>MAX(Q75:Q77)</f>
        <v>6415.2351773902574</v>
      </c>
      <c r="R74" s="313"/>
      <c r="S74" s="110"/>
      <c r="V74" s="314"/>
      <c r="W74" s="314"/>
    </row>
    <row r="75" spans="1:23" customFormat="1" ht="35.25" x14ac:dyDescent="0.5">
      <c r="A75">
        <v>1</v>
      </c>
      <c r="B75" s="310">
        <v>7</v>
      </c>
      <c r="C75" s="311" t="s">
        <v>1430</v>
      </c>
      <c r="D75" s="305">
        <v>1979</v>
      </c>
      <c r="E75" s="305"/>
      <c r="F75" s="306" t="s">
        <v>270</v>
      </c>
      <c r="G75" s="305">
        <v>2</v>
      </c>
      <c r="H75" s="305">
        <v>3</v>
      </c>
      <c r="I75" s="307">
        <v>1053.2</v>
      </c>
      <c r="J75" s="307">
        <v>928.3</v>
      </c>
      <c r="K75" s="307">
        <v>866</v>
      </c>
      <c r="L75" s="308">
        <v>38</v>
      </c>
      <c r="M75" s="305" t="s">
        <v>269</v>
      </c>
      <c r="N75" s="309" t="s">
        <v>271</v>
      </c>
      <c r="O75" s="307">
        <v>11476.890000000001</v>
      </c>
      <c r="P75" s="307">
        <v>10.897161033042158</v>
      </c>
      <c r="Q75" s="167">
        <v>5473.559475883023</v>
      </c>
      <c r="R75" s="313"/>
      <c r="S75" s="110"/>
      <c r="V75" s="314"/>
      <c r="W75" s="314"/>
    </row>
    <row r="76" spans="1:23" customFormat="1" ht="35.25" x14ac:dyDescent="0.5">
      <c r="A76">
        <v>1</v>
      </c>
      <c r="B76" s="310">
        <v>8</v>
      </c>
      <c r="C76" s="311" t="s">
        <v>1431</v>
      </c>
      <c r="D76" s="305">
        <v>1980</v>
      </c>
      <c r="E76" s="305"/>
      <c r="F76" s="306" t="s">
        <v>270</v>
      </c>
      <c r="G76" s="305">
        <v>2</v>
      </c>
      <c r="H76" s="305">
        <v>3</v>
      </c>
      <c r="I76" s="307">
        <v>941.7</v>
      </c>
      <c r="J76" s="307">
        <v>856.9</v>
      </c>
      <c r="K76" s="307">
        <v>856.9</v>
      </c>
      <c r="L76" s="308">
        <v>53</v>
      </c>
      <c r="M76" s="305" t="s">
        <v>269</v>
      </c>
      <c r="N76" s="309" t="s">
        <v>271</v>
      </c>
      <c r="O76" s="307">
        <v>25269.399999999998</v>
      </c>
      <c r="P76" s="307">
        <v>26.833811192524156</v>
      </c>
      <c r="Q76" s="167">
        <v>4942.3668471912497</v>
      </c>
      <c r="R76" s="313"/>
      <c r="S76" s="110"/>
      <c r="V76" s="314"/>
      <c r="W76" s="314"/>
    </row>
    <row r="77" spans="1:23" s="293" customFormat="1" ht="35.25" x14ac:dyDescent="0.5">
      <c r="A77"/>
      <c r="B77" s="315">
        <v>9</v>
      </c>
      <c r="C77" s="316" t="s">
        <v>1912</v>
      </c>
      <c r="D77" s="317">
        <v>1962</v>
      </c>
      <c r="E77" s="317"/>
      <c r="F77" s="318" t="s">
        <v>270</v>
      </c>
      <c r="G77" s="317">
        <v>2</v>
      </c>
      <c r="H77" s="317">
        <v>1</v>
      </c>
      <c r="I77" s="312">
        <v>332.6</v>
      </c>
      <c r="J77" s="312">
        <v>303.60000000000002</v>
      </c>
      <c r="K77" s="312">
        <v>267.89999999999998</v>
      </c>
      <c r="L77" s="319">
        <v>15</v>
      </c>
      <c r="M77" s="317" t="s">
        <v>269</v>
      </c>
      <c r="N77" s="320" t="s">
        <v>271</v>
      </c>
      <c r="O77" s="312">
        <v>3619.9</v>
      </c>
      <c r="P77" s="312">
        <v>10.883644016837041</v>
      </c>
      <c r="Q77" s="167">
        <v>6415.2351773902574</v>
      </c>
      <c r="R77" s="321"/>
      <c r="S77" s="322"/>
      <c r="V77" s="323"/>
      <c r="W77" s="323"/>
    </row>
    <row r="78" spans="1:23" customFormat="1" ht="35.25" x14ac:dyDescent="0.5">
      <c r="B78" s="304" t="s">
        <v>1060</v>
      </c>
      <c r="C78" s="311"/>
      <c r="D78" s="305" t="s">
        <v>764</v>
      </c>
      <c r="E78" s="305" t="s">
        <v>764</v>
      </c>
      <c r="F78" s="306" t="s">
        <v>764</v>
      </c>
      <c r="G78" s="305" t="s">
        <v>764</v>
      </c>
      <c r="H78" s="305" t="s">
        <v>764</v>
      </c>
      <c r="I78" s="307">
        <f>SUM(I79:I94)</f>
        <v>28928.739999999998</v>
      </c>
      <c r="J78" s="307">
        <f t="shared" ref="J78:L78" si="7">SUM(J79:J94)</f>
        <v>24894.54</v>
      </c>
      <c r="K78" s="307">
        <f t="shared" si="7"/>
        <v>22312.100000000002</v>
      </c>
      <c r="L78" s="308">
        <f t="shared" si="7"/>
        <v>1177</v>
      </c>
      <c r="M78" s="305" t="s">
        <v>903</v>
      </c>
      <c r="N78" s="309" t="s">
        <v>903</v>
      </c>
      <c r="O78" s="307">
        <v>1918350.52</v>
      </c>
      <c r="P78" s="307">
        <f>O78/I78</f>
        <v>66.312964892352738</v>
      </c>
      <c r="Q78" s="398">
        <f>MAX(Q79:Q94)</f>
        <v>21198.080407066056</v>
      </c>
      <c r="R78" s="313"/>
      <c r="S78" s="110"/>
      <c r="V78" s="314"/>
      <c r="W78" s="314"/>
    </row>
    <row r="79" spans="1:23" customFormat="1" ht="35.25" x14ac:dyDescent="0.5">
      <c r="A79">
        <v>1</v>
      </c>
      <c r="B79" s="310">
        <v>10</v>
      </c>
      <c r="C79" s="311" t="s">
        <v>1432</v>
      </c>
      <c r="D79" s="305">
        <v>1966</v>
      </c>
      <c r="E79" s="305"/>
      <c r="F79" s="306" t="s">
        <v>270</v>
      </c>
      <c r="G79" s="305">
        <v>5</v>
      </c>
      <c r="H79" s="305">
        <v>4</v>
      </c>
      <c r="I79" s="307">
        <v>4070</v>
      </c>
      <c r="J79" s="307">
        <v>3151.1</v>
      </c>
      <c r="K79" s="307">
        <v>2925.4</v>
      </c>
      <c r="L79" s="308">
        <v>137</v>
      </c>
      <c r="M79" s="305" t="s">
        <v>272</v>
      </c>
      <c r="N79" s="309" t="s">
        <v>1526</v>
      </c>
      <c r="O79" s="312">
        <v>13061.27</v>
      </c>
      <c r="P79" s="307">
        <f t="shared" ref="P79:P83" si="8">O79/I79</f>
        <v>3.2091572481572483</v>
      </c>
      <c r="Q79" s="167">
        <v>1716.8499262899263</v>
      </c>
      <c r="R79" s="313"/>
      <c r="S79" s="110"/>
      <c r="V79" s="314"/>
      <c r="W79" s="314"/>
    </row>
    <row r="80" spans="1:23" customFormat="1" ht="35.25" x14ac:dyDescent="0.5">
      <c r="A80">
        <v>1</v>
      </c>
      <c r="B80" s="310">
        <v>11</v>
      </c>
      <c r="C80" s="311" t="s">
        <v>1433</v>
      </c>
      <c r="D80" s="305">
        <v>1960</v>
      </c>
      <c r="E80" s="305">
        <v>2006</v>
      </c>
      <c r="F80" s="306" t="s">
        <v>270</v>
      </c>
      <c r="G80" s="305">
        <v>2</v>
      </c>
      <c r="H80" s="305">
        <v>3</v>
      </c>
      <c r="I80" s="307">
        <v>1011.9</v>
      </c>
      <c r="J80" s="307">
        <v>804.7</v>
      </c>
      <c r="K80" s="307">
        <v>655.4</v>
      </c>
      <c r="L80" s="308">
        <v>42</v>
      </c>
      <c r="M80" s="305" t="s">
        <v>272</v>
      </c>
      <c r="N80" s="309" t="s">
        <v>1527</v>
      </c>
      <c r="O80" s="312">
        <v>165591.97</v>
      </c>
      <c r="P80" s="307">
        <f t="shared" si="8"/>
        <v>163.64459926870245</v>
      </c>
      <c r="Q80" s="167">
        <v>4489.2530380472381</v>
      </c>
      <c r="R80" s="313"/>
      <c r="S80" s="110"/>
      <c r="V80" s="314"/>
      <c r="W80" s="314"/>
    </row>
    <row r="81" spans="1:23" customFormat="1" ht="35.25" x14ac:dyDescent="0.5">
      <c r="A81">
        <v>1</v>
      </c>
      <c r="B81" s="310">
        <v>12</v>
      </c>
      <c r="C81" s="311" t="s">
        <v>1434</v>
      </c>
      <c r="D81" s="305">
        <v>1951</v>
      </c>
      <c r="E81" s="305"/>
      <c r="F81" s="306" t="s">
        <v>270</v>
      </c>
      <c r="G81" s="305">
        <v>2</v>
      </c>
      <c r="H81" s="305">
        <v>2</v>
      </c>
      <c r="I81" s="307">
        <v>695</v>
      </c>
      <c r="J81" s="307">
        <v>626.9</v>
      </c>
      <c r="K81" s="307">
        <v>626.9</v>
      </c>
      <c r="L81" s="308">
        <v>33</v>
      </c>
      <c r="M81" s="305" t="s">
        <v>272</v>
      </c>
      <c r="N81" s="309" t="s">
        <v>1003</v>
      </c>
      <c r="O81" s="312">
        <v>170151.06</v>
      </c>
      <c r="P81" s="307">
        <f t="shared" si="8"/>
        <v>244.82166906474819</v>
      </c>
      <c r="Q81" s="167">
        <v>6777.5209352517986</v>
      </c>
      <c r="R81" s="313"/>
      <c r="S81" s="110"/>
      <c r="V81" s="314"/>
      <c r="W81" s="314"/>
    </row>
    <row r="82" spans="1:23" customFormat="1" ht="35.25" x14ac:dyDescent="0.5">
      <c r="A82">
        <v>1</v>
      </c>
      <c r="B82" s="310">
        <v>13</v>
      </c>
      <c r="C82" s="311" t="s">
        <v>1435</v>
      </c>
      <c r="D82" s="305">
        <v>1953</v>
      </c>
      <c r="E82" s="305">
        <v>2006</v>
      </c>
      <c r="F82" s="306" t="s">
        <v>270</v>
      </c>
      <c r="G82" s="305">
        <v>2</v>
      </c>
      <c r="H82" s="305">
        <v>1</v>
      </c>
      <c r="I82" s="307">
        <v>537.54</v>
      </c>
      <c r="J82" s="307">
        <v>501.3</v>
      </c>
      <c r="K82" s="307">
        <v>310.2</v>
      </c>
      <c r="L82" s="308">
        <v>37</v>
      </c>
      <c r="M82" s="305" t="s">
        <v>272</v>
      </c>
      <c r="N82" s="309" t="s">
        <v>1525</v>
      </c>
      <c r="O82" s="312">
        <v>48424.71</v>
      </c>
      <c r="P82" s="307">
        <f t="shared" si="8"/>
        <v>90.085779662908806</v>
      </c>
      <c r="Q82" s="167">
        <v>5768.3861108010569</v>
      </c>
      <c r="R82" s="313"/>
      <c r="S82" s="110"/>
      <c r="V82" s="314"/>
      <c r="W82" s="314"/>
    </row>
    <row r="83" spans="1:23" customFormat="1" ht="35.25" x14ac:dyDescent="0.5">
      <c r="A83">
        <v>1</v>
      </c>
      <c r="B83" s="310">
        <v>14</v>
      </c>
      <c r="C83" s="311" t="s">
        <v>1436</v>
      </c>
      <c r="D83" s="305">
        <v>1958</v>
      </c>
      <c r="E83" s="305">
        <v>2007</v>
      </c>
      <c r="F83" s="306" t="s">
        <v>270</v>
      </c>
      <c r="G83" s="305">
        <v>2</v>
      </c>
      <c r="H83" s="305">
        <v>2</v>
      </c>
      <c r="I83" s="307">
        <v>854.8</v>
      </c>
      <c r="J83" s="307">
        <v>789.8</v>
      </c>
      <c r="K83" s="307">
        <v>434.07</v>
      </c>
      <c r="L83" s="308">
        <v>42</v>
      </c>
      <c r="M83" s="305" t="s">
        <v>272</v>
      </c>
      <c r="N83" s="309" t="s">
        <v>1527</v>
      </c>
      <c r="O83" s="312">
        <v>26187</v>
      </c>
      <c r="P83" s="307">
        <f t="shared" si="8"/>
        <v>30.635236312587743</v>
      </c>
      <c r="Q83" s="167">
        <v>4641.9592419279361</v>
      </c>
      <c r="R83" s="313"/>
      <c r="S83" s="110"/>
      <c r="V83" s="314"/>
      <c r="W83" s="314"/>
    </row>
    <row r="84" spans="1:23" customFormat="1" ht="35.25" x14ac:dyDescent="0.5">
      <c r="A84">
        <v>1</v>
      </c>
      <c r="B84" s="310">
        <v>15</v>
      </c>
      <c r="C84" s="311" t="s">
        <v>1437</v>
      </c>
      <c r="D84" s="305">
        <v>1940</v>
      </c>
      <c r="E84" s="305"/>
      <c r="F84" s="306" t="s">
        <v>270</v>
      </c>
      <c r="G84" s="305">
        <v>3</v>
      </c>
      <c r="H84" s="305">
        <v>2</v>
      </c>
      <c r="I84" s="307">
        <v>1189.4000000000001</v>
      </c>
      <c r="J84" s="307">
        <v>1119.5999999999999</v>
      </c>
      <c r="K84" s="307">
        <v>1021.2</v>
      </c>
      <c r="L84" s="308">
        <v>46</v>
      </c>
      <c r="M84" s="305" t="s">
        <v>272</v>
      </c>
      <c r="N84" s="309" t="s">
        <v>353</v>
      </c>
      <c r="O84" s="307">
        <v>381944.5</v>
      </c>
      <c r="P84" s="307">
        <v>321.12367580292585</v>
      </c>
      <c r="Q84" s="167">
        <v>3383.2999411467963</v>
      </c>
      <c r="R84" s="313"/>
      <c r="S84" s="110"/>
      <c r="V84" s="314"/>
      <c r="W84" s="314"/>
    </row>
    <row r="85" spans="1:23" customFormat="1" ht="35.25" x14ac:dyDescent="0.5">
      <c r="A85">
        <v>1</v>
      </c>
      <c r="B85" s="310">
        <v>16</v>
      </c>
      <c r="C85" s="311" t="s">
        <v>1438</v>
      </c>
      <c r="D85" s="305">
        <v>1961</v>
      </c>
      <c r="E85" s="305"/>
      <c r="F85" s="306" t="s">
        <v>270</v>
      </c>
      <c r="G85" s="305">
        <v>4</v>
      </c>
      <c r="H85" s="305">
        <v>3</v>
      </c>
      <c r="I85" s="307">
        <v>2136.1</v>
      </c>
      <c r="J85" s="307">
        <v>1990.2</v>
      </c>
      <c r="K85" s="307">
        <v>1946.2</v>
      </c>
      <c r="L85" s="308">
        <v>89</v>
      </c>
      <c r="M85" s="305" t="s">
        <v>272</v>
      </c>
      <c r="N85" s="309" t="s">
        <v>1003</v>
      </c>
      <c r="O85" s="312">
        <v>14784.77</v>
      </c>
      <c r="P85" s="307">
        <f>O85/I85</f>
        <v>6.9213847666307764</v>
      </c>
      <c r="Q85" s="167">
        <v>2020.5703511539721</v>
      </c>
      <c r="R85" s="313"/>
      <c r="S85" s="110"/>
      <c r="V85" s="314"/>
      <c r="W85" s="314"/>
    </row>
    <row r="86" spans="1:23" customFormat="1" ht="35.25" x14ac:dyDescent="0.5">
      <c r="A86">
        <v>1</v>
      </c>
      <c r="B86" s="310">
        <v>17</v>
      </c>
      <c r="C86" s="311" t="s">
        <v>1439</v>
      </c>
      <c r="D86" s="305">
        <v>1935</v>
      </c>
      <c r="E86" s="305"/>
      <c r="F86" s="306" t="s">
        <v>270</v>
      </c>
      <c r="G86" s="305">
        <v>2</v>
      </c>
      <c r="H86" s="305">
        <v>2</v>
      </c>
      <c r="I86" s="307">
        <v>474.9</v>
      </c>
      <c r="J86" s="307">
        <v>427.5</v>
      </c>
      <c r="K86" s="307">
        <v>427.5</v>
      </c>
      <c r="L86" s="308">
        <v>15</v>
      </c>
      <c r="M86" s="305" t="s">
        <v>272</v>
      </c>
      <c r="N86" s="309" t="s">
        <v>353</v>
      </c>
      <c r="O86" s="307">
        <v>433416.75</v>
      </c>
      <c r="P86" s="307">
        <v>912.64845230574861</v>
      </c>
      <c r="Q86" s="167">
        <v>13365.003411244476</v>
      </c>
      <c r="R86" s="313"/>
      <c r="S86" s="110"/>
      <c r="V86" s="314"/>
      <c r="W86" s="314"/>
    </row>
    <row r="87" spans="1:23" customFormat="1" ht="35.25" x14ac:dyDescent="0.5">
      <c r="A87">
        <v>1</v>
      </c>
      <c r="B87" s="310">
        <v>18</v>
      </c>
      <c r="C87" s="311" t="s">
        <v>1135</v>
      </c>
      <c r="D87" s="305">
        <v>1991</v>
      </c>
      <c r="E87" s="305">
        <v>2010</v>
      </c>
      <c r="F87" s="306" t="s">
        <v>1336</v>
      </c>
      <c r="G87" s="305">
        <v>13</v>
      </c>
      <c r="H87" s="305">
        <v>1</v>
      </c>
      <c r="I87" s="307">
        <v>4135.3</v>
      </c>
      <c r="J87" s="307">
        <v>3928.9</v>
      </c>
      <c r="K87" s="307">
        <v>3680.79</v>
      </c>
      <c r="L87" s="308">
        <v>225</v>
      </c>
      <c r="M87" s="309" t="s">
        <v>272</v>
      </c>
      <c r="N87" s="324" t="s">
        <v>352</v>
      </c>
      <c r="O87" s="312">
        <v>168023.84</v>
      </c>
      <c r="P87" s="307">
        <f t="shared" ref="P87:P88" si="9">O87/I87</f>
        <v>40.631596256619829</v>
      </c>
      <c r="Q87" s="167">
        <v>609.51312843082724</v>
      </c>
      <c r="R87" s="313"/>
      <c r="S87" s="110"/>
      <c r="V87" s="314"/>
      <c r="W87" s="314"/>
    </row>
    <row r="88" spans="1:23" customFormat="1" ht="35.25" x14ac:dyDescent="0.5">
      <c r="A88">
        <v>1</v>
      </c>
      <c r="B88" s="310">
        <v>19</v>
      </c>
      <c r="C88" s="311" t="s">
        <v>1440</v>
      </c>
      <c r="D88" s="305">
        <v>1959</v>
      </c>
      <c r="E88" s="305"/>
      <c r="F88" s="306" t="s">
        <v>270</v>
      </c>
      <c r="G88" s="305">
        <v>4</v>
      </c>
      <c r="H88" s="305">
        <v>3</v>
      </c>
      <c r="I88" s="307">
        <v>3123</v>
      </c>
      <c r="J88" s="307">
        <v>2505.0300000000002</v>
      </c>
      <c r="K88" s="307">
        <v>2369.63</v>
      </c>
      <c r="L88" s="308">
        <v>89</v>
      </c>
      <c r="M88" s="324" t="s">
        <v>272</v>
      </c>
      <c r="N88" s="324" t="s">
        <v>1335</v>
      </c>
      <c r="O88" s="312">
        <v>15481.01</v>
      </c>
      <c r="P88" s="307">
        <f t="shared" si="9"/>
        <v>4.9570957412744159</v>
      </c>
      <c r="Q88" s="167">
        <v>2309.3755875760485</v>
      </c>
      <c r="R88" s="313"/>
      <c r="S88" s="110"/>
      <c r="V88" s="314"/>
      <c r="W88" s="314"/>
    </row>
    <row r="89" spans="1:23" customFormat="1" ht="35.25" x14ac:dyDescent="0.5">
      <c r="A89">
        <v>1</v>
      </c>
      <c r="B89" s="310">
        <v>20</v>
      </c>
      <c r="C89" s="311" t="s">
        <v>1511</v>
      </c>
      <c r="D89" s="305">
        <v>1953</v>
      </c>
      <c r="E89" s="305">
        <v>2008</v>
      </c>
      <c r="F89" s="306" t="s">
        <v>270</v>
      </c>
      <c r="G89" s="305">
        <v>2</v>
      </c>
      <c r="H89" s="305">
        <v>1</v>
      </c>
      <c r="I89" s="307">
        <v>520.79999999999995</v>
      </c>
      <c r="J89" s="307">
        <v>480.7</v>
      </c>
      <c r="K89" s="307">
        <v>406.6</v>
      </c>
      <c r="L89" s="308">
        <v>27</v>
      </c>
      <c r="M89" s="324" t="s">
        <v>272</v>
      </c>
      <c r="N89" s="324" t="s">
        <v>352</v>
      </c>
      <c r="O89" s="307">
        <v>130104.73</v>
      </c>
      <c r="P89" s="307">
        <v>249.81706989247314</v>
      </c>
      <c r="Q89" s="167">
        <v>21198.080407066056</v>
      </c>
      <c r="R89" s="313"/>
      <c r="S89" s="110"/>
      <c r="V89" s="314"/>
      <c r="W89" s="314"/>
    </row>
    <row r="90" spans="1:23" customFormat="1" ht="35.25" x14ac:dyDescent="0.5">
      <c r="A90">
        <v>1</v>
      </c>
      <c r="B90" s="310">
        <v>21</v>
      </c>
      <c r="C90" s="311" t="s">
        <v>1512</v>
      </c>
      <c r="D90" s="305">
        <v>1936</v>
      </c>
      <c r="E90" s="305">
        <v>2008</v>
      </c>
      <c r="F90" s="306" t="s">
        <v>270</v>
      </c>
      <c r="G90" s="305">
        <v>3</v>
      </c>
      <c r="H90" s="305">
        <v>4</v>
      </c>
      <c r="I90" s="307">
        <v>1637.8</v>
      </c>
      <c r="J90" s="307">
        <v>1246.5999999999999</v>
      </c>
      <c r="K90" s="307">
        <v>1142.8</v>
      </c>
      <c r="L90" s="308">
        <v>53</v>
      </c>
      <c r="M90" s="324" t="s">
        <v>272</v>
      </c>
      <c r="N90" s="324" t="s">
        <v>353</v>
      </c>
      <c r="O90" s="312">
        <v>159880.51999999999</v>
      </c>
      <c r="P90" s="307">
        <f t="shared" ref="P90:P93" si="10">O90/I90</f>
        <v>97.619074368054697</v>
      </c>
      <c r="Q90" s="167">
        <v>2371.7990800464036</v>
      </c>
      <c r="R90" s="313"/>
      <c r="S90" s="110"/>
      <c r="V90" s="314"/>
      <c r="W90" s="314"/>
    </row>
    <row r="91" spans="1:23" customFormat="1" ht="35.25" x14ac:dyDescent="0.5">
      <c r="A91">
        <v>1</v>
      </c>
      <c r="B91" s="310">
        <v>22</v>
      </c>
      <c r="C91" s="311" t="s">
        <v>1513</v>
      </c>
      <c r="D91" s="305">
        <v>1950</v>
      </c>
      <c r="E91" s="305"/>
      <c r="F91" s="306" t="s">
        <v>270</v>
      </c>
      <c r="G91" s="305">
        <v>2</v>
      </c>
      <c r="H91" s="305">
        <v>1</v>
      </c>
      <c r="I91" s="307">
        <v>459.9</v>
      </c>
      <c r="J91" s="307">
        <v>417.6</v>
      </c>
      <c r="K91" s="307">
        <v>417.6</v>
      </c>
      <c r="L91" s="308">
        <v>24</v>
      </c>
      <c r="M91" s="324" t="s">
        <v>272</v>
      </c>
      <c r="N91" s="324" t="s">
        <v>1003</v>
      </c>
      <c r="O91" s="312">
        <v>9497.9600000000009</v>
      </c>
      <c r="P91" s="307">
        <f t="shared" si="10"/>
        <v>20.652228745379432</v>
      </c>
      <c r="Q91" s="167">
        <v>7461.1883018047401</v>
      </c>
      <c r="R91" s="313"/>
      <c r="S91" s="110"/>
      <c r="V91" s="314"/>
      <c r="W91" s="314"/>
    </row>
    <row r="92" spans="1:23" customFormat="1" ht="35.25" x14ac:dyDescent="0.5">
      <c r="A92">
        <v>1</v>
      </c>
      <c r="B92" s="310">
        <v>23</v>
      </c>
      <c r="C92" s="311" t="s">
        <v>1514</v>
      </c>
      <c r="D92" s="305">
        <v>1961</v>
      </c>
      <c r="E92" s="305"/>
      <c r="F92" s="306" t="s">
        <v>270</v>
      </c>
      <c r="G92" s="305">
        <v>4</v>
      </c>
      <c r="H92" s="305">
        <v>2</v>
      </c>
      <c r="I92" s="307">
        <v>2794.3</v>
      </c>
      <c r="J92" s="307">
        <v>1973.11</v>
      </c>
      <c r="K92" s="307">
        <v>1887.11</v>
      </c>
      <c r="L92" s="308">
        <v>86</v>
      </c>
      <c r="M92" s="324" t="s">
        <v>272</v>
      </c>
      <c r="N92" s="324" t="s">
        <v>1587</v>
      </c>
      <c r="O92" s="312">
        <v>61000.020000000004</v>
      </c>
      <c r="P92" s="307">
        <f t="shared" si="10"/>
        <v>21.830161399992843</v>
      </c>
      <c r="Q92" s="167">
        <v>1801.8109616004008</v>
      </c>
      <c r="R92" s="313"/>
      <c r="S92" s="110"/>
      <c r="V92" s="314"/>
      <c r="W92" s="314"/>
    </row>
    <row r="93" spans="1:23" customFormat="1" ht="35.25" x14ac:dyDescent="0.5">
      <c r="A93">
        <v>1</v>
      </c>
      <c r="B93" s="310">
        <v>24</v>
      </c>
      <c r="C93" s="311" t="s">
        <v>1623</v>
      </c>
      <c r="D93" s="305">
        <v>1952</v>
      </c>
      <c r="E93" s="305"/>
      <c r="F93" s="306" t="s">
        <v>340</v>
      </c>
      <c r="G93" s="305">
        <v>2</v>
      </c>
      <c r="H93" s="305">
        <v>3</v>
      </c>
      <c r="I93" s="307">
        <v>1380</v>
      </c>
      <c r="J93" s="307">
        <v>1114.5</v>
      </c>
      <c r="K93" s="307">
        <v>895.5</v>
      </c>
      <c r="L93" s="308">
        <v>35</v>
      </c>
      <c r="M93" s="324" t="s">
        <v>272</v>
      </c>
      <c r="N93" s="324" t="s">
        <v>1622</v>
      </c>
      <c r="O93" s="312">
        <v>91802</v>
      </c>
      <c r="P93" s="307">
        <f t="shared" si="10"/>
        <v>66.5231884057971</v>
      </c>
      <c r="Q93" s="167">
        <v>4787.6852826086952</v>
      </c>
      <c r="R93" s="313"/>
      <c r="S93" s="110"/>
      <c r="V93" s="314"/>
      <c r="W93" s="314"/>
    </row>
    <row r="94" spans="1:23" s="293" customFormat="1" ht="35.25" x14ac:dyDescent="0.5">
      <c r="A94"/>
      <c r="B94" s="315">
        <v>25</v>
      </c>
      <c r="C94" s="316" t="s">
        <v>1914</v>
      </c>
      <c r="D94" s="317" t="s">
        <v>380</v>
      </c>
      <c r="E94" s="317"/>
      <c r="F94" s="318" t="s">
        <v>315</v>
      </c>
      <c r="G94" s="317">
        <v>5</v>
      </c>
      <c r="H94" s="317">
        <v>4</v>
      </c>
      <c r="I94" s="312">
        <v>3908</v>
      </c>
      <c r="J94" s="312">
        <v>3817</v>
      </c>
      <c r="K94" s="312">
        <v>3165.2</v>
      </c>
      <c r="L94" s="319">
        <v>197</v>
      </c>
      <c r="M94" s="325" t="s">
        <v>272</v>
      </c>
      <c r="N94" s="320" t="s">
        <v>1716</v>
      </c>
      <c r="O94" s="312">
        <v>28998.41</v>
      </c>
      <c r="P94" s="312">
        <v>7.4202686796315254</v>
      </c>
      <c r="Q94" s="167">
        <v>1521.4128019447287</v>
      </c>
      <c r="R94" s="321"/>
      <c r="S94" s="322"/>
      <c r="V94" s="323"/>
      <c r="W94" s="323"/>
    </row>
    <row r="95" spans="1:23" customFormat="1" ht="35.25" x14ac:dyDescent="0.5">
      <c r="B95" s="304" t="s">
        <v>836</v>
      </c>
      <c r="C95" s="311"/>
      <c r="D95" s="305" t="s">
        <v>764</v>
      </c>
      <c r="E95" s="305" t="s">
        <v>764</v>
      </c>
      <c r="F95" s="306" t="s">
        <v>764</v>
      </c>
      <c r="G95" s="305" t="s">
        <v>764</v>
      </c>
      <c r="H95" s="305" t="s">
        <v>764</v>
      </c>
      <c r="I95" s="307">
        <f>SUM(I96:I102)</f>
        <v>14909.5</v>
      </c>
      <c r="J95" s="307">
        <f t="shared" ref="J95:L95" si="11">SUM(J96:J102)</f>
        <v>8883.0999999999985</v>
      </c>
      <c r="K95" s="307">
        <f t="shared" si="11"/>
        <v>7514.1</v>
      </c>
      <c r="L95" s="308">
        <f t="shared" si="11"/>
        <v>477</v>
      </c>
      <c r="M95" s="305" t="s">
        <v>903</v>
      </c>
      <c r="N95" s="309" t="s">
        <v>903</v>
      </c>
      <c r="O95" s="307">
        <v>2685320.57</v>
      </c>
      <c r="P95" s="307">
        <f>O95/I95</f>
        <v>180.10802307253763</v>
      </c>
      <c r="Q95" s="398">
        <f>MAX(Q96:Q102)</f>
        <v>5889.0846370829031</v>
      </c>
      <c r="R95" s="313"/>
      <c r="S95" s="110"/>
      <c r="V95" s="314"/>
      <c r="W95" s="314"/>
    </row>
    <row r="96" spans="1:23" customFormat="1" ht="35.25" x14ac:dyDescent="0.5">
      <c r="A96">
        <v>1</v>
      </c>
      <c r="B96" s="310">
        <v>26</v>
      </c>
      <c r="C96" s="311" t="s">
        <v>1441</v>
      </c>
      <c r="D96" s="305">
        <v>1992</v>
      </c>
      <c r="E96" s="305"/>
      <c r="F96" s="306" t="s">
        <v>270</v>
      </c>
      <c r="G96" s="305">
        <v>3</v>
      </c>
      <c r="H96" s="305">
        <v>3</v>
      </c>
      <c r="I96" s="307">
        <v>3997</v>
      </c>
      <c r="J96" s="307">
        <v>1901.1</v>
      </c>
      <c r="K96" s="307">
        <v>1791.5</v>
      </c>
      <c r="L96" s="308">
        <v>73</v>
      </c>
      <c r="M96" s="305" t="s">
        <v>272</v>
      </c>
      <c r="N96" s="309" t="s">
        <v>1528</v>
      </c>
      <c r="O96" s="312">
        <v>505301.78</v>
      </c>
      <c r="P96" s="307">
        <f t="shared" ref="P96:P97" si="12">O96/I96</f>
        <v>126.42026019514637</v>
      </c>
      <c r="Q96" s="167">
        <v>1791.9111033274955</v>
      </c>
      <c r="R96" s="313"/>
      <c r="S96" s="110"/>
      <c r="V96" s="314"/>
      <c r="W96" s="314"/>
    </row>
    <row r="97" spans="1:23" customFormat="1" ht="35.25" x14ac:dyDescent="0.5">
      <c r="A97">
        <v>1</v>
      </c>
      <c r="B97" s="310">
        <v>27</v>
      </c>
      <c r="C97" s="311" t="s">
        <v>1442</v>
      </c>
      <c r="D97" s="305">
        <v>1983</v>
      </c>
      <c r="E97" s="305"/>
      <c r="F97" s="306" t="s">
        <v>315</v>
      </c>
      <c r="G97" s="305">
        <v>5</v>
      </c>
      <c r="H97" s="305">
        <v>4</v>
      </c>
      <c r="I97" s="307">
        <v>4357</v>
      </c>
      <c r="J97" s="307">
        <v>1821.4</v>
      </c>
      <c r="K97" s="307">
        <v>1678.3</v>
      </c>
      <c r="L97" s="308">
        <v>159</v>
      </c>
      <c r="M97" s="305" t="s">
        <v>272</v>
      </c>
      <c r="N97" s="309" t="s">
        <v>1528</v>
      </c>
      <c r="O97" s="312">
        <v>1853524.39</v>
      </c>
      <c r="P97" s="307">
        <f t="shared" si="12"/>
        <v>425.41298829469815</v>
      </c>
      <c r="Q97" s="167">
        <v>1163.4414448014688</v>
      </c>
      <c r="R97" s="313"/>
      <c r="S97" s="110"/>
      <c r="V97" s="314"/>
      <c r="W97" s="314"/>
    </row>
    <row r="98" spans="1:23" customFormat="1" ht="35.25" x14ac:dyDescent="0.5">
      <c r="A98">
        <v>1</v>
      </c>
      <c r="B98" s="310">
        <v>28</v>
      </c>
      <c r="C98" s="311" t="s">
        <v>1443</v>
      </c>
      <c r="D98" s="305">
        <v>1940</v>
      </c>
      <c r="E98" s="305"/>
      <c r="F98" s="306" t="s">
        <v>270</v>
      </c>
      <c r="G98" s="305">
        <v>3</v>
      </c>
      <c r="H98" s="305">
        <v>3</v>
      </c>
      <c r="I98" s="307">
        <v>2021</v>
      </c>
      <c r="J98" s="307">
        <v>1886.9</v>
      </c>
      <c r="K98" s="307">
        <v>1320.5</v>
      </c>
      <c r="L98" s="308">
        <v>47</v>
      </c>
      <c r="M98" s="305" t="s">
        <v>272</v>
      </c>
      <c r="N98" s="309" t="s">
        <v>1529</v>
      </c>
      <c r="O98" s="307">
        <v>58266.54</v>
      </c>
      <c r="P98" s="307">
        <v>28.830549233052945</v>
      </c>
      <c r="Q98" s="167">
        <v>3829.6596682830277</v>
      </c>
      <c r="R98" s="313"/>
      <c r="S98" s="110"/>
      <c r="V98" s="314"/>
      <c r="W98" s="314"/>
    </row>
    <row r="99" spans="1:23" customFormat="1" ht="35.25" x14ac:dyDescent="0.5">
      <c r="A99">
        <v>1</v>
      </c>
      <c r="B99" s="310">
        <v>29</v>
      </c>
      <c r="C99" s="311" t="s">
        <v>1444</v>
      </c>
      <c r="D99" s="305">
        <v>1994</v>
      </c>
      <c r="E99" s="305"/>
      <c r="F99" s="306" t="s">
        <v>270</v>
      </c>
      <c r="G99" s="305">
        <v>3</v>
      </c>
      <c r="H99" s="305">
        <v>3</v>
      </c>
      <c r="I99" s="307">
        <v>1540.3</v>
      </c>
      <c r="J99" s="307">
        <v>1362.4</v>
      </c>
      <c r="K99" s="307">
        <v>1247.3</v>
      </c>
      <c r="L99" s="308">
        <v>65</v>
      </c>
      <c r="M99" s="305" t="s">
        <v>269</v>
      </c>
      <c r="N99" s="309" t="s">
        <v>271</v>
      </c>
      <c r="O99" s="312">
        <v>177653.64</v>
      </c>
      <c r="P99" s="307">
        <f t="shared" ref="P99:P101" si="13">O99/I99</f>
        <v>115.33703823930405</v>
      </c>
      <c r="Q99" s="167">
        <v>3394.2781146529896</v>
      </c>
      <c r="R99" s="313"/>
      <c r="S99" s="110"/>
      <c r="V99" s="314"/>
      <c r="W99" s="314"/>
    </row>
    <row r="100" spans="1:23" customFormat="1" ht="35.25" x14ac:dyDescent="0.5">
      <c r="A100">
        <v>1</v>
      </c>
      <c r="B100" s="310">
        <v>30</v>
      </c>
      <c r="C100" s="311" t="s">
        <v>1445</v>
      </c>
      <c r="D100" s="305">
        <v>1955</v>
      </c>
      <c r="E100" s="305"/>
      <c r="F100" s="306" t="s">
        <v>270</v>
      </c>
      <c r="G100" s="305">
        <v>2</v>
      </c>
      <c r="H100" s="305">
        <v>2</v>
      </c>
      <c r="I100" s="307">
        <v>872.1</v>
      </c>
      <c r="J100" s="307">
        <v>557</v>
      </c>
      <c r="K100" s="307">
        <v>255.4</v>
      </c>
      <c r="L100" s="308">
        <v>40</v>
      </c>
      <c r="M100" s="305" t="s">
        <v>272</v>
      </c>
      <c r="N100" s="309" t="s">
        <v>1529</v>
      </c>
      <c r="O100" s="312">
        <v>63876.88</v>
      </c>
      <c r="P100" s="307">
        <f t="shared" si="13"/>
        <v>73.2449031074418</v>
      </c>
      <c r="Q100" s="167">
        <v>5889.0846370829031</v>
      </c>
      <c r="R100" s="313"/>
      <c r="S100" s="110"/>
      <c r="V100" s="314"/>
      <c r="W100" s="314"/>
    </row>
    <row r="101" spans="1:23" customFormat="1" ht="35.25" x14ac:dyDescent="0.5">
      <c r="A101">
        <v>1</v>
      </c>
      <c r="B101" s="310">
        <v>31</v>
      </c>
      <c r="C101" s="311" t="s">
        <v>1446</v>
      </c>
      <c r="D101" s="305">
        <v>1928</v>
      </c>
      <c r="E101" s="305"/>
      <c r="F101" s="306" t="s">
        <v>270</v>
      </c>
      <c r="G101" s="305">
        <v>2</v>
      </c>
      <c r="H101" s="305">
        <v>2</v>
      </c>
      <c r="I101" s="307">
        <v>552</v>
      </c>
      <c r="J101" s="307">
        <v>401.5</v>
      </c>
      <c r="K101" s="307">
        <v>268.3</v>
      </c>
      <c r="L101" s="308">
        <v>32</v>
      </c>
      <c r="M101" s="305" t="s">
        <v>269</v>
      </c>
      <c r="N101" s="309" t="s">
        <v>271</v>
      </c>
      <c r="O101" s="312">
        <v>2454.27</v>
      </c>
      <c r="P101" s="307">
        <f t="shared" si="13"/>
        <v>4.446141304347826</v>
      </c>
      <c r="Q101" s="167">
        <v>5334.7201449275362</v>
      </c>
      <c r="R101" s="313"/>
      <c r="S101" s="110"/>
      <c r="V101" s="314"/>
      <c r="W101" s="314"/>
    </row>
    <row r="102" spans="1:23" s="293" customFormat="1" ht="35.25" x14ac:dyDescent="0.5">
      <c r="A102"/>
      <c r="B102" s="315">
        <v>32</v>
      </c>
      <c r="C102" s="316" t="s">
        <v>1915</v>
      </c>
      <c r="D102" s="317" t="s">
        <v>374</v>
      </c>
      <c r="E102" s="317"/>
      <c r="F102" s="318" t="s">
        <v>270</v>
      </c>
      <c r="G102" s="317">
        <v>3</v>
      </c>
      <c r="H102" s="317">
        <v>3</v>
      </c>
      <c r="I102" s="312">
        <v>1570.1</v>
      </c>
      <c r="J102" s="312">
        <v>952.8</v>
      </c>
      <c r="K102" s="312">
        <v>952.8</v>
      </c>
      <c r="L102" s="319">
        <v>61</v>
      </c>
      <c r="M102" s="317" t="s">
        <v>345</v>
      </c>
      <c r="N102" s="320" t="s">
        <v>1927</v>
      </c>
      <c r="O102" s="312">
        <v>24243.07</v>
      </c>
      <c r="P102" s="312">
        <v>15.440462390930515</v>
      </c>
      <c r="Q102" s="167">
        <v>3913.971307560028</v>
      </c>
      <c r="R102" s="321"/>
      <c r="S102" s="322"/>
      <c r="V102" s="323"/>
      <c r="W102" s="323"/>
    </row>
    <row r="103" spans="1:23" customFormat="1" ht="35.25" x14ac:dyDescent="0.5">
      <c r="B103" s="304" t="s">
        <v>835</v>
      </c>
      <c r="C103" s="311"/>
      <c r="D103" s="305" t="s">
        <v>764</v>
      </c>
      <c r="E103" s="305" t="s">
        <v>764</v>
      </c>
      <c r="F103" s="306" t="s">
        <v>764</v>
      </c>
      <c r="G103" s="305" t="s">
        <v>764</v>
      </c>
      <c r="H103" s="305" t="s">
        <v>764</v>
      </c>
      <c r="I103" s="307">
        <v>3874.7000000000003</v>
      </c>
      <c r="J103" s="307">
        <v>2543</v>
      </c>
      <c r="K103" s="307">
        <v>1614</v>
      </c>
      <c r="L103" s="308">
        <v>141</v>
      </c>
      <c r="M103" s="305" t="s">
        <v>903</v>
      </c>
      <c r="N103" s="309" t="s">
        <v>903</v>
      </c>
      <c r="O103" s="307">
        <v>3093758.95</v>
      </c>
      <c r="P103" s="307">
        <f>O103/I103</f>
        <v>798.45122203009259</v>
      </c>
      <c r="Q103" s="398">
        <f>MAX(Q104:Q107)</f>
        <v>4490.9395258620689</v>
      </c>
      <c r="R103" s="313"/>
      <c r="S103" s="110"/>
      <c r="V103" s="314"/>
      <c r="W103" s="314"/>
    </row>
    <row r="104" spans="1:23" customFormat="1" ht="35.25" x14ac:dyDescent="0.5">
      <c r="A104">
        <v>1</v>
      </c>
      <c r="B104" s="310">
        <v>33</v>
      </c>
      <c r="C104" s="311" t="s">
        <v>1447</v>
      </c>
      <c r="D104" s="305">
        <v>1965</v>
      </c>
      <c r="E104" s="305"/>
      <c r="F104" s="306" t="s">
        <v>270</v>
      </c>
      <c r="G104" s="305">
        <v>2</v>
      </c>
      <c r="H104" s="305">
        <v>2</v>
      </c>
      <c r="I104" s="307">
        <v>772.6</v>
      </c>
      <c r="J104" s="307">
        <v>450.9</v>
      </c>
      <c r="K104" s="307">
        <v>299.5</v>
      </c>
      <c r="L104" s="308">
        <v>27</v>
      </c>
      <c r="M104" s="305" t="s">
        <v>269</v>
      </c>
      <c r="N104" s="305" t="s">
        <v>271</v>
      </c>
      <c r="O104" s="312">
        <v>49155.21</v>
      </c>
      <c r="P104" s="307">
        <f t="shared" ref="P104:P107" si="14">O104/I104</f>
        <v>63.62310380533264</v>
      </c>
      <c r="Q104" s="167">
        <v>3326.9879886098884</v>
      </c>
      <c r="R104" s="313"/>
      <c r="S104" s="110"/>
      <c r="V104" s="314"/>
      <c r="W104" s="314"/>
    </row>
    <row r="105" spans="1:23" customFormat="1" ht="35.25" x14ac:dyDescent="0.5">
      <c r="A105">
        <v>1</v>
      </c>
      <c r="B105" s="310">
        <v>34</v>
      </c>
      <c r="C105" s="311" t="s">
        <v>1448</v>
      </c>
      <c r="D105" s="305">
        <v>1942</v>
      </c>
      <c r="E105" s="305"/>
      <c r="F105" s="306" t="s">
        <v>334</v>
      </c>
      <c r="G105" s="305">
        <v>2</v>
      </c>
      <c r="H105" s="305">
        <v>2</v>
      </c>
      <c r="I105" s="307">
        <v>842.2</v>
      </c>
      <c r="J105" s="307">
        <v>492.3</v>
      </c>
      <c r="K105" s="307">
        <v>352</v>
      </c>
      <c r="L105" s="308">
        <v>33</v>
      </c>
      <c r="M105" s="305" t="s">
        <v>269</v>
      </c>
      <c r="N105" s="305" t="s">
        <v>271</v>
      </c>
      <c r="O105" s="312">
        <v>14754.83</v>
      </c>
      <c r="P105" s="307">
        <f t="shared" si="14"/>
        <v>17.519389693659463</v>
      </c>
      <c r="Q105" s="167">
        <v>3763.1990976015195</v>
      </c>
      <c r="R105" s="313"/>
      <c r="S105" s="110"/>
      <c r="V105" s="314"/>
      <c r="W105" s="314"/>
    </row>
    <row r="106" spans="1:23" customFormat="1" ht="35.25" x14ac:dyDescent="0.5">
      <c r="A106">
        <v>1</v>
      </c>
      <c r="B106" s="310">
        <v>35</v>
      </c>
      <c r="C106" s="311" t="s">
        <v>1449</v>
      </c>
      <c r="D106" s="305">
        <v>1933</v>
      </c>
      <c r="E106" s="305"/>
      <c r="F106" s="306" t="s">
        <v>270</v>
      </c>
      <c r="G106" s="305">
        <v>3</v>
      </c>
      <c r="H106" s="305">
        <v>3</v>
      </c>
      <c r="I106" s="307">
        <v>1795.9</v>
      </c>
      <c r="J106" s="307">
        <v>1183</v>
      </c>
      <c r="K106" s="307">
        <v>857.7</v>
      </c>
      <c r="L106" s="308">
        <v>48</v>
      </c>
      <c r="M106" s="305" t="s">
        <v>269</v>
      </c>
      <c r="N106" s="305" t="s">
        <v>271</v>
      </c>
      <c r="O106" s="312">
        <v>2981100.72</v>
      </c>
      <c r="P106" s="307">
        <f t="shared" si="14"/>
        <v>1659.94805946879</v>
      </c>
      <c r="Q106" s="167">
        <v>2536.0010579653654</v>
      </c>
      <c r="R106" s="313"/>
      <c r="S106" s="110"/>
      <c r="V106" s="314"/>
      <c r="W106" s="314"/>
    </row>
    <row r="107" spans="1:23" customFormat="1" ht="35.25" x14ac:dyDescent="0.5">
      <c r="A107">
        <v>1</v>
      </c>
      <c r="B107" s="310">
        <v>36</v>
      </c>
      <c r="C107" s="311" t="s">
        <v>1450</v>
      </c>
      <c r="D107" s="305">
        <v>1934</v>
      </c>
      <c r="E107" s="305"/>
      <c r="F107" s="306" t="s">
        <v>334</v>
      </c>
      <c r="G107" s="305">
        <v>2</v>
      </c>
      <c r="H107" s="305">
        <v>2</v>
      </c>
      <c r="I107" s="307">
        <v>464</v>
      </c>
      <c r="J107" s="307">
        <v>416.8</v>
      </c>
      <c r="K107" s="307">
        <v>104.80000000000001</v>
      </c>
      <c r="L107" s="308">
        <v>33</v>
      </c>
      <c r="M107" s="305" t="s">
        <v>269</v>
      </c>
      <c r="N107" s="305" t="s">
        <v>271</v>
      </c>
      <c r="O107" s="312">
        <v>48748.189999999995</v>
      </c>
      <c r="P107" s="307">
        <f t="shared" si="14"/>
        <v>105.06075431034482</v>
      </c>
      <c r="Q107" s="167">
        <v>4490.9395258620689</v>
      </c>
      <c r="R107" s="313"/>
      <c r="S107" s="110"/>
      <c r="V107" s="314"/>
      <c r="W107" s="314"/>
    </row>
    <row r="108" spans="1:23" customFormat="1" ht="35.25" x14ac:dyDescent="0.5">
      <c r="B108" s="304" t="s">
        <v>773</v>
      </c>
      <c r="C108" s="311"/>
      <c r="D108" s="305" t="s">
        <v>764</v>
      </c>
      <c r="E108" s="305" t="s">
        <v>764</v>
      </c>
      <c r="F108" s="306" t="s">
        <v>764</v>
      </c>
      <c r="G108" s="305" t="s">
        <v>764</v>
      </c>
      <c r="H108" s="305" t="s">
        <v>764</v>
      </c>
      <c r="I108" s="307">
        <f>SUM(I109:I138)</f>
        <v>63103.719999999994</v>
      </c>
      <c r="J108" s="307">
        <f t="shared" ref="J108:L108" si="15">SUM(J109:J138)</f>
        <v>52709.600000000006</v>
      </c>
      <c r="K108" s="307">
        <f t="shared" si="15"/>
        <v>44681.909999999996</v>
      </c>
      <c r="L108" s="308">
        <f t="shared" si="15"/>
        <v>2118</v>
      </c>
      <c r="M108" s="305" t="s">
        <v>903</v>
      </c>
      <c r="N108" s="309" t="s">
        <v>903</v>
      </c>
      <c r="O108" s="307">
        <v>9399611.4600000028</v>
      </c>
      <c r="P108" s="307">
        <f>O108/I108</f>
        <v>148.95495004098021</v>
      </c>
      <c r="Q108" s="398">
        <f>MAX(Q109:Q138)</f>
        <v>6561.0029422236603</v>
      </c>
      <c r="R108" s="313"/>
      <c r="S108" s="110"/>
      <c r="V108" s="314"/>
      <c r="W108" s="314"/>
    </row>
    <row r="109" spans="1:23" customFormat="1" ht="35.25" x14ac:dyDescent="0.5">
      <c r="A109">
        <v>1</v>
      </c>
      <c r="B109" s="310">
        <v>37</v>
      </c>
      <c r="C109" s="311" t="s">
        <v>1451</v>
      </c>
      <c r="D109" s="305">
        <v>1962</v>
      </c>
      <c r="E109" s="305"/>
      <c r="F109" s="306" t="s">
        <v>270</v>
      </c>
      <c r="G109" s="305">
        <v>5</v>
      </c>
      <c r="H109" s="305">
        <v>2</v>
      </c>
      <c r="I109" s="307">
        <v>1612.2</v>
      </c>
      <c r="J109" s="307">
        <v>1358.8</v>
      </c>
      <c r="K109" s="307">
        <v>1358.8</v>
      </c>
      <c r="L109" s="308">
        <v>53</v>
      </c>
      <c r="M109" s="305" t="s">
        <v>272</v>
      </c>
      <c r="N109" s="305" t="s">
        <v>1530</v>
      </c>
      <c r="O109" s="307">
        <v>15597.11</v>
      </c>
      <c r="P109" s="307">
        <v>9.6744262498449327</v>
      </c>
      <c r="Q109" s="167">
        <v>795.31</v>
      </c>
      <c r="R109" s="313"/>
      <c r="S109" s="110"/>
      <c r="V109" s="314"/>
      <c r="W109" s="314"/>
    </row>
    <row r="110" spans="1:23" customFormat="1" ht="35.25" x14ac:dyDescent="0.5">
      <c r="A110">
        <v>1</v>
      </c>
      <c r="B110" s="310">
        <v>38</v>
      </c>
      <c r="C110" s="311" t="s">
        <v>1452</v>
      </c>
      <c r="D110" s="305">
        <v>1958</v>
      </c>
      <c r="E110" s="305"/>
      <c r="F110" s="306" t="s">
        <v>270</v>
      </c>
      <c r="G110" s="305">
        <v>4</v>
      </c>
      <c r="H110" s="305">
        <v>4</v>
      </c>
      <c r="I110" s="307">
        <v>5485.5</v>
      </c>
      <c r="J110" s="307">
        <v>4412.8</v>
      </c>
      <c r="K110" s="307">
        <v>3382.7</v>
      </c>
      <c r="L110" s="308">
        <v>96</v>
      </c>
      <c r="M110" s="305" t="s">
        <v>272</v>
      </c>
      <c r="N110" s="309" t="s">
        <v>1371</v>
      </c>
      <c r="O110" s="312">
        <v>2190830</v>
      </c>
      <c r="P110" s="307">
        <f t="shared" ref="P110:P117" si="16">O110/I110</f>
        <v>399.385653085407</v>
      </c>
      <c r="Q110" s="167">
        <v>1819.7531674414365</v>
      </c>
      <c r="R110" s="313"/>
      <c r="S110" s="110"/>
      <c r="V110" s="314"/>
      <c r="W110" s="314"/>
    </row>
    <row r="111" spans="1:23" customFormat="1" ht="35.25" x14ac:dyDescent="0.5">
      <c r="A111">
        <v>1</v>
      </c>
      <c r="B111" s="310">
        <v>39</v>
      </c>
      <c r="C111" s="311" t="s">
        <v>1453</v>
      </c>
      <c r="D111" s="305">
        <v>1929</v>
      </c>
      <c r="E111" s="305"/>
      <c r="F111" s="306" t="s">
        <v>270</v>
      </c>
      <c r="G111" s="305">
        <v>4</v>
      </c>
      <c r="H111" s="305">
        <v>5</v>
      </c>
      <c r="I111" s="307">
        <v>2469.13</v>
      </c>
      <c r="J111" s="307">
        <v>2349.9299999999998</v>
      </c>
      <c r="K111" s="307">
        <v>2349.9299999999998</v>
      </c>
      <c r="L111" s="308">
        <v>95</v>
      </c>
      <c r="M111" s="305" t="s">
        <v>272</v>
      </c>
      <c r="N111" s="309" t="s">
        <v>1531</v>
      </c>
      <c r="O111" s="312">
        <v>485978.33</v>
      </c>
      <c r="P111" s="307">
        <f t="shared" si="16"/>
        <v>196.82168618096253</v>
      </c>
      <c r="Q111" s="167">
        <v>2084.2774907761031</v>
      </c>
      <c r="R111" s="313"/>
      <c r="S111" s="110"/>
      <c r="V111" s="314"/>
      <c r="W111" s="314"/>
    </row>
    <row r="112" spans="1:23" customFormat="1" ht="35.25" x14ac:dyDescent="0.5">
      <c r="A112">
        <v>1</v>
      </c>
      <c r="B112" s="310">
        <v>40</v>
      </c>
      <c r="C112" s="311" t="s">
        <v>1454</v>
      </c>
      <c r="D112" s="305">
        <v>1961</v>
      </c>
      <c r="E112" s="305"/>
      <c r="F112" s="306" t="s">
        <v>270</v>
      </c>
      <c r="G112" s="305">
        <v>4</v>
      </c>
      <c r="H112" s="305">
        <v>2</v>
      </c>
      <c r="I112" s="307">
        <v>1371.7</v>
      </c>
      <c r="J112" s="307">
        <v>1268.5999999999999</v>
      </c>
      <c r="K112" s="307">
        <v>1268.5999999999999</v>
      </c>
      <c r="L112" s="308">
        <v>55</v>
      </c>
      <c r="M112" s="305" t="s">
        <v>272</v>
      </c>
      <c r="N112" s="309" t="s">
        <v>1532</v>
      </c>
      <c r="O112" s="312">
        <v>450455.92</v>
      </c>
      <c r="P112" s="307">
        <f t="shared" si="16"/>
        <v>328.39244732813296</v>
      </c>
      <c r="Q112" s="167">
        <v>2172.2704789677045</v>
      </c>
      <c r="R112" s="313"/>
      <c r="S112" s="110"/>
      <c r="V112" s="314"/>
      <c r="W112" s="314"/>
    </row>
    <row r="113" spans="1:23" customFormat="1" ht="35.25" x14ac:dyDescent="0.5">
      <c r="A113">
        <v>1</v>
      </c>
      <c r="B113" s="310">
        <v>41</v>
      </c>
      <c r="C113" s="311" t="s">
        <v>1455</v>
      </c>
      <c r="D113" s="305">
        <v>1959</v>
      </c>
      <c r="E113" s="305"/>
      <c r="F113" s="306" t="s">
        <v>270</v>
      </c>
      <c r="G113" s="305">
        <v>4</v>
      </c>
      <c r="H113" s="305">
        <v>3</v>
      </c>
      <c r="I113" s="307">
        <v>2155.1999999999998</v>
      </c>
      <c r="J113" s="307">
        <v>1435.2</v>
      </c>
      <c r="K113" s="307">
        <v>1184.7</v>
      </c>
      <c r="L113" s="308">
        <v>62</v>
      </c>
      <c r="M113" s="305" t="s">
        <v>272</v>
      </c>
      <c r="N113" s="309" t="s">
        <v>1533</v>
      </c>
      <c r="O113" s="312">
        <v>428766.45</v>
      </c>
      <c r="P113" s="307">
        <f t="shared" si="16"/>
        <v>198.94508630289533</v>
      </c>
      <c r="Q113" s="167">
        <v>1249.9820610616184</v>
      </c>
      <c r="R113" s="313"/>
      <c r="S113" s="110"/>
      <c r="V113" s="314"/>
      <c r="W113" s="314"/>
    </row>
    <row r="114" spans="1:23" customFormat="1" ht="35.25" x14ac:dyDescent="0.5">
      <c r="A114">
        <v>1</v>
      </c>
      <c r="B114" s="310">
        <v>42</v>
      </c>
      <c r="C114" s="311" t="s">
        <v>1456</v>
      </c>
      <c r="D114" s="305">
        <v>1951</v>
      </c>
      <c r="E114" s="305"/>
      <c r="F114" s="306" t="s">
        <v>340</v>
      </c>
      <c r="G114" s="305">
        <v>2</v>
      </c>
      <c r="H114" s="305">
        <v>2</v>
      </c>
      <c r="I114" s="307">
        <v>747</v>
      </c>
      <c r="J114" s="307">
        <v>596.29999999999995</v>
      </c>
      <c r="K114" s="307">
        <v>584.29999999999995</v>
      </c>
      <c r="L114" s="308">
        <v>22</v>
      </c>
      <c r="M114" s="305" t="s">
        <v>269</v>
      </c>
      <c r="N114" s="309" t="s">
        <v>271</v>
      </c>
      <c r="O114" s="312">
        <v>32554.69</v>
      </c>
      <c r="P114" s="307">
        <f t="shared" si="16"/>
        <v>43.580575635876841</v>
      </c>
      <c r="Q114" s="167">
        <v>6472.7647255689426</v>
      </c>
      <c r="R114" s="313"/>
      <c r="S114" s="110"/>
      <c r="V114" s="314"/>
      <c r="W114" s="314"/>
    </row>
    <row r="115" spans="1:23" customFormat="1" ht="35.25" x14ac:dyDescent="0.5">
      <c r="A115">
        <v>1</v>
      </c>
      <c r="B115" s="310">
        <v>43</v>
      </c>
      <c r="C115" s="311" t="s">
        <v>1457</v>
      </c>
      <c r="D115" s="305">
        <v>1959</v>
      </c>
      <c r="E115" s="305"/>
      <c r="F115" s="306" t="s">
        <v>270</v>
      </c>
      <c r="G115" s="305">
        <v>4</v>
      </c>
      <c r="H115" s="305">
        <v>3</v>
      </c>
      <c r="I115" s="307">
        <v>3647.3</v>
      </c>
      <c r="J115" s="307">
        <v>2675.1</v>
      </c>
      <c r="K115" s="307">
        <v>2194.3000000000002</v>
      </c>
      <c r="L115" s="308">
        <v>61</v>
      </c>
      <c r="M115" s="305" t="s">
        <v>272</v>
      </c>
      <c r="N115" s="309" t="s">
        <v>1534</v>
      </c>
      <c r="O115" s="312">
        <v>1176153.3600000001</v>
      </c>
      <c r="P115" s="307">
        <f t="shared" si="16"/>
        <v>322.47233844213531</v>
      </c>
      <c r="Q115" s="167">
        <v>1898.7168864639596</v>
      </c>
      <c r="R115" s="313"/>
      <c r="S115" s="110"/>
      <c r="V115" s="314"/>
      <c r="W115" s="314"/>
    </row>
    <row r="116" spans="1:23" customFormat="1" ht="35.25" x14ac:dyDescent="0.5">
      <c r="A116">
        <v>1</v>
      </c>
      <c r="B116" s="310">
        <v>44</v>
      </c>
      <c r="C116" s="311" t="s">
        <v>1458</v>
      </c>
      <c r="D116" s="305">
        <v>1973</v>
      </c>
      <c r="E116" s="305"/>
      <c r="F116" s="306" t="s">
        <v>270</v>
      </c>
      <c r="G116" s="305">
        <v>5</v>
      </c>
      <c r="H116" s="305">
        <v>6</v>
      </c>
      <c r="I116" s="307">
        <v>4358.8999999999996</v>
      </c>
      <c r="J116" s="307">
        <v>3381.5</v>
      </c>
      <c r="K116" s="307">
        <v>2777</v>
      </c>
      <c r="L116" s="308">
        <v>177</v>
      </c>
      <c r="M116" s="305" t="s">
        <v>272</v>
      </c>
      <c r="N116" s="309" t="s">
        <v>1408</v>
      </c>
      <c r="O116" s="312">
        <v>99562.97</v>
      </c>
      <c r="P116" s="307">
        <f t="shared" si="16"/>
        <v>22.841306292872058</v>
      </c>
      <c r="Q116" s="167">
        <v>2270.3340388630158</v>
      </c>
      <c r="R116" s="313"/>
      <c r="S116" s="110"/>
      <c r="V116" s="314"/>
      <c r="W116" s="314"/>
    </row>
    <row r="117" spans="1:23" customFormat="1" ht="35.25" x14ac:dyDescent="0.5">
      <c r="A117">
        <v>1</v>
      </c>
      <c r="B117" s="310">
        <v>45</v>
      </c>
      <c r="C117" s="311" t="s">
        <v>1459</v>
      </c>
      <c r="D117" s="305">
        <v>1949</v>
      </c>
      <c r="E117" s="305"/>
      <c r="F117" s="306" t="s">
        <v>340</v>
      </c>
      <c r="G117" s="305">
        <v>2</v>
      </c>
      <c r="H117" s="305">
        <v>2</v>
      </c>
      <c r="I117" s="307">
        <v>728.8</v>
      </c>
      <c r="J117" s="307">
        <v>722.1</v>
      </c>
      <c r="K117" s="307">
        <v>667.2</v>
      </c>
      <c r="L117" s="308">
        <v>25</v>
      </c>
      <c r="M117" s="305" t="s">
        <v>269</v>
      </c>
      <c r="N117" s="309" t="s">
        <v>271</v>
      </c>
      <c r="O117" s="312">
        <v>2522.4300000000003</v>
      </c>
      <c r="P117" s="307">
        <f t="shared" si="16"/>
        <v>3.4610729967069163</v>
      </c>
      <c r="Q117" s="167">
        <v>6086.5326701427002</v>
      </c>
      <c r="R117" s="313"/>
      <c r="S117" s="110"/>
      <c r="V117" s="314"/>
      <c r="W117" s="314"/>
    </row>
    <row r="118" spans="1:23" customFormat="1" ht="35.25" x14ac:dyDescent="0.5">
      <c r="A118">
        <v>1</v>
      </c>
      <c r="B118" s="310">
        <v>46</v>
      </c>
      <c r="C118" s="311" t="s">
        <v>1460</v>
      </c>
      <c r="D118" s="305">
        <v>1956</v>
      </c>
      <c r="E118" s="305"/>
      <c r="F118" s="306" t="s">
        <v>270</v>
      </c>
      <c r="G118" s="305">
        <v>4</v>
      </c>
      <c r="H118" s="305">
        <v>3</v>
      </c>
      <c r="I118" s="307">
        <v>4032.8</v>
      </c>
      <c r="J118" s="307">
        <v>3036.64</v>
      </c>
      <c r="K118" s="307">
        <v>2440.14</v>
      </c>
      <c r="L118" s="308">
        <v>93</v>
      </c>
      <c r="M118" s="305" t="s">
        <v>272</v>
      </c>
      <c r="N118" s="309" t="s">
        <v>1534</v>
      </c>
      <c r="O118" s="307">
        <v>253750</v>
      </c>
      <c r="P118" s="307">
        <v>62.921543344574488</v>
      </c>
      <c r="Q118" s="167">
        <v>795.31</v>
      </c>
      <c r="R118" s="313"/>
      <c r="S118" s="110"/>
      <c r="V118" s="314"/>
      <c r="W118" s="314"/>
    </row>
    <row r="119" spans="1:23" customFormat="1" ht="35.25" x14ac:dyDescent="0.5">
      <c r="A119">
        <v>1</v>
      </c>
      <c r="B119" s="310">
        <v>47</v>
      </c>
      <c r="C119" s="311" t="s">
        <v>1461</v>
      </c>
      <c r="D119" s="305">
        <v>1953</v>
      </c>
      <c r="E119" s="305"/>
      <c r="F119" s="306" t="s">
        <v>270</v>
      </c>
      <c r="G119" s="305">
        <v>2</v>
      </c>
      <c r="H119" s="305">
        <v>1</v>
      </c>
      <c r="I119" s="307">
        <v>617.9</v>
      </c>
      <c r="J119" s="307">
        <v>408.9</v>
      </c>
      <c r="K119" s="307">
        <v>408.9</v>
      </c>
      <c r="L119" s="308">
        <v>21</v>
      </c>
      <c r="M119" s="305" t="s">
        <v>269</v>
      </c>
      <c r="N119" s="309" t="s">
        <v>271</v>
      </c>
      <c r="O119" s="312">
        <v>48135.66</v>
      </c>
      <c r="P119" s="307">
        <f t="shared" ref="P119:P121" si="17">O119/I119</f>
        <v>77.902022981064903</v>
      </c>
      <c r="Q119" s="167">
        <v>6561.0029422236603</v>
      </c>
      <c r="R119" s="313"/>
      <c r="S119" s="110"/>
      <c r="V119" s="314"/>
      <c r="W119" s="314"/>
    </row>
    <row r="120" spans="1:23" customFormat="1" ht="35.25" x14ac:dyDescent="0.5">
      <c r="A120">
        <v>1</v>
      </c>
      <c r="B120" s="310">
        <v>48</v>
      </c>
      <c r="C120" s="311" t="s">
        <v>1462</v>
      </c>
      <c r="D120" s="305">
        <v>1937</v>
      </c>
      <c r="E120" s="305"/>
      <c r="F120" s="306" t="s">
        <v>270</v>
      </c>
      <c r="G120" s="305">
        <v>4</v>
      </c>
      <c r="H120" s="305">
        <v>6</v>
      </c>
      <c r="I120" s="307">
        <v>2381.6999999999998</v>
      </c>
      <c r="J120" s="307">
        <v>2256.8000000000002</v>
      </c>
      <c r="K120" s="307">
        <v>2256.8000000000002</v>
      </c>
      <c r="L120" s="308">
        <v>155</v>
      </c>
      <c r="M120" s="305" t="s">
        <v>272</v>
      </c>
      <c r="N120" s="309" t="s">
        <v>1627</v>
      </c>
      <c r="O120" s="312">
        <v>1177488.75</v>
      </c>
      <c r="P120" s="307">
        <f t="shared" si="17"/>
        <v>494.39003652853006</v>
      </c>
      <c r="Q120" s="167">
        <v>3313.6923835915522</v>
      </c>
      <c r="R120" s="313"/>
      <c r="S120" s="110"/>
      <c r="V120" s="314"/>
      <c r="W120" s="314"/>
    </row>
    <row r="121" spans="1:23" customFormat="1" ht="35.25" x14ac:dyDescent="0.5">
      <c r="A121">
        <v>1</v>
      </c>
      <c r="B121" s="310">
        <v>49</v>
      </c>
      <c r="C121" s="311" t="s">
        <v>1463</v>
      </c>
      <c r="D121" s="305">
        <v>1955</v>
      </c>
      <c r="E121" s="305"/>
      <c r="F121" s="306" t="s">
        <v>270</v>
      </c>
      <c r="G121" s="305">
        <v>3</v>
      </c>
      <c r="H121" s="305">
        <v>3</v>
      </c>
      <c r="I121" s="307">
        <v>1854.6</v>
      </c>
      <c r="J121" s="307">
        <v>1281.7</v>
      </c>
      <c r="K121" s="307">
        <v>834.3</v>
      </c>
      <c r="L121" s="308">
        <v>34</v>
      </c>
      <c r="M121" s="305" t="s">
        <v>272</v>
      </c>
      <c r="N121" s="309" t="s">
        <v>1628</v>
      </c>
      <c r="O121" s="312">
        <v>186610.06</v>
      </c>
      <c r="P121" s="307">
        <f t="shared" si="17"/>
        <v>100.62011215356411</v>
      </c>
      <c r="Q121" s="167">
        <v>3922.4463819691578</v>
      </c>
      <c r="R121" s="313"/>
      <c r="S121" s="110"/>
      <c r="V121" s="314"/>
      <c r="W121" s="314"/>
    </row>
    <row r="122" spans="1:23" customFormat="1" ht="35.25" x14ac:dyDescent="0.5">
      <c r="A122">
        <v>1</v>
      </c>
      <c r="B122" s="310">
        <v>50</v>
      </c>
      <c r="C122" s="311" t="s">
        <v>1464</v>
      </c>
      <c r="D122" s="305">
        <v>1929</v>
      </c>
      <c r="E122" s="305"/>
      <c r="F122" s="306" t="s">
        <v>270</v>
      </c>
      <c r="G122" s="305">
        <v>3</v>
      </c>
      <c r="H122" s="305">
        <v>5</v>
      </c>
      <c r="I122" s="307">
        <v>2240.83</v>
      </c>
      <c r="J122" s="307">
        <v>1864.33</v>
      </c>
      <c r="K122" s="307">
        <v>1864.33</v>
      </c>
      <c r="L122" s="308">
        <v>90</v>
      </c>
      <c r="M122" s="305" t="s">
        <v>272</v>
      </c>
      <c r="N122" s="309" t="s">
        <v>1371</v>
      </c>
      <c r="O122" s="307">
        <v>69345.69</v>
      </c>
      <c r="P122" s="307">
        <v>30.946430563675069</v>
      </c>
      <c r="Q122" s="167">
        <v>919.08571154438323</v>
      </c>
      <c r="R122" s="313"/>
      <c r="S122" s="110"/>
      <c r="V122" s="314"/>
      <c r="W122" s="314"/>
    </row>
    <row r="123" spans="1:23" customFormat="1" ht="35.25" x14ac:dyDescent="0.5">
      <c r="A123">
        <v>1</v>
      </c>
      <c r="B123" s="310">
        <v>51</v>
      </c>
      <c r="C123" s="311" t="s">
        <v>1465</v>
      </c>
      <c r="D123" s="305">
        <v>1981</v>
      </c>
      <c r="E123" s="305"/>
      <c r="F123" s="306" t="s">
        <v>270</v>
      </c>
      <c r="G123" s="305">
        <v>5</v>
      </c>
      <c r="H123" s="305">
        <v>1</v>
      </c>
      <c r="I123" s="307">
        <v>2902.7</v>
      </c>
      <c r="J123" s="307">
        <v>2700</v>
      </c>
      <c r="K123" s="307">
        <v>1260</v>
      </c>
      <c r="L123" s="308">
        <v>179</v>
      </c>
      <c r="M123" s="305" t="s">
        <v>272</v>
      </c>
      <c r="N123" s="309" t="s">
        <v>1535</v>
      </c>
      <c r="O123" s="307">
        <v>8410.2900000000009</v>
      </c>
      <c r="P123" s="307">
        <v>2.8974024184380065</v>
      </c>
      <c r="Q123" s="167">
        <v>1253.0693940124711</v>
      </c>
      <c r="R123" s="313"/>
      <c r="S123" s="110"/>
      <c r="V123" s="314"/>
      <c r="W123" s="314"/>
    </row>
    <row r="124" spans="1:23" customFormat="1" ht="35.25" x14ac:dyDescent="0.5">
      <c r="A124">
        <v>1</v>
      </c>
      <c r="B124" s="310">
        <v>52</v>
      </c>
      <c r="C124" s="311" t="s">
        <v>1466</v>
      </c>
      <c r="D124" s="305">
        <v>1977</v>
      </c>
      <c r="E124" s="305"/>
      <c r="F124" s="306" t="s">
        <v>315</v>
      </c>
      <c r="G124" s="305">
        <v>5</v>
      </c>
      <c r="H124" s="305">
        <v>6</v>
      </c>
      <c r="I124" s="307">
        <v>4839.2</v>
      </c>
      <c r="J124" s="307">
        <v>4665.24</v>
      </c>
      <c r="K124" s="307">
        <v>4372.8999999999996</v>
      </c>
      <c r="L124" s="308">
        <v>183</v>
      </c>
      <c r="M124" s="305" t="s">
        <v>272</v>
      </c>
      <c r="N124" s="309" t="s">
        <v>1536</v>
      </c>
      <c r="O124" s="307">
        <v>7622.65</v>
      </c>
      <c r="P124" s="307">
        <v>1.5751880476111755</v>
      </c>
      <c r="Q124" s="167">
        <v>101.55</v>
      </c>
      <c r="R124" s="313"/>
      <c r="S124" s="110"/>
      <c r="V124" s="314"/>
      <c r="W124" s="314"/>
    </row>
    <row r="125" spans="1:23" customFormat="1" ht="35.25" x14ac:dyDescent="0.5">
      <c r="A125">
        <v>1</v>
      </c>
      <c r="B125" s="310">
        <v>53</v>
      </c>
      <c r="C125" s="311" t="s">
        <v>1467</v>
      </c>
      <c r="D125" s="305">
        <v>1959</v>
      </c>
      <c r="E125" s="305"/>
      <c r="F125" s="306" t="s">
        <v>270</v>
      </c>
      <c r="G125" s="305">
        <v>2</v>
      </c>
      <c r="H125" s="305">
        <v>1</v>
      </c>
      <c r="I125" s="307">
        <v>367.5</v>
      </c>
      <c r="J125" s="307">
        <v>251</v>
      </c>
      <c r="K125" s="307">
        <v>251</v>
      </c>
      <c r="L125" s="308">
        <v>14</v>
      </c>
      <c r="M125" s="305" t="s">
        <v>272</v>
      </c>
      <c r="N125" s="309" t="s">
        <v>1000</v>
      </c>
      <c r="O125" s="312">
        <v>49508.61</v>
      </c>
      <c r="P125" s="307">
        <f t="shared" ref="P125:P127" si="18">O125/I125</f>
        <v>134.71730612244897</v>
      </c>
      <c r="Q125" s="167">
        <v>4828.1523918367338</v>
      </c>
      <c r="R125" s="313"/>
      <c r="S125" s="110"/>
      <c r="V125" s="314"/>
      <c r="W125" s="314"/>
    </row>
    <row r="126" spans="1:23" customFormat="1" ht="35.25" x14ac:dyDescent="0.5">
      <c r="A126">
        <v>1</v>
      </c>
      <c r="B126" s="310">
        <v>54</v>
      </c>
      <c r="C126" s="311" t="s">
        <v>1468</v>
      </c>
      <c r="D126" s="305">
        <v>1934</v>
      </c>
      <c r="E126" s="305"/>
      <c r="F126" s="306" t="s">
        <v>270</v>
      </c>
      <c r="G126" s="305">
        <v>3</v>
      </c>
      <c r="H126" s="305">
        <v>7</v>
      </c>
      <c r="I126" s="307">
        <v>2922</v>
      </c>
      <c r="J126" s="307">
        <v>2656.4</v>
      </c>
      <c r="K126" s="307">
        <v>2656.4</v>
      </c>
      <c r="L126" s="308">
        <v>95</v>
      </c>
      <c r="M126" s="305" t="s">
        <v>272</v>
      </c>
      <c r="N126" s="309" t="s">
        <v>1000</v>
      </c>
      <c r="O126" s="312">
        <v>194179.65</v>
      </c>
      <c r="P126" s="307">
        <f t="shared" si="18"/>
        <v>66.454363449691996</v>
      </c>
      <c r="Q126" s="167">
        <v>3285.9967453798768</v>
      </c>
      <c r="R126" s="313"/>
      <c r="S126" s="110"/>
      <c r="V126" s="314"/>
      <c r="W126" s="314"/>
    </row>
    <row r="127" spans="1:23" customFormat="1" ht="35.25" x14ac:dyDescent="0.5">
      <c r="A127">
        <v>1</v>
      </c>
      <c r="B127" s="310">
        <v>55</v>
      </c>
      <c r="C127" s="311" t="s">
        <v>1469</v>
      </c>
      <c r="D127" s="305">
        <v>1934</v>
      </c>
      <c r="E127" s="305"/>
      <c r="F127" s="306" t="s">
        <v>270</v>
      </c>
      <c r="G127" s="305">
        <v>3</v>
      </c>
      <c r="H127" s="305">
        <v>5</v>
      </c>
      <c r="I127" s="307">
        <v>1040.8</v>
      </c>
      <c r="J127" s="307">
        <v>878</v>
      </c>
      <c r="K127" s="307">
        <v>878</v>
      </c>
      <c r="L127" s="308">
        <v>58</v>
      </c>
      <c r="M127" s="305" t="s">
        <v>269</v>
      </c>
      <c r="N127" s="309" t="s">
        <v>271</v>
      </c>
      <c r="O127" s="312">
        <v>874380.28</v>
      </c>
      <c r="P127" s="307">
        <f t="shared" si="18"/>
        <v>840.10403535741739</v>
      </c>
      <c r="Q127" s="167">
        <v>4483.7669869331285</v>
      </c>
      <c r="R127" s="313"/>
      <c r="S127" s="110"/>
      <c r="V127" s="314"/>
      <c r="W127" s="314"/>
    </row>
    <row r="128" spans="1:23" customFormat="1" ht="35.25" x14ac:dyDescent="0.5">
      <c r="A128">
        <v>1</v>
      </c>
      <c r="B128" s="310">
        <v>56</v>
      </c>
      <c r="C128" s="311" t="s">
        <v>1470</v>
      </c>
      <c r="D128" s="305">
        <v>1928</v>
      </c>
      <c r="E128" s="305"/>
      <c r="F128" s="306" t="s">
        <v>334</v>
      </c>
      <c r="G128" s="305">
        <v>2</v>
      </c>
      <c r="H128" s="305">
        <v>1</v>
      </c>
      <c r="I128" s="307">
        <v>286.10000000000002</v>
      </c>
      <c r="J128" s="307">
        <v>205.8</v>
      </c>
      <c r="K128" s="307">
        <v>205.8</v>
      </c>
      <c r="L128" s="308">
        <v>16</v>
      </c>
      <c r="M128" s="305" t="s">
        <v>269</v>
      </c>
      <c r="N128" s="309" t="s">
        <v>271</v>
      </c>
      <c r="O128" s="307">
        <v>45260.939999999995</v>
      </c>
      <c r="P128" s="307">
        <v>158.19972037749037</v>
      </c>
      <c r="Q128" s="167">
        <v>2420.2238378189445</v>
      </c>
      <c r="R128" s="313"/>
      <c r="S128" s="110"/>
      <c r="V128" s="314"/>
      <c r="W128" s="314"/>
    </row>
    <row r="129" spans="1:23" customFormat="1" ht="35.25" x14ac:dyDescent="0.5">
      <c r="A129">
        <v>1</v>
      </c>
      <c r="B129" s="310">
        <v>57</v>
      </c>
      <c r="C129" s="311" t="s">
        <v>1471</v>
      </c>
      <c r="D129" s="305">
        <v>1958</v>
      </c>
      <c r="E129" s="305"/>
      <c r="F129" s="306" t="s">
        <v>270</v>
      </c>
      <c r="G129" s="305">
        <v>2</v>
      </c>
      <c r="H129" s="305">
        <v>1</v>
      </c>
      <c r="I129" s="307">
        <v>417.2</v>
      </c>
      <c r="J129" s="307">
        <v>385.8</v>
      </c>
      <c r="K129" s="307">
        <v>385.8</v>
      </c>
      <c r="L129" s="308">
        <v>20</v>
      </c>
      <c r="M129" s="305" t="s">
        <v>269</v>
      </c>
      <c r="N129" s="309" t="s">
        <v>271</v>
      </c>
      <c r="O129" s="307">
        <v>41021.47</v>
      </c>
      <c r="P129" s="307">
        <v>98.325671140939605</v>
      </c>
      <c r="Q129" s="167">
        <v>4331.6459026845641</v>
      </c>
      <c r="R129" s="313"/>
      <c r="S129" s="110"/>
      <c r="V129" s="314"/>
      <c r="W129" s="314"/>
    </row>
    <row r="130" spans="1:23" customFormat="1" ht="35.25" x14ac:dyDescent="0.5">
      <c r="A130">
        <v>1</v>
      </c>
      <c r="B130" s="310">
        <v>58</v>
      </c>
      <c r="C130" s="311" t="s">
        <v>1472</v>
      </c>
      <c r="D130" s="305">
        <v>1958</v>
      </c>
      <c r="E130" s="305"/>
      <c r="F130" s="306" t="s">
        <v>270</v>
      </c>
      <c r="G130" s="305">
        <v>4</v>
      </c>
      <c r="H130" s="305">
        <v>5</v>
      </c>
      <c r="I130" s="307">
        <v>3533.4</v>
      </c>
      <c r="J130" s="307">
        <v>3254</v>
      </c>
      <c r="K130" s="307">
        <v>3254</v>
      </c>
      <c r="L130" s="308">
        <v>98</v>
      </c>
      <c r="M130" s="305" t="s">
        <v>272</v>
      </c>
      <c r="N130" s="309" t="s">
        <v>1408</v>
      </c>
      <c r="O130" s="307">
        <v>504846.64999999997</v>
      </c>
      <c r="P130" s="307">
        <v>142.87843153902756</v>
      </c>
      <c r="Q130" s="167">
        <v>6332.09859059263</v>
      </c>
      <c r="R130" s="313"/>
      <c r="S130" s="110"/>
      <c r="V130" s="314"/>
      <c r="W130" s="314"/>
    </row>
    <row r="131" spans="1:23" customFormat="1" ht="35.25" x14ac:dyDescent="0.5">
      <c r="A131">
        <v>1</v>
      </c>
      <c r="B131" s="310">
        <v>59</v>
      </c>
      <c r="C131" s="311" t="s">
        <v>1515</v>
      </c>
      <c r="D131" s="305">
        <v>1958</v>
      </c>
      <c r="E131" s="305"/>
      <c r="F131" s="306" t="s">
        <v>270</v>
      </c>
      <c r="G131" s="305">
        <v>4</v>
      </c>
      <c r="H131" s="305">
        <v>4</v>
      </c>
      <c r="I131" s="307">
        <v>3399.9</v>
      </c>
      <c r="J131" s="307">
        <v>2625.8</v>
      </c>
      <c r="K131" s="307">
        <v>2062.6999999999998</v>
      </c>
      <c r="L131" s="308">
        <v>68</v>
      </c>
      <c r="M131" s="305" t="s">
        <v>272</v>
      </c>
      <c r="N131" s="309" t="s">
        <v>1588</v>
      </c>
      <c r="O131" s="307">
        <v>52491.74</v>
      </c>
      <c r="P131" s="307">
        <v>15.439201152975086</v>
      </c>
      <c r="Q131" s="167">
        <v>3667.1465631342103</v>
      </c>
      <c r="R131" s="313"/>
      <c r="S131" s="110"/>
      <c r="V131" s="314"/>
      <c r="W131" s="314"/>
    </row>
    <row r="132" spans="1:23" customFormat="1" ht="35.25" x14ac:dyDescent="0.5">
      <c r="A132">
        <v>1</v>
      </c>
      <c r="B132" s="310">
        <v>60</v>
      </c>
      <c r="C132" s="311" t="s">
        <v>1516</v>
      </c>
      <c r="D132" s="305">
        <v>1942</v>
      </c>
      <c r="E132" s="305"/>
      <c r="F132" s="306" t="s">
        <v>334</v>
      </c>
      <c r="G132" s="305">
        <v>2</v>
      </c>
      <c r="H132" s="305">
        <v>2</v>
      </c>
      <c r="I132" s="307">
        <v>489</v>
      </c>
      <c r="J132" s="307">
        <v>431</v>
      </c>
      <c r="K132" s="307">
        <v>431</v>
      </c>
      <c r="L132" s="308">
        <v>39</v>
      </c>
      <c r="M132" s="305" t="s">
        <v>269</v>
      </c>
      <c r="N132" s="309" t="s">
        <v>271</v>
      </c>
      <c r="O132" s="312">
        <v>81763.55</v>
      </c>
      <c r="P132" s="307">
        <f t="shared" ref="P132:P133" si="19">O132/I132</f>
        <v>167.20562372188141</v>
      </c>
      <c r="Q132" s="167">
        <v>4490.9945194274023</v>
      </c>
      <c r="R132" s="313"/>
      <c r="S132" s="110"/>
      <c r="V132" s="314"/>
      <c r="W132" s="314"/>
    </row>
    <row r="133" spans="1:23" customFormat="1" ht="35.25" x14ac:dyDescent="0.5">
      <c r="A133">
        <v>1</v>
      </c>
      <c r="B133" s="310">
        <v>61</v>
      </c>
      <c r="C133" s="311" t="s">
        <v>1517</v>
      </c>
      <c r="D133" s="305">
        <v>1931</v>
      </c>
      <c r="E133" s="305"/>
      <c r="F133" s="306" t="s">
        <v>270</v>
      </c>
      <c r="G133" s="305">
        <v>3</v>
      </c>
      <c r="H133" s="305">
        <v>5</v>
      </c>
      <c r="I133" s="307">
        <v>1823.46</v>
      </c>
      <c r="J133" s="307">
        <v>1514.06</v>
      </c>
      <c r="K133" s="307">
        <v>1514.06</v>
      </c>
      <c r="L133" s="308">
        <v>60</v>
      </c>
      <c r="M133" s="305" t="s">
        <v>272</v>
      </c>
      <c r="N133" s="309" t="s">
        <v>1408</v>
      </c>
      <c r="O133" s="312">
        <v>7245.74</v>
      </c>
      <c r="P133" s="307">
        <f t="shared" si="19"/>
        <v>3.9736215765632368</v>
      </c>
      <c r="Q133" s="167">
        <v>3113.5358603972663</v>
      </c>
      <c r="R133" s="313"/>
      <c r="S133" s="110"/>
      <c r="V133" s="314"/>
      <c r="W133" s="314"/>
    </row>
    <row r="134" spans="1:23" customFormat="1" ht="35.25" x14ac:dyDescent="0.5">
      <c r="A134">
        <v>1</v>
      </c>
      <c r="B134" s="310">
        <v>62</v>
      </c>
      <c r="C134" s="311" t="s">
        <v>1696</v>
      </c>
      <c r="D134" s="305">
        <v>1984</v>
      </c>
      <c r="E134" s="305"/>
      <c r="F134" s="306" t="s">
        <v>315</v>
      </c>
      <c r="G134" s="305">
        <v>5</v>
      </c>
      <c r="H134" s="305">
        <v>5</v>
      </c>
      <c r="I134" s="307">
        <v>4724.5</v>
      </c>
      <c r="J134" s="307">
        <v>4003.6</v>
      </c>
      <c r="K134" s="307">
        <v>1759.6</v>
      </c>
      <c r="L134" s="308">
        <v>146</v>
      </c>
      <c r="M134" s="305" t="s">
        <v>272</v>
      </c>
      <c r="N134" s="309" t="s">
        <v>1531</v>
      </c>
      <c r="O134" s="307">
        <v>16859.560000000001</v>
      </c>
      <c r="P134" s="307">
        <v>3.5685384696793316</v>
      </c>
      <c r="Q134" s="167">
        <v>1188.4895756164674</v>
      </c>
      <c r="R134" s="313"/>
      <c r="S134" s="110"/>
      <c r="V134" s="314"/>
      <c r="W134" s="314"/>
    </row>
    <row r="135" spans="1:23" s="293" customFormat="1" ht="35.25" x14ac:dyDescent="0.5">
      <c r="A135"/>
      <c r="B135" s="315">
        <v>63</v>
      </c>
      <c r="C135" s="316" t="s">
        <v>1916</v>
      </c>
      <c r="D135" s="317">
        <v>1959</v>
      </c>
      <c r="E135" s="317"/>
      <c r="F135" s="318" t="s">
        <v>270</v>
      </c>
      <c r="G135" s="317">
        <v>2</v>
      </c>
      <c r="H135" s="317">
        <v>1</v>
      </c>
      <c r="I135" s="312">
        <v>416.5</v>
      </c>
      <c r="J135" s="312">
        <v>259.3</v>
      </c>
      <c r="K135" s="312">
        <v>259.3</v>
      </c>
      <c r="L135" s="319">
        <v>14</v>
      </c>
      <c r="M135" s="325" t="s">
        <v>272</v>
      </c>
      <c r="N135" s="320" t="s">
        <v>1928</v>
      </c>
      <c r="O135" s="312">
        <v>27161.4</v>
      </c>
      <c r="P135" s="312">
        <v>65.213445378151263</v>
      </c>
      <c r="Q135" s="167">
        <v>5176.8722593037219</v>
      </c>
      <c r="R135" s="321"/>
      <c r="S135" s="322"/>
      <c r="V135" s="323"/>
      <c r="W135" s="323"/>
    </row>
    <row r="136" spans="1:23" s="293" customFormat="1" ht="35.25" x14ac:dyDescent="0.5">
      <c r="A136"/>
      <c r="B136" s="315">
        <v>64</v>
      </c>
      <c r="C136" s="316" t="s">
        <v>1917</v>
      </c>
      <c r="D136" s="317">
        <v>1959</v>
      </c>
      <c r="E136" s="317"/>
      <c r="F136" s="318" t="s">
        <v>270</v>
      </c>
      <c r="G136" s="317">
        <v>3</v>
      </c>
      <c r="H136" s="317">
        <v>2</v>
      </c>
      <c r="I136" s="312">
        <v>1142</v>
      </c>
      <c r="J136" s="312">
        <v>934</v>
      </c>
      <c r="K136" s="312">
        <v>922.45</v>
      </c>
      <c r="L136" s="319">
        <v>42</v>
      </c>
      <c r="M136" s="325" t="s">
        <v>272</v>
      </c>
      <c r="N136" s="320" t="s">
        <v>1929</v>
      </c>
      <c r="O136" s="312">
        <v>756402.36</v>
      </c>
      <c r="P136" s="312">
        <v>662.34882661996494</v>
      </c>
      <c r="Q136" s="167">
        <v>3113.9918563922938</v>
      </c>
      <c r="R136" s="321"/>
      <c r="S136" s="322"/>
      <c r="V136" s="323"/>
      <c r="W136" s="323"/>
    </row>
    <row r="137" spans="1:23" s="293" customFormat="1" ht="35.25" x14ac:dyDescent="0.5">
      <c r="A137"/>
      <c r="B137" s="315">
        <v>65</v>
      </c>
      <c r="C137" s="316" t="s">
        <v>1918</v>
      </c>
      <c r="D137" s="317" t="s">
        <v>371</v>
      </c>
      <c r="E137" s="317"/>
      <c r="F137" s="318" t="s">
        <v>334</v>
      </c>
      <c r="G137" s="317">
        <v>2</v>
      </c>
      <c r="H137" s="317">
        <v>2</v>
      </c>
      <c r="I137" s="312">
        <v>485</v>
      </c>
      <c r="J137" s="312">
        <v>329.7</v>
      </c>
      <c r="K137" s="312">
        <v>329.7</v>
      </c>
      <c r="L137" s="319">
        <v>21</v>
      </c>
      <c r="M137" s="325" t="s">
        <v>272</v>
      </c>
      <c r="N137" s="320" t="s">
        <v>819</v>
      </c>
      <c r="O137" s="312">
        <v>92522.930000000008</v>
      </c>
      <c r="P137" s="312">
        <v>190.76892783505156</v>
      </c>
      <c r="Q137" s="167">
        <v>5467.0860824742267</v>
      </c>
      <c r="R137" s="321"/>
      <c r="S137" s="322"/>
      <c r="V137" s="323"/>
      <c r="W137" s="323"/>
    </row>
    <row r="138" spans="1:23" s="293" customFormat="1" ht="35.25" x14ac:dyDescent="0.5">
      <c r="A138"/>
      <c r="B138" s="315">
        <v>66</v>
      </c>
      <c r="C138" s="316" t="s">
        <v>1919</v>
      </c>
      <c r="D138" s="317" t="s">
        <v>310</v>
      </c>
      <c r="E138" s="317"/>
      <c r="F138" s="318" t="s">
        <v>270</v>
      </c>
      <c r="G138" s="317">
        <v>2</v>
      </c>
      <c r="H138" s="317">
        <v>2</v>
      </c>
      <c r="I138" s="312">
        <v>610.9</v>
      </c>
      <c r="J138" s="312">
        <v>567.20000000000005</v>
      </c>
      <c r="K138" s="312">
        <v>567.20000000000005</v>
      </c>
      <c r="L138" s="319">
        <v>26</v>
      </c>
      <c r="M138" s="325" t="s">
        <v>272</v>
      </c>
      <c r="N138" s="320" t="s">
        <v>1928</v>
      </c>
      <c r="O138" s="312">
        <v>22182.22</v>
      </c>
      <c r="P138" s="312">
        <v>36.310721885742353</v>
      </c>
      <c r="Q138" s="167">
        <v>5422.9189883778035</v>
      </c>
      <c r="R138" s="321"/>
      <c r="S138" s="322"/>
      <c r="V138" s="323"/>
      <c r="W138" s="323"/>
    </row>
    <row r="139" spans="1:23" customFormat="1" ht="35.25" x14ac:dyDescent="0.5">
      <c r="B139" s="304" t="s">
        <v>1422</v>
      </c>
      <c r="C139" s="311"/>
      <c r="D139" s="305" t="s">
        <v>764</v>
      </c>
      <c r="E139" s="305" t="s">
        <v>764</v>
      </c>
      <c r="F139" s="306" t="s">
        <v>764</v>
      </c>
      <c r="G139" s="305" t="s">
        <v>764</v>
      </c>
      <c r="H139" s="305" t="s">
        <v>764</v>
      </c>
      <c r="I139" s="307">
        <f>SUM(I140:I154)</f>
        <v>47621.47</v>
      </c>
      <c r="J139" s="307">
        <f t="shared" ref="J139:L139" si="20">SUM(J140:J154)</f>
        <v>44795.68</v>
      </c>
      <c r="K139" s="307">
        <f t="shared" si="20"/>
        <v>40469.659999999996</v>
      </c>
      <c r="L139" s="308">
        <f t="shared" si="20"/>
        <v>2263</v>
      </c>
      <c r="M139" s="305" t="s">
        <v>903</v>
      </c>
      <c r="N139" s="309" t="s">
        <v>903</v>
      </c>
      <c r="O139" s="307">
        <v>5709398.21</v>
      </c>
      <c r="P139" s="307">
        <f>O139/I139</f>
        <v>119.89126354142364</v>
      </c>
      <c r="Q139" s="398">
        <f>MAX(Q140:Q154)</f>
        <v>6614.7607031531634</v>
      </c>
      <c r="R139" s="313"/>
      <c r="S139" s="110"/>
      <c r="V139" s="314"/>
      <c r="W139" s="314"/>
    </row>
    <row r="140" spans="1:23" customFormat="1" ht="35.25" x14ac:dyDescent="0.5">
      <c r="A140">
        <v>1</v>
      </c>
      <c r="B140" s="310">
        <v>67</v>
      </c>
      <c r="C140" s="311" t="s">
        <v>1473</v>
      </c>
      <c r="D140" s="305">
        <v>1968</v>
      </c>
      <c r="E140" s="305"/>
      <c r="F140" s="306" t="s">
        <v>270</v>
      </c>
      <c r="G140" s="305">
        <v>6</v>
      </c>
      <c r="H140" s="305">
        <v>8</v>
      </c>
      <c r="I140" s="307">
        <v>6064</v>
      </c>
      <c r="J140" s="307">
        <v>5971</v>
      </c>
      <c r="K140" s="307">
        <v>5128.3999999999996</v>
      </c>
      <c r="L140" s="308">
        <v>268</v>
      </c>
      <c r="M140" s="305" t="s">
        <v>345</v>
      </c>
      <c r="N140" s="309" t="s">
        <v>1537</v>
      </c>
      <c r="O140" s="312">
        <v>1768733.14</v>
      </c>
      <c r="P140" s="307">
        <f t="shared" ref="P140:P145" si="21">O140/I140</f>
        <v>291.67762862796832</v>
      </c>
      <c r="Q140" s="167">
        <v>2097.8129106200527</v>
      </c>
      <c r="R140" s="313"/>
      <c r="S140" s="110"/>
      <c r="V140" s="314"/>
      <c r="W140" s="314"/>
    </row>
    <row r="141" spans="1:23" customFormat="1" ht="35.25" x14ac:dyDescent="0.5">
      <c r="A141">
        <v>1</v>
      </c>
      <c r="B141" s="310">
        <v>68</v>
      </c>
      <c r="C141" s="311" t="s">
        <v>1474</v>
      </c>
      <c r="D141" s="305">
        <v>1983</v>
      </c>
      <c r="E141" s="305"/>
      <c r="F141" s="306" t="s">
        <v>270</v>
      </c>
      <c r="G141" s="305">
        <v>5</v>
      </c>
      <c r="H141" s="305">
        <v>6</v>
      </c>
      <c r="I141" s="307">
        <v>4247.2</v>
      </c>
      <c r="J141" s="307">
        <v>3821.7</v>
      </c>
      <c r="K141" s="307">
        <v>3620.8</v>
      </c>
      <c r="L141" s="308">
        <v>176</v>
      </c>
      <c r="M141" s="305" t="s">
        <v>272</v>
      </c>
      <c r="N141" s="309" t="s">
        <v>1538</v>
      </c>
      <c r="O141" s="312">
        <v>224080.54</v>
      </c>
      <c r="P141" s="307">
        <f t="shared" si="21"/>
        <v>52.759592201921272</v>
      </c>
      <c r="Q141" s="167">
        <v>1667.2543911282728</v>
      </c>
      <c r="R141" s="313"/>
      <c r="S141" s="110"/>
      <c r="V141" s="314"/>
      <c r="W141" s="314"/>
    </row>
    <row r="142" spans="1:23" customFormat="1" ht="35.25" x14ac:dyDescent="0.5">
      <c r="A142">
        <v>1</v>
      </c>
      <c r="B142" s="310">
        <v>69</v>
      </c>
      <c r="C142" s="311" t="s">
        <v>1475</v>
      </c>
      <c r="D142" s="305">
        <v>1973</v>
      </c>
      <c r="E142" s="305"/>
      <c r="F142" s="306" t="s">
        <v>270</v>
      </c>
      <c r="G142" s="305">
        <v>5</v>
      </c>
      <c r="H142" s="305">
        <v>8</v>
      </c>
      <c r="I142" s="307">
        <v>6143</v>
      </c>
      <c r="J142" s="307">
        <v>6075.43</v>
      </c>
      <c r="K142" s="307">
        <v>5422.03</v>
      </c>
      <c r="L142" s="308">
        <v>275</v>
      </c>
      <c r="M142" s="305" t="s">
        <v>272</v>
      </c>
      <c r="N142" s="309" t="s">
        <v>1539</v>
      </c>
      <c r="O142" s="312">
        <v>31696.09</v>
      </c>
      <c r="P142" s="307">
        <f t="shared" si="21"/>
        <v>5.1597086114276411</v>
      </c>
      <c r="Q142" s="167">
        <v>1873.8057870747191</v>
      </c>
      <c r="R142" s="313"/>
      <c r="S142" s="110"/>
      <c r="V142" s="314"/>
      <c r="W142" s="314"/>
    </row>
    <row r="143" spans="1:23" customFormat="1" ht="35.25" x14ac:dyDescent="0.5">
      <c r="A143">
        <v>1</v>
      </c>
      <c r="B143" s="310">
        <v>70</v>
      </c>
      <c r="C143" s="311" t="s">
        <v>1476</v>
      </c>
      <c r="D143" s="305">
        <v>1961</v>
      </c>
      <c r="E143" s="305"/>
      <c r="F143" s="306" t="s">
        <v>270</v>
      </c>
      <c r="G143" s="305">
        <v>4</v>
      </c>
      <c r="H143" s="305">
        <v>3</v>
      </c>
      <c r="I143" s="307">
        <v>2176</v>
      </c>
      <c r="J143" s="307">
        <v>2029.3</v>
      </c>
      <c r="K143" s="307">
        <v>1988.8</v>
      </c>
      <c r="L143" s="308">
        <v>89</v>
      </c>
      <c r="M143" s="305" t="s">
        <v>272</v>
      </c>
      <c r="N143" s="309" t="s">
        <v>1356</v>
      </c>
      <c r="O143" s="312">
        <v>97162</v>
      </c>
      <c r="P143" s="307">
        <f t="shared" si="21"/>
        <v>44.651654411764703</v>
      </c>
      <c r="Q143" s="167">
        <v>2110.2195588235295</v>
      </c>
      <c r="R143" s="313"/>
      <c r="S143" s="110"/>
      <c r="V143" s="314"/>
      <c r="W143" s="314"/>
    </row>
    <row r="144" spans="1:23" customFormat="1" ht="35.25" x14ac:dyDescent="0.5">
      <c r="A144">
        <v>1</v>
      </c>
      <c r="B144" s="310">
        <v>71</v>
      </c>
      <c r="C144" s="311" t="s">
        <v>1477</v>
      </c>
      <c r="D144" s="305">
        <v>1961</v>
      </c>
      <c r="E144" s="305"/>
      <c r="F144" s="306" t="s">
        <v>270</v>
      </c>
      <c r="G144" s="305">
        <v>2</v>
      </c>
      <c r="H144" s="305">
        <v>2</v>
      </c>
      <c r="I144" s="307">
        <v>588.42999999999995</v>
      </c>
      <c r="J144" s="307">
        <v>546.92999999999995</v>
      </c>
      <c r="K144" s="307">
        <v>516.08000000000004</v>
      </c>
      <c r="L144" s="308">
        <v>30</v>
      </c>
      <c r="M144" s="305" t="s">
        <v>272</v>
      </c>
      <c r="N144" s="309" t="s">
        <v>1001</v>
      </c>
      <c r="O144" s="312">
        <v>115006.25</v>
      </c>
      <c r="P144" s="307">
        <f t="shared" si="21"/>
        <v>195.4459323963768</v>
      </c>
      <c r="Q144" s="167">
        <v>5492.1662389748999</v>
      </c>
      <c r="R144" s="313"/>
      <c r="S144" s="110"/>
      <c r="V144" s="314"/>
      <c r="W144" s="314"/>
    </row>
    <row r="145" spans="1:23" customFormat="1" ht="35.25" x14ac:dyDescent="0.5">
      <c r="A145">
        <v>1</v>
      </c>
      <c r="B145" s="310">
        <v>72</v>
      </c>
      <c r="C145" s="311" t="s">
        <v>1478</v>
      </c>
      <c r="D145" s="305">
        <v>1963</v>
      </c>
      <c r="E145" s="305"/>
      <c r="F145" s="306" t="s">
        <v>270</v>
      </c>
      <c r="G145" s="305">
        <v>4</v>
      </c>
      <c r="H145" s="305">
        <v>4</v>
      </c>
      <c r="I145" s="307">
        <v>2368</v>
      </c>
      <c r="J145" s="307">
        <v>2347.9899999999998</v>
      </c>
      <c r="K145" s="307">
        <v>2199.56</v>
      </c>
      <c r="L145" s="308">
        <v>87</v>
      </c>
      <c r="M145" s="305" t="s">
        <v>272</v>
      </c>
      <c r="N145" s="309" t="s">
        <v>1540</v>
      </c>
      <c r="O145" s="312">
        <v>1485022.6</v>
      </c>
      <c r="P145" s="307">
        <f t="shared" si="21"/>
        <v>627.12103040540546</v>
      </c>
      <c r="Q145" s="167">
        <v>3261.7274408783783</v>
      </c>
      <c r="R145" s="313"/>
      <c r="S145" s="110"/>
      <c r="V145" s="314"/>
      <c r="W145" s="314"/>
    </row>
    <row r="146" spans="1:23" customFormat="1" ht="35.25" x14ac:dyDescent="0.5">
      <c r="A146">
        <v>1</v>
      </c>
      <c r="B146" s="310">
        <v>73</v>
      </c>
      <c r="C146" s="311" t="s">
        <v>1479</v>
      </c>
      <c r="D146" s="305">
        <v>1971</v>
      </c>
      <c r="E146" s="305"/>
      <c r="F146" s="306" t="s">
        <v>270</v>
      </c>
      <c r="G146" s="305">
        <v>4</v>
      </c>
      <c r="H146" s="305">
        <v>1</v>
      </c>
      <c r="I146" s="307">
        <v>1601</v>
      </c>
      <c r="J146" s="307">
        <v>1473.9</v>
      </c>
      <c r="K146" s="307">
        <v>1166.5999999999999</v>
      </c>
      <c r="L146" s="308">
        <v>103</v>
      </c>
      <c r="M146" s="305" t="s">
        <v>272</v>
      </c>
      <c r="N146" s="309" t="s">
        <v>1001</v>
      </c>
      <c r="O146" s="307">
        <v>184374.75</v>
      </c>
      <c r="P146" s="307">
        <v>115.16224234853216</v>
      </c>
      <c r="Q146" s="167">
        <v>2603.1179762648344</v>
      </c>
      <c r="R146" s="313"/>
      <c r="S146" s="110"/>
      <c r="V146" s="314"/>
      <c r="W146" s="314"/>
    </row>
    <row r="147" spans="1:23" customFormat="1" ht="35.25" x14ac:dyDescent="0.5">
      <c r="A147">
        <v>1</v>
      </c>
      <c r="B147" s="310">
        <v>74</v>
      </c>
      <c r="C147" s="311" t="s">
        <v>1480</v>
      </c>
      <c r="D147" s="305">
        <v>1963</v>
      </c>
      <c r="E147" s="305"/>
      <c r="F147" s="306" t="s">
        <v>270</v>
      </c>
      <c r="G147" s="305">
        <v>2</v>
      </c>
      <c r="H147" s="305">
        <v>2</v>
      </c>
      <c r="I147" s="307">
        <v>1027.9000000000001</v>
      </c>
      <c r="J147" s="307">
        <v>620.86</v>
      </c>
      <c r="K147" s="307">
        <v>620.86</v>
      </c>
      <c r="L147" s="308">
        <v>40</v>
      </c>
      <c r="M147" s="305" t="s">
        <v>272</v>
      </c>
      <c r="N147" s="309" t="s">
        <v>1541</v>
      </c>
      <c r="O147" s="312">
        <v>21660.55</v>
      </c>
      <c r="P147" s="307">
        <f>O147/I147</f>
        <v>21.072623796089111</v>
      </c>
      <c r="Q147" s="167">
        <v>3392.8890845412975</v>
      </c>
      <c r="R147" s="313"/>
      <c r="S147" s="110"/>
      <c r="V147" s="314"/>
      <c r="W147" s="314"/>
    </row>
    <row r="148" spans="1:23" customFormat="1" ht="35.25" x14ac:dyDescent="0.5">
      <c r="A148">
        <v>1</v>
      </c>
      <c r="B148" s="310">
        <v>75</v>
      </c>
      <c r="C148" s="311" t="s">
        <v>1481</v>
      </c>
      <c r="D148" s="305">
        <v>2003</v>
      </c>
      <c r="E148" s="305"/>
      <c r="F148" s="306" t="s">
        <v>270</v>
      </c>
      <c r="G148" s="305">
        <v>5</v>
      </c>
      <c r="H148" s="305">
        <v>8</v>
      </c>
      <c r="I148" s="307">
        <v>6514</v>
      </c>
      <c r="J148" s="307">
        <v>5845.8</v>
      </c>
      <c r="K148" s="307">
        <v>5845.8</v>
      </c>
      <c r="L148" s="308">
        <v>360</v>
      </c>
      <c r="M148" s="305" t="s">
        <v>272</v>
      </c>
      <c r="N148" s="309" t="s">
        <v>1542</v>
      </c>
      <c r="O148" s="307">
        <v>1197776.18</v>
      </c>
      <c r="P148" s="307">
        <v>183.87721522873809</v>
      </c>
      <c r="Q148" s="167">
        <v>1483.5848311329444</v>
      </c>
      <c r="R148" s="313"/>
      <c r="S148" s="110"/>
      <c r="V148" s="314"/>
      <c r="W148" s="314"/>
    </row>
    <row r="149" spans="1:23" customFormat="1" ht="35.25" x14ac:dyDescent="0.5">
      <c r="A149">
        <v>1</v>
      </c>
      <c r="B149" s="310">
        <v>76</v>
      </c>
      <c r="C149" s="311" t="s">
        <v>1482</v>
      </c>
      <c r="D149" s="305">
        <v>1960</v>
      </c>
      <c r="E149" s="305"/>
      <c r="F149" s="306" t="s">
        <v>270</v>
      </c>
      <c r="G149" s="305">
        <v>2</v>
      </c>
      <c r="H149" s="305">
        <v>2</v>
      </c>
      <c r="I149" s="307">
        <v>585.54999999999995</v>
      </c>
      <c r="J149" s="307">
        <v>545.35</v>
      </c>
      <c r="K149" s="307">
        <v>433.53000000000003</v>
      </c>
      <c r="L149" s="308">
        <v>34</v>
      </c>
      <c r="M149" s="305" t="s">
        <v>272</v>
      </c>
      <c r="N149" s="309" t="s">
        <v>1541</v>
      </c>
      <c r="O149" s="312">
        <v>58127.710000000006</v>
      </c>
      <c r="P149" s="307">
        <f t="shared" ref="P149:P150" si="22">O149/I149</f>
        <v>99.270275809068423</v>
      </c>
      <c r="Q149" s="167">
        <v>4794.6537443429261</v>
      </c>
      <c r="R149" s="313"/>
      <c r="S149" s="110"/>
      <c r="V149" s="314"/>
      <c r="W149" s="314"/>
    </row>
    <row r="150" spans="1:23" customFormat="1" ht="35.25" x14ac:dyDescent="0.5">
      <c r="A150">
        <v>1</v>
      </c>
      <c r="B150" s="310">
        <v>77</v>
      </c>
      <c r="C150" s="311" t="s">
        <v>1177</v>
      </c>
      <c r="D150" s="305">
        <v>1989</v>
      </c>
      <c r="E150" s="305"/>
      <c r="F150" s="306" t="s">
        <v>270</v>
      </c>
      <c r="G150" s="305">
        <v>9</v>
      </c>
      <c r="H150" s="305">
        <v>1</v>
      </c>
      <c r="I150" s="307">
        <v>3494</v>
      </c>
      <c r="J150" s="307">
        <v>3277.11</v>
      </c>
      <c r="K150" s="307">
        <v>3141.61</v>
      </c>
      <c r="L150" s="308">
        <v>159</v>
      </c>
      <c r="M150" s="305" t="s">
        <v>272</v>
      </c>
      <c r="N150" s="309" t="s">
        <v>1543</v>
      </c>
      <c r="O150" s="312">
        <v>174222.72</v>
      </c>
      <c r="P150" s="307">
        <f t="shared" si="22"/>
        <v>49.863400114481969</v>
      </c>
      <c r="Q150" s="167">
        <v>889.23216370921568</v>
      </c>
      <c r="R150" s="313"/>
      <c r="S150" s="110"/>
      <c r="V150" s="314"/>
      <c r="W150" s="314"/>
    </row>
    <row r="151" spans="1:23" customFormat="1" ht="35.25" x14ac:dyDescent="0.5">
      <c r="A151">
        <v>1</v>
      </c>
      <c r="B151" s="310">
        <v>78</v>
      </c>
      <c r="C151" s="311" t="s">
        <v>1483</v>
      </c>
      <c r="D151" s="305">
        <v>1987</v>
      </c>
      <c r="E151" s="305"/>
      <c r="F151" s="306" t="s">
        <v>315</v>
      </c>
      <c r="G151" s="305">
        <v>5</v>
      </c>
      <c r="H151" s="305">
        <v>6</v>
      </c>
      <c r="I151" s="307">
        <v>4362</v>
      </c>
      <c r="J151" s="307">
        <v>3933.6</v>
      </c>
      <c r="K151" s="307">
        <v>3462.6</v>
      </c>
      <c r="L151" s="308">
        <v>234</v>
      </c>
      <c r="M151" s="309" t="s">
        <v>272</v>
      </c>
      <c r="N151" s="324" t="s">
        <v>325</v>
      </c>
      <c r="O151" s="307">
        <v>101365.01</v>
      </c>
      <c r="P151" s="307">
        <v>23.238195781751489</v>
      </c>
      <c r="Q151" s="167">
        <v>1526.1157657038054</v>
      </c>
      <c r="R151" s="313"/>
      <c r="S151" s="110"/>
      <c r="V151" s="314"/>
      <c r="W151" s="314"/>
    </row>
    <row r="152" spans="1:23" customFormat="1" ht="35.25" x14ac:dyDescent="0.5">
      <c r="A152">
        <v>1</v>
      </c>
      <c r="B152" s="310">
        <v>79</v>
      </c>
      <c r="C152" s="311" t="s">
        <v>1521</v>
      </c>
      <c r="D152" s="305">
        <v>1966</v>
      </c>
      <c r="E152" s="305"/>
      <c r="F152" s="306" t="s">
        <v>270</v>
      </c>
      <c r="G152" s="305">
        <v>5</v>
      </c>
      <c r="H152" s="305">
        <v>4</v>
      </c>
      <c r="I152" s="307">
        <v>3416</v>
      </c>
      <c r="J152" s="307">
        <v>3392</v>
      </c>
      <c r="K152" s="307">
        <v>2976.63</v>
      </c>
      <c r="L152" s="308">
        <v>150</v>
      </c>
      <c r="M152" s="309" t="s">
        <v>272</v>
      </c>
      <c r="N152" s="324" t="s">
        <v>1541</v>
      </c>
      <c r="O152" s="307">
        <v>86282.11</v>
      </c>
      <c r="P152" s="307">
        <v>25.258228922716629</v>
      </c>
      <c r="Q152" s="167">
        <v>712.1</v>
      </c>
      <c r="R152" s="313"/>
      <c r="S152" s="110"/>
      <c r="V152" s="314"/>
      <c r="W152" s="314"/>
    </row>
    <row r="153" spans="1:23" s="293" customFormat="1" ht="35.25" x14ac:dyDescent="0.5">
      <c r="A153"/>
      <c r="B153" s="315">
        <v>80</v>
      </c>
      <c r="C153" s="316" t="s">
        <v>1920</v>
      </c>
      <c r="D153" s="317">
        <v>1972</v>
      </c>
      <c r="E153" s="317"/>
      <c r="F153" s="318" t="s">
        <v>270</v>
      </c>
      <c r="G153" s="317">
        <v>5</v>
      </c>
      <c r="H153" s="317">
        <v>6</v>
      </c>
      <c r="I153" s="312">
        <v>4562.8</v>
      </c>
      <c r="J153" s="312">
        <v>4499.5</v>
      </c>
      <c r="K153" s="312">
        <v>3634.1</v>
      </c>
      <c r="L153" s="319">
        <v>237</v>
      </c>
      <c r="M153" s="325" t="s">
        <v>272</v>
      </c>
      <c r="N153" s="320" t="s">
        <v>329</v>
      </c>
      <c r="O153" s="312">
        <v>53102.53</v>
      </c>
      <c r="P153" s="312">
        <v>11.63814543701236</v>
      </c>
      <c r="Q153" s="167">
        <v>1997.6872775488735</v>
      </c>
      <c r="R153" s="321"/>
      <c r="S153" s="322"/>
      <c r="V153" s="323"/>
      <c r="W153" s="323"/>
    </row>
    <row r="154" spans="1:23" s="293" customFormat="1" ht="35.25" x14ac:dyDescent="0.5">
      <c r="A154"/>
      <c r="B154" s="315">
        <v>81</v>
      </c>
      <c r="C154" s="316" t="s">
        <v>1921</v>
      </c>
      <c r="D154" s="317">
        <v>1963</v>
      </c>
      <c r="E154" s="317"/>
      <c r="F154" s="318" t="s">
        <v>270</v>
      </c>
      <c r="G154" s="317">
        <v>2</v>
      </c>
      <c r="H154" s="317">
        <v>1</v>
      </c>
      <c r="I154" s="312">
        <v>471.59</v>
      </c>
      <c r="J154" s="312">
        <v>415.21</v>
      </c>
      <c r="K154" s="312">
        <v>312.26</v>
      </c>
      <c r="L154" s="319">
        <v>21</v>
      </c>
      <c r="M154" s="325" t="s">
        <v>272</v>
      </c>
      <c r="N154" s="320" t="s">
        <v>1930</v>
      </c>
      <c r="O154" s="312">
        <v>110786.03</v>
      </c>
      <c r="P154" s="312">
        <v>234.92022731610086</v>
      </c>
      <c r="Q154" s="167">
        <v>6614.7607031531634</v>
      </c>
      <c r="R154" s="321"/>
      <c r="S154" s="322"/>
      <c r="V154" s="323"/>
      <c r="W154" s="323"/>
    </row>
    <row r="155" spans="1:23" customFormat="1" ht="35.25" x14ac:dyDescent="0.5">
      <c r="B155" s="304" t="s">
        <v>1423</v>
      </c>
      <c r="C155" s="311"/>
      <c r="D155" s="305" t="s">
        <v>764</v>
      </c>
      <c r="E155" s="305" t="s">
        <v>764</v>
      </c>
      <c r="F155" s="306" t="s">
        <v>764</v>
      </c>
      <c r="G155" s="305" t="s">
        <v>764</v>
      </c>
      <c r="H155" s="305" t="s">
        <v>764</v>
      </c>
      <c r="I155" s="307">
        <v>39280</v>
      </c>
      <c r="J155" s="307">
        <v>34872.199999999997</v>
      </c>
      <c r="K155" s="307">
        <v>32288.5</v>
      </c>
      <c r="L155" s="308">
        <v>1995</v>
      </c>
      <c r="M155" s="305" t="s">
        <v>903</v>
      </c>
      <c r="N155" s="309" t="s">
        <v>903</v>
      </c>
      <c r="O155" s="307">
        <v>1542530.93</v>
      </c>
      <c r="P155" s="307">
        <f>O155/I155</f>
        <v>39.270135692464358</v>
      </c>
      <c r="Q155" s="398">
        <f>MAX(Q156:Q160)</f>
        <v>875.92932069326514</v>
      </c>
      <c r="R155" s="313"/>
      <c r="S155" s="110"/>
      <c r="V155" s="314"/>
      <c r="W155" s="314"/>
    </row>
    <row r="156" spans="1:23" customFormat="1" ht="35.25" x14ac:dyDescent="0.5">
      <c r="A156">
        <v>1</v>
      </c>
      <c r="B156" s="310">
        <v>82</v>
      </c>
      <c r="C156" s="311" t="s">
        <v>1484</v>
      </c>
      <c r="D156" s="305">
        <v>1978</v>
      </c>
      <c r="E156" s="305"/>
      <c r="F156" s="306" t="s">
        <v>315</v>
      </c>
      <c r="G156" s="305">
        <v>9</v>
      </c>
      <c r="H156" s="305">
        <v>4</v>
      </c>
      <c r="I156" s="307">
        <v>8707</v>
      </c>
      <c r="J156" s="307">
        <v>7693.6</v>
      </c>
      <c r="K156" s="307">
        <v>7347.1</v>
      </c>
      <c r="L156" s="308">
        <v>357</v>
      </c>
      <c r="M156" s="305" t="s">
        <v>272</v>
      </c>
      <c r="N156" s="309" t="s">
        <v>323</v>
      </c>
      <c r="O156" s="307">
        <v>382556.25999999995</v>
      </c>
      <c r="P156" s="307">
        <v>43.936632594464221</v>
      </c>
      <c r="Q156" s="167">
        <v>831.25755036177782</v>
      </c>
      <c r="R156" s="313"/>
      <c r="S156" s="110"/>
      <c r="V156" s="314"/>
      <c r="W156" s="314"/>
    </row>
    <row r="157" spans="1:23" customFormat="1" ht="35.25" x14ac:dyDescent="0.5">
      <c r="A157">
        <v>1</v>
      </c>
      <c r="B157" s="310">
        <v>83</v>
      </c>
      <c r="C157" s="311" t="s">
        <v>1485</v>
      </c>
      <c r="D157" s="305">
        <v>1981</v>
      </c>
      <c r="E157" s="305"/>
      <c r="F157" s="306" t="s">
        <v>315</v>
      </c>
      <c r="G157" s="305">
        <v>9</v>
      </c>
      <c r="H157" s="305">
        <v>4</v>
      </c>
      <c r="I157" s="307">
        <v>8838.4</v>
      </c>
      <c r="J157" s="307">
        <v>7825</v>
      </c>
      <c r="K157" s="307">
        <v>7353.9</v>
      </c>
      <c r="L157" s="308">
        <v>387</v>
      </c>
      <c r="M157" s="305" t="s">
        <v>272</v>
      </c>
      <c r="N157" s="309" t="s">
        <v>323</v>
      </c>
      <c r="O157" s="307">
        <v>381284.05</v>
      </c>
      <c r="P157" s="307">
        <v>43.139487916364956</v>
      </c>
      <c r="Q157" s="167">
        <v>841.91120078294728</v>
      </c>
      <c r="R157" s="313"/>
      <c r="S157" s="110"/>
      <c r="V157" s="314"/>
      <c r="W157" s="314"/>
    </row>
    <row r="158" spans="1:23" customFormat="1" ht="35.25" x14ac:dyDescent="0.5">
      <c r="A158">
        <v>1</v>
      </c>
      <c r="B158" s="310">
        <v>84</v>
      </c>
      <c r="C158" s="311" t="s">
        <v>388</v>
      </c>
      <c r="D158" s="305">
        <v>1982</v>
      </c>
      <c r="E158" s="305"/>
      <c r="F158" s="306" t="s">
        <v>315</v>
      </c>
      <c r="G158" s="305">
        <v>9</v>
      </c>
      <c r="H158" s="305">
        <v>4</v>
      </c>
      <c r="I158" s="307">
        <v>8597</v>
      </c>
      <c r="J158" s="307">
        <v>7716.1</v>
      </c>
      <c r="K158" s="307">
        <v>7190.6</v>
      </c>
      <c r="L158" s="308">
        <v>399</v>
      </c>
      <c r="M158" s="305" t="s">
        <v>272</v>
      </c>
      <c r="N158" s="309" t="s">
        <v>323</v>
      </c>
      <c r="O158" s="307">
        <v>292385.17000000004</v>
      </c>
      <c r="P158" s="307">
        <v>34.010139583575672</v>
      </c>
      <c r="Q158" s="167">
        <v>875.92932069326514</v>
      </c>
      <c r="R158" s="313"/>
      <c r="S158" s="110"/>
      <c r="V158" s="314"/>
      <c r="W158" s="314"/>
    </row>
    <row r="159" spans="1:23" customFormat="1" ht="35.25" x14ac:dyDescent="0.5">
      <c r="A159">
        <v>1</v>
      </c>
      <c r="B159" s="310">
        <v>85</v>
      </c>
      <c r="C159" s="311" t="s">
        <v>1486</v>
      </c>
      <c r="D159" s="305">
        <v>1983</v>
      </c>
      <c r="E159" s="305"/>
      <c r="F159" s="306" t="s">
        <v>315</v>
      </c>
      <c r="G159" s="305">
        <v>9</v>
      </c>
      <c r="H159" s="305">
        <v>4</v>
      </c>
      <c r="I159" s="307">
        <v>8601.7999999999993</v>
      </c>
      <c r="J159" s="307">
        <v>7730</v>
      </c>
      <c r="K159" s="307">
        <v>7318.9</v>
      </c>
      <c r="L159" s="308">
        <v>404</v>
      </c>
      <c r="M159" s="305" t="s">
        <v>272</v>
      </c>
      <c r="N159" s="309" t="s">
        <v>323</v>
      </c>
      <c r="O159" s="307">
        <v>292385.17000000004</v>
      </c>
      <c r="P159" s="307">
        <v>33.991161152316963</v>
      </c>
      <c r="Q159" s="167">
        <v>874.71522937059694</v>
      </c>
      <c r="R159" s="313"/>
      <c r="S159" s="110"/>
      <c r="V159" s="314"/>
      <c r="W159" s="314"/>
    </row>
    <row r="160" spans="1:23" customFormat="1" ht="35.25" x14ac:dyDescent="0.5">
      <c r="A160">
        <v>1</v>
      </c>
      <c r="B160" s="310">
        <v>86</v>
      </c>
      <c r="C160" s="311" t="s">
        <v>1487</v>
      </c>
      <c r="D160" s="305">
        <v>1987</v>
      </c>
      <c r="E160" s="305"/>
      <c r="F160" s="306" t="s">
        <v>270</v>
      </c>
      <c r="G160" s="305">
        <v>12</v>
      </c>
      <c r="H160" s="305">
        <v>1</v>
      </c>
      <c r="I160" s="307">
        <v>4535.8</v>
      </c>
      <c r="J160" s="307">
        <v>3907.5</v>
      </c>
      <c r="K160" s="307">
        <v>3078</v>
      </c>
      <c r="L160" s="308">
        <v>448</v>
      </c>
      <c r="M160" s="305" t="s">
        <v>272</v>
      </c>
      <c r="N160" s="309" t="s">
        <v>323</v>
      </c>
      <c r="O160" s="307">
        <v>193920.28</v>
      </c>
      <c r="P160" s="307">
        <v>42.753269544512541</v>
      </c>
      <c r="Q160" s="167">
        <v>710.57385819480578</v>
      </c>
      <c r="R160" s="313"/>
      <c r="S160" s="110"/>
      <c r="V160" s="314"/>
      <c r="W160" s="314"/>
    </row>
    <row r="161" spans="1:23" customFormat="1" ht="35.25" x14ac:dyDescent="0.5">
      <c r="B161" s="304" t="s">
        <v>897</v>
      </c>
      <c r="C161" s="311"/>
      <c r="D161" s="305" t="s">
        <v>764</v>
      </c>
      <c r="E161" s="305" t="s">
        <v>764</v>
      </c>
      <c r="F161" s="306" t="s">
        <v>764</v>
      </c>
      <c r="G161" s="305" t="s">
        <v>764</v>
      </c>
      <c r="H161" s="305" t="s">
        <v>764</v>
      </c>
      <c r="I161" s="307">
        <v>6959.2</v>
      </c>
      <c r="J161" s="307">
        <v>6276.4</v>
      </c>
      <c r="K161" s="307">
        <v>6276.4</v>
      </c>
      <c r="L161" s="308">
        <v>259</v>
      </c>
      <c r="M161" s="305" t="s">
        <v>903</v>
      </c>
      <c r="N161" s="309" t="s">
        <v>903</v>
      </c>
      <c r="O161" s="307">
        <v>3231773.15</v>
      </c>
      <c r="P161" s="307">
        <f>O161/I161</f>
        <v>464.38860070123002</v>
      </c>
      <c r="Q161" s="398">
        <f>MAX(Q162:Q163)</f>
        <v>1460.3348625835447</v>
      </c>
      <c r="R161" s="313"/>
      <c r="S161" s="110"/>
      <c r="V161" s="314"/>
      <c r="W161" s="314"/>
    </row>
    <row r="162" spans="1:23" customFormat="1" ht="35.25" x14ac:dyDescent="0.5">
      <c r="A162">
        <v>1</v>
      </c>
      <c r="B162" s="310">
        <v>87</v>
      </c>
      <c r="C162" s="311" t="s">
        <v>1488</v>
      </c>
      <c r="D162" s="305">
        <v>1988</v>
      </c>
      <c r="E162" s="305"/>
      <c r="F162" s="306" t="s">
        <v>315</v>
      </c>
      <c r="G162" s="305">
        <v>5</v>
      </c>
      <c r="H162" s="305">
        <v>4</v>
      </c>
      <c r="I162" s="307">
        <v>3471.2</v>
      </c>
      <c r="J162" s="307">
        <v>3130.3</v>
      </c>
      <c r="K162" s="307">
        <v>3130.3</v>
      </c>
      <c r="L162" s="308">
        <v>113</v>
      </c>
      <c r="M162" s="305" t="s">
        <v>269</v>
      </c>
      <c r="N162" s="309" t="s">
        <v>271</v>
      </c>
      <c r="O162" s="307">
        <v>1617633.46</v>
      </c>
      <c r="P162" s="307">
        <v>466.01563148190831</v>
      </c>
      <c r="Q162" s="167">
        <v>1460.3348625835447</v>
      </c>
      <c r="R162" s="313"/>
      <c r="S162" s="110"/>
      <c r="V162" s="314"/>
      <c r="W162" s="314"/>
    </row>
    <row r="163" spans="1:23" customFormat="1" ht="35.25" x14ac:dyDescent="0.5">
      <c r="A163">
        <v>1</v>
      </c>
      <c r="B163" s="310">
        <v>88</v>
      </c>
      <c r="C163" s="311" t="s">
        <v>1489</v>
      </c>
      <c r="D163" s="305">
        <v>1989</v>
      </c>
      <c r="E163" s="305"/>
      <c r="F163" s="306" t="s">
        <v>270</v>
      </c>
      <c r="G163" s="305">
        <v>5</v>
      </c>
      <c r="H163" s="305">
        <v>4</v>
      </c>
      <c r="I163" s="307">
        <v>3488</v>
      </c>
      <c r="J163" s="307">
        <v>3146.1</v>
      </c>
      <c r="K163" s="307">
        <v>3146.1</v>
      </c>
      <c r="L163" s="308">
        <v>146</v>
      </c>
      <c r="M163" s="305" t="s">
        <v>269</v>
      </c>
      <c r="N163" s="309" t="s">
        <v>271</v>
      </c>
      <c r="O163" s="307">
        <v>1614139.69</v>
      </c>
      <c r="P163" s="307">
        <v>462.7694065366972</v>
      </c>
      <c r="Q163" s="167">
        <v>1453.3011396215597</v>
      </c>
      <c r="R163" s="313"/>
      <c r="S163" s="110"/>
      <c r="V163" s="314"/>
      <c r="W163" s="314"/>
    </row>
    <row r="164" spans="1:23" customFormat="1" ht="35.25" x14ac:dyDescent="0.5">
      <c r="B164" s="304" t="s">
        <v>1424</v>
      </c>
      <c r="C164" s="311"/>
      <c r="D164" s="305" t="s">
        <v>764</v>
      </c>
      <c r="E164" s="305" t="s">
        <v>764</v>
      </c>
      <c r="F164" s="306" t="s">
        <v>764</v>
      </c>
      <c r="G164" s="305" t="s">
        <v>764</v>
      </c>
      <c r="H164" s="305" t="s">
        <v>764</v>
      </c>
      <c r="I164" s="307">
        <f>I165+I166</f>
        <v>1317.6</v>
      </c>
      <c r="J164" s="307">
        <f t="shared" ref="J164:L164" si="23">J165+J166</f>
        <v>1189.5999999999999</v>
      </c>
      <c r="K164" s="307">
        <f t="shared" si="23"/>
        <v>1093.8</v>
      </c>
      <c r="L164" s="308">
        <f t="shared" si="23"/>
        <v>50</v>
      </c>
      <c r="M164" s="305" t="s">
        <v>903</v>
      </c>
      <c r="N164" s="309" t="s">
        <v>903</v>
      </c>
      <c r="O164" s="307">
        <v>35379.79</v>
      </c>
      <c r="P164" s="307">
        <f>O164/I164</f>
        <v>26.851692471159687</v>
      </c>
      <c r="Q164" s="398">
        <f>MAX(Q165:Q166)</f>
        <v>5603.9766814159293</v>
      </c>
      <c r="R164" s="313"/>
      <c r="S164" s="110"/>
      <c r="V164" s="314"/>
      <c r="W164" s="314"/>
    </row>
    <row r="165" spans="1:23" customFormat="1" ht="35.25" x14ac:dyDescent="0.5">
      <c r="A165">
        <v>1</v>
      </c>
      <c r="B165" s="310">
        <v>89</v>
      </c>
      <c r="C165" s="311" t="s">
        <v>1490</v>
      </c>
      <c r="D165" s="305">
        <v>1985</v>
      </c>
      <c r="E165" s="305"/>
      <c r="F165" s="306" t="s">
        <v>315</v>
      </c>
      <c r="G165" s="305">
        <v>2</v>
      </c>
      <c r="H165" s="305">
        <v>2</v>
      </c>
      <c r="I165" s="307">
        <v>978.6</v>
      </c>
      <c r="J165" s="307">
        <v>880.3</v>
      </c>
      <c r="K165" s="307">
        <v>821.4</v>
      </c>
      <c r="L165" s="308">
        <v>30</v>
      </c>
      <c r="M165" s="305" t="s">
        <v>269</v>
      </c>
      <c r="N165" s="309" t="s">
        <v>271</v>
      </c>
      <c r="O165" s="312">
        <v>11220.76</v>
      </c>
      <c r="P165" s="307">
        <f>O165/I165</f>
        <v>11.466135295319845</v>
      </c>
      <c r="Q165" s="167">
        <v>3006.6114408338444</v>
      </c>
      <c r="R165" s="313"/>
      <c r="S165" s="110"/>
      <c r="V165" s="314"/>
      <c r="W165" s="314"/>
    </row>
    <row r="166" spans="1:23" s="293" customFormat="1" ht="35.25" x14ac:dyDescent="0.5">
      <c r="A166"/>
      <c r="B166" s="315">
        <v>90</v>
      </c>
      <c r="C166" s="316" t="s">
        <v>1922</v>
      </c>
      <c r="D166" s="317" t="s">
        <v>355</v>
      </c>
      <c r="E166" s="317"/>
      <c r="F166" s="318" t="s">
        <v>270</v>
      </c>
      <c r="G166" s="317">
        <v>2</v>
      </c>
      <c r="H166" s="317">
        <v>1</v>
      </c>
      <c r="I166" s="312">
        <v>339</v>
      </c>
      <c r="J166" s="312">
        <v>309.3</v>
      </c>
      <c r="K166" s="312">
        <v>272.39999999999998</v>
      </c>
      <c r="L166" s="319">
        <v>20</v>
      </c>
      <c r="M166" s="325" t="s">
        <v>272</v>
      </c>
      <c r="N166" s="320" t="s">
        <v>1931</v>
      </c>
      <c r="O166" s="312">
        <v>24159.03</v>
      </c>
      <c r="P166" s="312">
        <v>71.265575221238933</v>
      </c>
      <c r="Q166" s="167">
        <v>5603.9766814159293</v>
      </c>
      <c r="R166" s="321"/>
      <c r="S166" s="322"/>
      <c r="V166" s="323"/>
      <c r="W166" s="323"/>
    </row>
    <row r="167" spans="1:23" customFormat="1" ht="35.25" x14ac:dyDescent="0.5">
      <c r="B167" s="304" t="s">
        <v>873</v>
      </c>
      <c r="C167" s="311"/>
      <c r="D167" s="305" t="s">
        <v>764</v>
      </c>
      <c r="E167" s="305" t="s">
        <v>764</v>
      </c>
      <c r="F167" s="306" t="s">
        <v>764</v>
      </c>
      <c r="G167" s="305" t="s">
        <v>764</v>
      </c>
      <c r="H167" s="305" t="s">
        <v>764</v>
      </c>
      <c r="I167" s="307">
        <v>3121</v>
      </c>
      <c r="J167" s="307">
        <v>1791</v>
      </c>
      <c r="K167" s="307">
        <v>1791</v>
      </c>
      <c r="L167" s="308">
        <v>171</v>
      </c>
      <c r="M167" s="305" t="s">
        <v>903</v>
      </c>
      <c r="N167" s="309" t="s">
        <v>903</v>
      </c>
      <c r="O167" s="307">
        <v>778244.79</v>
      </c>
      <c r="P167" s="307">
        <f>O167/I167</f>
        <v>249.35751041332907</v>
      </c>
      <c r="Q167" s="398">
        <f>Q168</f>
        <v>1944.0371595642421</v>
      </c>
      <c r="R167" s="313"/>
      <c r="S167" s="110"/>
      <c r="V167" s="314"/>
      <c r="W167" s="314"/>
    </row>
    <row r="168" spans="1:23" customFormat="1" ht="35.25" x14ac:dyDescent="0.5">
      <c r="A168">
        <v>1</v>
      </c>
      <c r="B168" s="310">
        <v>91</v>
      </c>
      <c r="C168" s="311" t="s">
        <v>1491</v>
      </c>
      <c r="D168" s="305">
        <v>1986</v>
      </c>
      <c r="E168" s="305"/>
      <c r="F168" s="306" t="s">
        <v>315</v>
      </c>
      <c r="G168" s="305">
        <v>5</v>
      </c>
      <c r="H168" s="305">
        <v>4</v>
      </c>
      <c r="I168" s="307">
        <v>3121</v>
      </c>
      <c r="J168" s="307">
        <v>1791</v>
      </c>
      <c r="K168" s="307">
        <v>1791</v>
      </c>
      <c r="L168" s="308">
        <v>171</v>
      </c>
      <c r="M168" s="305" t="s">
        <v>345</v>
      </c>
      <c r="N168" s="309" t="s">
        <v>1544</v>
      </c>
      <c r="O168" s="307">
        <v>778244.79</v>
      </c>
      <c r="P168" s="307">
        <v>249.35751041332907</v>
      </c>
      <c r="Q168" s="167">
        <v>1944.0371595642421</v>
      </c>
      <c r="R168" s="313"/>
      <c r="S168" s="110"/>
      <c r="V168" s="314"/>
      <c r="W168" s="314"/>
    </row>
    <row r="169" spans="1:23" customFormat="1" ht="35.25" x14ac:dyDescent="0.5">
      <c r="B169" s="304" t="s">
        <v>859</v>
      </c>
      <c r="C169" s="311"/>
      <c r="D169" s="305" t="s">
        <v>764</v>
      </c>
      <c r="E169" s="305" t="s">
        <v>764</v>
      </c>
      <c r="F169" s="306" t="s">
        <v>764</v>
      </c>
      <c r="G169" s="305" t="s">
        <v>764</v>
      </c>
      <c r="H169" s="305" t="s">
        <v>764</v>
      </c>
      <c r="I169" s="307">
        <v>6289.82</v>
      </c>
      <c r="J169" s="307">
        <v>5576.1399999999994</v>
      </c>
      <c r="K169" s="307">
        <v>5336.24</v>
      </c>
      <c r="L169" s="308">
        <v>266</v>
      </c>
      <c r="M169" s="305" t="s">
        <v>903</v>
      </c>
      <c r="N169" s="309" t="s">
        <v>903</v>
      </c>
      <c r="O169" s="307">
        <v>969598.97000000009</v>
      </c>
      <c r="P169" s="307">
        <f>O169/I169</f>
        <v>154.15369120260996</v>
      </c>
      <c r="Q169" s="398">
        <f>MAX(Q170:Q173)</f>
        <v>5656.5870455557206</v>
      </c>
      <c r="R169" s="313"/>
      <c r="S169" s="110"/>
      <c r="V169" s="314"/>
      <c r="W169" s="314"/>
    </row>
    <row r="170" spans="1:23" customFormat="1" ht="35.25" x14ac:dyDescent="0.5">
      <c r="A170">
        <v>1</v>
      </c>
      <c r="B170" s="310">
        <v>92</v>
      </c>
      <c r="C170" s="311" t="s">
        <v>1492</v>
      </c>
      <c r="D170" s="305">
        <v>1976</v>
      </c>
      <c r="E170" s="305"/>
      <c r="F170" s="306" t="s">
        <v>270</v>
      </c>
      <c r="G170" s="305">
        <v>5</v>
      </c>
      <c r="H170" s="305">
        <v>4</v>
      </c>
      <c r="I170" s="307">
        <v>3560.34</v>
      </c>
      <c r="J170" s="307">
        <v>3122.34</v>
      </c>
      <c r="K170" s="307">
        <v>3091.94</v>
      </c>
      <c r="L170" s="308">
        <v>145</v>
      </c>
      <c r="M170" s="305" t="s">
        <v>272</v>
      </c>
      <c r="N170" s="309" t="s">
        <v>1545</v>
      </c>
      <c r="O170" s="307">
        <v>672709.20000000007</v>
      </c>
      <c r="P170" s="307">
        <v>188.94521309762553</v>
      </c>
      <c r="Q170" s="167">
        <v>1678.7373621620407</v>
      </c>
      <c r="R170" s="313"/>
      <c r="S170" s="110"/>
      <c r="V170" s="314"/>
      <c r="W170" s="314"/>
    </row>
    <row r="171" spans="1:23" customFormat="1" ht="35.25" x14ac:dyDescent="0.5">
      <c r="A171">
        <v>1</v>
      </c>
      <c r="B171" s="310">
        <v>93</v>
      </c>
      <c r="C171" s="311" t="s">
        <v>1493</v>
      </c>
      <c r="D171" s="305">
        <v>1958</v>
      </c>
      <c r="E171" s="305"/>
      <c r="F171" s="306" t="s">
        <v>270</v>
      </c>
      <c r="G171" s="305">
        <v>2</v>
      </c>
      <c r="H171" s="305">
        <v>2</v>
      </c>
      <c r="I171" s="307">
        <v>673.9</v>
      </c>
      <c r="J171" s="307">
        <v>615.9</v>
      </c>
      <c r="K171" s="307">
        <v>562.29999999999995</v>
      </c>
      <c r="L171" s="308">
        <v>32</v>
      </c>
      <c r="M171" s="305" t="s">
        <v>269</v>
      </c>
      <c r="N171" s="309" t="s">
        <v>271</v>
      </c>
      <c r="O171" s="307">
        <v>5758.94</v>
      </c>
      <c r="P171" s="307">
        <v>8.5456892714052533</v>
      </c>
      <c r="Q171" s="167">
        <v>5656.5870455557206</v>
      </c>
      <c r="R171" s="313"/>
      <c r="S171" s="110"/>
      <c r="V171" s="314"/>
      <c r="W171" s="314"/>
    </row>
    <row r="172" spans="1:23" customFormat="1" ht="35.25" x14ac:dyDescent="0.5">
      <c r="A172">
        <v>1</v>
      </c>
      <c r="B172" s="310">
        <v>94</v>
      </c>
      <c r="C172" s="311" t="s">
        <v>1494</v>
      </c>
      <c r="D172" s="305">
        <v>1975</v>
      </c>
      <c r="E172" s="305"/>
      <c r="F172" s="306" t="s">
        <v>270</v>
      </c>
      <c r="G172" s="305">
        <v>2</v>
      </c>
      <c r="H172" s="305">
        <v>2</v>
      </c>
      <c r="I172" s="307">
        <v>768.5</v>
      </c>
      <c r="J172" s="307">
        <v>710</v>
      </c>
      <c r="K172" s="307">
        <v>655.20000000000005</v>
      </c>
      <c r="L172" s="308">
        <v>38</v>
      </c>
      <c r="M172" s="305" t="s">
        <v>269</v>
      </c>
      <c r="N172" s="309" t="s">
        <v>271</v>
      </c>
      <c r="O172" s="307">
        <v>233459.54</v>
      </c>
      <c r="P172" s="307">
        <v>303.78599869876382</v>
      </c>
      <c r="Q172" s="167">
        <v>1525.5721014964215</v>
      </c>
      <c r="R172" s="313"/>
      <c r="S172" s="110"/>
      <c r="V172" s="314"/>
      <c r="W172" s="314"/>
    </row>
    <row r="173" spans="1:23" customFormat="1" ht="35.25" x14ac:dyDescent="0.5">
      <c r="A173">
        <v>1</v>
      </c>
      <c r="B173" s="310">
        <v>95</v>
      </c>
      <c r="C173" s="311" t="s">
        <v>1522</v>
      </c>
      <c r="D173" s="305">
        <v>1984</v>
      </c>
      <c r="E173" s="305"/>
      <c r="F173" s="306" t="s">
        <v>315</v>
      </c>
      <c r="G173" s="305">
        <v>4</v>
      </c>
      <c r="H173" s="305">
        <v>2</v>
      </c>
      <c r="I173" s="307">
        <v>1287.08</v>
      </c>
      <c r="J173" s="307">
        <v>1127.9000000000001</v>
      </c>
      <c r="K173" s="307">
        <v>1026.8</v>
      </c>
      <c r="L173" s="308">
        <v>51</v>
      </c>
      <c r="M173" s="305" t="s">
        <v>269</v>
      </c>
      <c r="N173" s="309" t="s">
        <v>271</v>
      </c>
      <c r="O173" s="307">
        <v>57671.29</v>
      </c>
      <c r="P173" s="307">
        <v>44.807851881778916</v>
      </c>
      <c r="Q173" s="167">
        <v>2462.4469963017063</v>
      </c>
      <c r="R173" s="313"/>
      <c r="S173" s="110"/>
      <c r="V173" s="314"/>
      <c r="W173" s="314"/>
    </row>
    <row r="174" spans="1:23" customFormat="1" ht="35.25" x14ac:dyDescent="0.5">
      <c r="B174" s="304" t="s">
        <v>883</v>
      </c>
      <c r="C174" s="311"/>
      <c r="D174" s="305" t="s">
        <v>764</v>
      </c>
      <c r="E174" s="305" t="s">
        <v>764</v>
      </c>
      <c r="F174" s="306" t="s">
        <v>764</v>
      </c>
      <c r="G174" s="305" t="s">
        <v>764</v>
      </c>
      <c r="H174" s="305" t="s">
        <v>764</v>
      </c>
      <c r="I174" s="307">
        <v>5085.1000000000004</v>
      </c>
      <c r="J174" s="307">
        <v>4673.5</v>
      </c>
      <c r="K174" s="307">
        <v>4551.8</v>
      </c>
      <c r="L174" s="308">
        <v>199</v>
      </c>
      <c r="M174" s="305" t="s">
        <v>903</v>
      </c>
      <c r="N174" s="309" t="s">
        <v>903</v>
      </c>
      <c r="O174" s="307">
        <v>425208.96</v>
      </c>
      <c r="P174" s="307">
        <f>O174/I174</f>
        <v>83.618603370631845</v>
      </c>
      <c r="Q174" s="398">
        <f>Q175</f>
        <v>1500.498894810328</v>
      </c>
      <c r="R174" s="313"/>
      <c r="S174" s="110"/>
      <c r="V174" s="314"/>
      <c r="W174" s="314"/>
    </row>
    <row r="175" spans="1:23" customFormat="1" ht="35.25" x14ac:dyDescent="0.5">
      <c r="A175">
        <v>1</v>
      </c>
      <c r="B175" s="310">
        <v>96</v>
      </c>
      <c r="C175" s="311" t="s">
        <v>1495</v>
      </c>
      <c r="D175" s="305">
        <v>1982</v>
      </c>
      <c r="E175" s="305"/>
      <c r="F175" s="306" t="s">
        <v>315</v>
      </c>
      <c r="G175" s="305">
        <v>5</v>
      </c>
      <c r="H175" s="305">
        <v>6</v>
      </c>
      <c r="I175" s="307">
        <v>5085.1000000000004</v>
      </c>
      <c r="J175" s="307">
        <v>4673.5</v>
      </c>
      <c r="K175" s="307">
        <v>4551.8</v>
      </c>
      <c r="L175" s="308">
        <v>199</v>
      </c>
      <c r="M175" s="305" t="s">
        <v>345</v>
      </c>
      <c r="N175" s="309" t="s">
        <v>1546</v>
      </c>
      <c r="O175" s="307">
        <v>425208.96</v>
      </c>
      <c r="P175" s="307">
        <v>83.618603370631845</v>
      </c>
      <c r="Q175" s="167">
        <v>1500.498894810328</v>
      </c>
      <c r="R175" s="313"/>
      <c r="S175" s="110"/>
      <c r="V175" s="314"/>
      <c r="W175" s="314"/>
    </row>
    <row r="176" spans="1:23" customFormat="1" ht="35.25" x14ac:dyDescent="0.5">
      <c r="B176" s="304" t="s">
        <v>844</v>
      </c>
      <c r="C176" s="311"/>
      <c r="D176" s="305" t="s">
        <v>764</v>
      </c>
      <c r="E176" s="305" t="s">
        <v>764</v>
      </c>
      <c r="F176" s="305" t="s">
        <v>764</v>
      </c>
      <c r="G176" s="305" t="s">
        <v>764</v>
      </c>
      <c r="H176" s="305" t="s">
        <v>764</v>
      </c>
      <c r="I176" s="307">
        <f>I177+I178</f>
        <v>4174.76</v>
      </c>
      <c r="J176" s="307">
        <f t="shared" ref="J176:L176" si="24">J177+J178</f>
        <v>2760.79</v>
      </c>
      <c r="K176" s="307">
        <f t="shared" si="24"/>
        <v>1330.8600000000001</v>
      </c>
      <c r="L176" s="308">
        <f t="shared" si="24"/>
        <v>92</v>
      </c>
      <c r="M176" s="305" t="s">
        <v>903</v>
      </c>
      <c r="N176" s="309" t="s">
        <v>903</v>
      </c>
      <c r="O176" s="307">
        <v>379095.19</v>
      </c>
      <c r="P176" s="307">
        <f>O176/I176</f>
        <v>90.806463126024013</v>
      </c>
      <c r="Q176" s="398">
        <f>MAX(Q177:Q178)</f>
        <v>5351.7146397255055</v>
      </c>
      <c r="R176" s="313"/>
      <c r="S176" s="110"/>
      <c r="V176" s="314"/>
      <c r="W176" s="314"/>
    </row>
    <row r="177" spans="1:23" customFormat="1" ht="35.25" x14ac:dyDescent="0.5">
      <c r="A177">
        <v>1</v>
      </c>
      <c r="B177" s="310">
        <v>97</v>
      </c>
      <c r="C177" s="311" t="s">
        <v>1496</v>
      </c>
      <c r="D177" s="305">
        <v>1967</v>
      </c>
      <c r="E177" s="305"/>
      <c r="F177" s="306" t="s">
        <v>270</v>
      </c>
      <c r="G177" s="305">
        <v>4</v>
      </c>
      <c r="H177" s="305">
        <v>3</v>
      </c>
      <c r="I177" s="307">
        <v>3387.86</v>
      </c>
      <c r="J177" s="307">
        <v>2034.29</v>
      </c>
      <c r="K177" s="307">
        <v>1015.36</v>
      </c>
      <c r="L177" s="308">
        <v>59</v>
      </c>
      <c r="M177" s="305" t="s">
        <v>272</v>
      </c>
      <c r="N177" s="309" t="s">
        <v>1324</v>
      </c>
      <c r="O177" s="307">
        <v>354821.67</v>
      </c>
      <c r="P177" s="307">
        <v>104.73327410223563</v>
      </c>
      <c r="Q177" s="167">
        <v>1343.9624181636782</v>
      </c>
      <c r="R177" s="313"/>
      <c r="S177" s="110"/>
      <c r="V177" s="314"/>
      <c r="W177" s="314"/>
    </row>
    <row r="178" spans="1:23" s="293" customFormat="1" ht="35.25" x14ac:dyDescent="0.5">
      <c r="A178"/>
      <c r="B178" s="315">
        <v>98</v>
      </c>
      <c r="C178" s="316" t="s">
        <v>1923</v>
      </c>
      <c r="D178" s="317" t="s">
        <v>358</v>
      </c>
      <c r="E178" s="317"/>
      <c r="F178" s="318" t="s">
        <v>270</v>
      </c>
      <c r="G178" s="317">
        <v>2</v>
      </c>
      <c r="H178" s="317">
        <v>2</v>
      </c>
      <c r="I178" s="312">
        <v>786.9</v>
      </c>
      <c r="J178" s="312">
        <v>726.5</v>
      </c>
      <c r="K178" s="312">
        <v>315.5</v>
      </c>
      <c r="L178" s="319">
        <v>33</v>
      </c>
      <c r="M178" s="325" t="s">
        <v>272</v>
      </c>
      <c r="N178" s="320" t="s">
        <v>1932</v>
      </c>
      <c r="O178" s="312">
        <v>24273.52</v>
      </c>
      <c r="P178" s="312">
        <v>30.847019951709239</v>
      </c>
      <c r="Q178" s="167">
        <v>5351.7146397255055</v>
      </c>
      <c r="R178" s="321"/>
      <c r="S178" s="322"/>
      <c r="V178" s="323"/>
      <c r="W178" s="323"/>
    </row>
    <row r="179" spans="1:23" customFormat="1" ht="35.25" x14ac:dyDescent="0.5">
      <c r="B179" s="304" t="s">
        <v>856</v>
      </c>
      <c r="C179" s="311"/>
      <c r="D179" s="305" t="s">
        <v>764</v>
      </c>
      <c r="E179" s="305" t="s">
        <v>764</v>
      </c>
      <c r="F179" s="306" t="s">
        <v>764</v>
      </c>
      <c r="G179" s="305" t="s">
        <v>764</v>
      </c>
      <c r="H179" s="305" t="s">
        <v>764</v>
      </c>
      <c r="I179" s="307">
        <v>15972.619999999999</v>
      </c>
      <c r="J179" s="307">
        <v>13085.72</v>
      </c>
      <c r="K179" s="307">
        <v>12402.84</v>
      </c>
      <c r="L179" s="308">
        <v>615</v>
      </c>
      <c r="M179" s="305" t="s">
        <v>903</v>
      </c>
      <c r="N179" s="309" t="s">
        <v>903</v>
      </c>
      <c r="O179" s="307">
        <v>1988549.43</v>
      </c>
      <c r="P179" s="307">
        <f>O179/I179</f>
        <v>124.49738552598134</v>
      </c>
      <c r="Q179" s="398">
        <f>MAX(Q180:Q181)</f>
        <v>2078.6826562685833</v>
      </c>
      <c r="R179" s="313"/>
      <c r="S179" s="110"/>
      <c r="V179" s="314"/>
      <c r="W179" s="314"/>
    </row>
    <row r="180" spans="1:23" customFormat="1" ht="35.25" x14ac:dyDescent="0.5">
      <c r="A180">
        <v>1</v>
      </c>
      <c r="B180" s="310">
        <v>99</v>
      </c>
      <c r="C180" s="311" t="s">
        <v>1497</v>
      </c>
      <c r="D180" s="305">
        <v>1989</v>
      </c>
      <c r="E180" s="305"/>
      <c r="F180" s="306" t="s">
        <v>270</v>
      </c>
      <c r="G180" s="305">
        <v>5</v>
      </c>
      <c r="H180" s="305">
        <v>12</v>
      </c>
      <c r="I180" s="307">
        <v>10086.92</v>
      </c>
      <c r="J180" s="307">
        <v>8329.2199999999993</v>
      </c>
      <c r="K180" s="307">
        <v>7734.54</v>
      </c>
      <c r="L180" s="308">
        <v>405</v>
      </c>
      <c r="M180" s="305" t="s">
        <v>272</v>
      </c>
      <c r="N180" s="309" t="s">
        <v>1547</v>
      </c>
      <c r="O180" s="307">
        <v>83534.5</v>
      </c>
      <c r="P180" s="307">
        <v>8.2814674846236507</v>
      </c>
      <c r="Q180" s="167">
        <v>1719.9042955629664</v>
      </c>
      <c r="R180" s="313"/>
      <c r="S180" s="110"/>
      <c r="V180" s="314"/>
      <c r="W180" s="314"/>
    </row>
    <row r="181" spans="1:23" customFormat="1" ht="35.25" x14ac:dyDescent="0.5">
      <c r="A181">
        <v>1</v>
      </c>
      <c r="B181" s="310">
        <v>100</v>
      </c>
      <c r="C181" s="311" t="s">
        <v>1498</v>
      </c>
      <c r="D181" s="305">
        <v>1977</v>
      </c>
      <c r="E181" s="305"/>
      <c r="F181" s="306" t="s">
        <v>270</v>
      </c>
      <c r="G181" s="305">
        <v>5</v>
      </c>
      <c r="H181" s="305">
        <v>8</v>
      </c>
      <c r="I181" s="307">
        <v>5885.7</v>
      </c>
      <c r="J181" s="307">
        <v>4756.5</v>
      </c>
      <c r="K181" s="307">
        <v>4668.3</v>
      </c>
      <c r="L181" s="308">
        <v>210</v>
      </c>
      <c r="M181" s="305" t="s">
        <v>272</v>
      </c>
      <c r="N181" s="309" t="s">
        <v>1548</v>
      </c>
      <c r="O181" s="307">
        <v>1905014.93</v>
      </c>
      <c r="P181" s="307">
        <v>323.66837079701651</v>
      </c>
      <c r="Q181" s="167">
        <v>2078.6826562685833</v>
      </c>
      <c r="R181" s="313"/>
      <c r="S181" s="110"/>
      <c r="V181" s="314"/>
      <c r="W181" s="314"/>
    </row>
    <row r="182" spans="1:23" customFormat="1" ht="35.25" x14ac:dyDescent="0.5">
      <c r="B182" s="304" t="s">
        <v>896</v>
      </c>
      <c r="C182" s="311"/>
      <c r="D182" s="305" t="s">
        <v>764</v>
      </c>
      <c r="E182" s="305" t="s">
        <v>764</v>
      </c>
      <c r="F182" s="306" t="s">
        <v>764</v>
      </c>
      <c r="G182" s="305" t="s">
        <v>764</v>
      </c>
      <c r="H182" s="305" t="s">
        <v>764</v>
      </c>
      <c r="I182" s="307">
        <f>I183+I184+I185</f>
        <v>3408</v>
      </c>
      <c r="J182" s="307">
        <f t="shared" ref="J182:L182" si="25">J183+J184+J185</f>
        <v>3083.5</v>
      </c>
      <c r="K182" s="307">
        <f t="shared" si="25"/>
        <v>2494.5</v>
      </c>
      <c r="L182" s="308">
        <f t="shared" si="25"/>
        <v>189</v>
      </c>
      <c r="M182" s="305" t="s">
        <v>903</v>
      </c>
      <c r="N182" s="309" t="s">
        <v>903</v>
      </c>
      <c r="O182" s="307">
        <v>654592.74</v>
      </c>
      <c r="P182" s="307">
        <f>O182/I182</f>
        <v>192.07533450704224</v>
      </c>
      <c r="Q182" s="398">
        <f>MAX(Q183:Q185)</f>
        <v>5664.1740484848488</v>
      </c>
      <c r="R182" s="313"/>
      <c r="S182" s="110"/>
      <c r="V182" s="314"/>
      <c r="W182" s="314"/>
    </row>
    <row r="183" spans="1:23" customFormat="1" ht="35.25" x14ac:dyDescent="0.5">
      <c r="A183">
        <v>1</v>
      </c>
      <c r="B183" s="310">
        <v>101</v>
      </c>
      <c r="C183" s="311" t="s">
        <v>1499</v>
      </c>
      <c r="D183" s="305">
        <v>1961</v>
      </c>
      <c r="E183" s="305"/>
      <c r="F183" s="306" t="s">
        <v>270</v>
      </c>
      <c r="G183" s="305">
        <v>2</v>
      </c>
      <c r="H183" s="305">
        <v>3</v>
      </c>
      <c r="I183" s="307">
        <v>825</v>
      </c>
      <c r="J183" s="307">
        <v>769.5</v>
      </c>
      <c r="K183" s="307">
        <v>628.1</v>
      </c>
      <c r="L183" s="308">
        <v>57</v>
      </c>
      <c r="M183" s="305" t="s">
        <v>272</v>
      </c>
      <c r="N183" s="309" t="s">
        <v>1549</v>
      </c>
      <c r="O183" s="312">
        <v>590350.84</v>
      </c>
      <c r="P183" s="307">
        <f>O183/I183</f>
        <v>715.57677575757577</v>
      </c>
      <c r="Q183" s="167">
        <v>5664.1740484848488</v>
      </c>
      <c r="R183" s="313"/>
      <c r="S183" s="110"/>
      <c r="V183" s="314"/>
      <c r="W183" s="314"/>
    </row>
    <row r="184" spans="1:23" customFormat="1" ht="35.25" x14ac:dyDescent="0.5">
      <c r="A184">
        <v>1</v>
      </c>
      <c r="B184" s="310">
        <v>102</v>
      </c>
      <c r="C184" s="311" t="s">
        <v>1500</v>
      </c>
      <c r="D184" s="305">
        <v>1985</v>
      </c>
      <c r="E184" s="305"/>
      <c r="F184" s="306" t="s">
        <v>270</v>
      </c>
      <c r="G184" s="305">
        <v>4</v>
      </c>
      <c r="H184" s="305">
        <v>2</v>
      </c>
      <c r="I184" s="307">
        <v>1789.9</v>
      </c>
      <c r="J184" s="307">
        <v>1591.4</v>
      </c>
      <c r="K184" s="307">
        <v>1185</v>
      </c>
      <c r="L184" s="308">
        <v>91</v>
      </c>
      <c r="M184" s="305" t="s">
        <v>272</v>
      </c>
      <c r="N184" s="309" t="s">
        <v>1549</v>
      </c>
      <c r="O184" s="307">
        <v>30755.429999999997</v>
      </c>
      <c r="P184" s="307">
        <v>17.182764400245819</v>
      </c>
      <c r="Q184" s="167">
        <v>2453.1788692105702</v>
      </c>
      <c r="R184" s="313"/>
      <c r="S184" s="110"/>
      <c r="V184" s="314"/>
      <c r="W184" s="314"/>
    </row>
    <row r="185" spans="1:23" s="293" customFormat="1" ht="35.25" x14ac:dyDescent="0.5">
      <c r="A185"/>
      <c r="B185" s="315">
        <v>103</v>
      </c>
      <c r="C185" s="316" t="s">
        <v>1924</v>
      </c>
      <c r="D185" s="317" t="s">
        <v>321</v>
      </c>
      <c r="E185" s="317"/>
      <c r="F185" s="318" t="s">
        <v>270</v>
      </c>
      <c r="G185" s="317">
        <v>2</v>
      </c>
      <c r="H185" s="317">
        <v>2</v>
      </c>
      <c r="I185" s="312">
        <v>793.1</v>
      </c>
      <c r="J185" s="312">
        <v>722.6</v>
      </c>
      <c r="K185" s="312">
        <v>681.4</v>
      </c>
      <c r="L185" s="319">
        <v>41</v>
      </c>
      <c r="M185" s="325" t="s">
        <v>272</v>
      </c>
      <c r="N185" s="320" t="s">
        <v>1933</v>
      </c>
      <c r="O185" s="312">
        <v>33486.47</v>
      </c>
      <c r="P185" s="312">
        <v>42.222254444584543</v>
      </c>
      <c r="Q185" s="167">
        <v>4672.6926490984742</v>
      </c>
      <c r="R185" s="321"/>
      <c r="S185" s="322"/>
      <c r="V185" s="323"/>
      <c r="W185" s="323"/>
    </row>
    <row r="186" spans="1:23" customFormat="1" ht="35.25" x14ac:dyDescent="0.5">
      <c r="B186" s="304" t="s">
        <v>870</v>
      </c>
      <c r="C186" s="311"/>
      <c r="D186" s="305" t="s">
        <v>764</v>
      </c>
      <c r="E186" s="305" t="s">
        <v>764</v>
      </c>
      <c r="F186" s="306" t="s">
        <v>764</v>
      </c>
      <c r="G186" s="305" t="s">
        <v>764</v>
      </c>
      <c r="H186" s="305" t="s">
        <v>764</v>
      </c>
      <c r="I186" s="307">
        <v>677.1</v>
      </c>
      <c r="J186" s="307">
        <v>618.1</v>
      </c>
      <c r="K186" s="307">
        <v>363.3</v>
      </c>
      <c r="L186" s="308">
        <v>37</v>
      </c>
      <c r="M186" s="305" t="s">
        <v>903</v>
      </c>
      <c r="N186" s="309" t="s">
        <v>903</v>
      </c>
      <c r="O186" s="307">
        <v>39585</v>
      </c>
      <c r="P186" s="307">
        <f>O186/I186</f>
        <v>58.462560921577314</v>
      </c>
      <c r="Q186" s="398">
        <f>Q187</f>
        <v>5012.504858957318</v>
      </c>
      <c r="R186" s="313"/>
      <c r="S186" s="110"/>
      <c r="V186" s="314"/>
      <c r="W186" s="314"/>
    </row>
    <row r="187" spans="1:23" customFormat="1" ht="35.25" x14ac:dyDescent="0.5">
      <c r="A187">
        <v>1</v>
      </c>
      <c r="B187" s="310">
        <v>104</v>
      </c>
      <c r="C187" s="311" t="s">
        <v>1501</v>
      </c>
      <c r="D187" s="305">
        <v>1991</v>
      </c>
      <c r="E187" s="305"/>
      <c r="F187" s="306" t="s">
        <v>315</v>
      </c>
      <c r="G187" s="305">
        <v>2</v>
      </c>
      <c r="H187" s="305">
        <v>2</v>
      </c>
      <c r="I187" s="307">
        <v>677.1</v>
      </c>
      <c r="J187" s="307">
        <v>618.1</v>
      </c>
      <c r="K187" s="307">
        <v>363.3</v>
      </c>
      <c r="L187" s="308">
        <v>37</v>
      </c>
      <c r="M187" s="305" t="s">
        <v>269</v>
      </c>
      <c r="N187" s="309" t="s">
        <v>271</v>
      </c>
      <c r="O187" s="307">
        <v>39585</v>
      </c>
      <c r="P187" s="307">
        <v>58.462560921577314</v>
      </c>
      <c r="Q187" s="167">
        <v>5012.504858957318</v>
      </c>
      <c r="R187" s="313"/>
      <c r="S187" s="110"/>
      <c r="V187" s="314"/>
      <c r="W187" s="314"/>
    </row>
    <row r="188" spans="1:23" customFormat="1" ht="35.25" x14ac:dyDescent="0.5">
      <c r="B188" s="304" t="s">
        <v>838</v>
      </c>
      <c r="C188" s="311"/>
      <c r="D188" s="305" t="s">
        <v>764</v>
      </c>
      <c r="E188" s="305" t="s">
        <v>764</v>
      </c>
      <c r="F188" s="306" t="s">
        <v>764</v>
      </c>
      <c r="G188" s="305" t="s">
        <v>764</v>
      </c>
      <c r="H188" s="305" t="s">
        <v>764</v>
      </c>
      <c r="I188" s="307">
        <v>805.6</v>
      </c>
      <c r="J188" s="307">
        <v>744.2</v>
      </c>
      <c r="K188" s="307">
        <v>701.4</v>
      </c>
      <c r="L188" s="308">
        <v>44</v>
      </c>
      <c r="M188" s="305" t="s">
        <v>903</v>
      </c>
      <c r="N188" s="309" t="s">
        <v>903</v>
      </c>
      <c r="O188" s="307">
        <v>275468.56</v>
      </c>
      <c r="P188" s="307">
        <f>O188/I188</f>
        <v>341.94210526315788</v>
      </c>
      <c r="Q188" s="398">
        <f>Q189</f>
        <v>5483.0539721946379</v>
      </c>
      <c r="R188" s="313"/>
      <c r="S188" s="110"/>
    </row>
    <row r="189" spans="1:23" customFormat="1" ht="35.25" x14ac:dyDescent="0.5">
      <c r="A189">
        <v>1</v>
      </c>
      <c r="B189" s="310">
        <v>105</v>
      </c>
      <c r="C189" s="311" t="s">
        <v>1502</v>
      </c>
      <c r="D189" s="305">
        <v>1969</v>
      </c>
      <c r="E189" s="305"/>
      <c r="F189" s="306" t="s">
        <v>270</v>
      </c>
      <c r="G189" s="305">
        <v>2</v>
      </c>
      <c r="H189" s="305">
        <v>2</v>
      </c>
      <c r="I189" s="307">
        <v>805.6</v>
      </c>
      <c r="J189" s="307">
        <v>744.2</v>
      </c>
      <c r="K189" s="307">
        <v>701.4</v>
      </c>
      <c r="L189" s="308">
        <v>44</v>
      </c>
      <c r="M189" s="305" t="s">
        <v>269</v>
      </c>
      <c r="N189" s="309" t="s">
        <v>271</v>
      </c>
      <c r="O189" s="307">
        <v>275468.56</v>
      </c>
      <c r="P189" s="307">
        <v>341.94210526315788</v>
      </c>
      <c r="Q189" s="167">
        <v>5483.0539721946379</v>
      </c>
      <c r="R189" s="313"/>
      <c r="S189" s="110"/>
    </row>
    <row r="190" spans="1:23" customFormat="1" ht="35.25" x14ac:dyDescent="0.5">
      <c r="B190" s="304" t="s">
        <v>880</v>
      </c>
      <c r="C190" s="311"/>
      <c r="D190" s="305" t="s">
        <v>764</v>
      </c>
      <c r="E190" s="305" t="s">
        <v>764</v>
      </c>
      <c r="F190" s="306" t="s">
        <v>764</v>
      </c>
      <c r="G190" s="305" t="s">
        <v>764</v>
      </c>
      <c r="H190" s="305" t="s">
        <v>764</v>
      </c>
      <c r="I190" s="307">
        <f>I191</f>
        <v>1423.3</v>
      </c>
      <c r="J190" s="307">
        <f t="shared" ref="J190:L190" si="26">J191</f>
        <v>862.5</v>
      </c>
      <c r="K190" s="307">
        <f t="shared" si="26"/>
        <v>862.5</v>
      </c>
      <c r="L190" s="308">
        <f t="shared" si="26"/>
        <v>37</v>
      </c>
      <c r="M190" s="305" t="s">
        <v>903</v>
      </c>
      <c r="N190" s="309" t="s">
        <v>903</v>
      </c>
      <c r="O190" s="307">
        <v>50753.95</v>
      </c>
      <c r="P190" s="307">
        <f>O190/I190</f>
        <v>35.659347994098219</v>
      </c>
      <c r="Q190" s="398">
        <f>Q191</f>
        <v>3629.4649617087048</v>
      </c>
      <c r="R190" s="313"/>
      <c r="S190" s="110"/>
    </row>
    <row r="191" spans="1:23" s="293" customFormat="1" ht="35.25" x14ac:dyDescent="0.5">
      <c r="A191"/>
      <c r="B191" s="315">
        <v>106</v>
      </c>
      <c r="C191" s="316" t="s">
        <v>1925</v>
      </c>
      <c r="D191" s="317">
        <v>1980</v>
      </c>
      <c r="E191" s="317"/>
      <c r="F191" s="318" t="s">
        <v>270</v>
      </c>
      <c r="G191" s="317">
        <v>2</v>
      </c>
      <c r="H191" s="317">
        <v>3</v>
      </c>
      <c r="I191" s="312">
        <v>1423.3</v>
      </c>
      <c r="J191" s="312">
        <v>862.5</v>
      </c>
      <c r="K191" s="312">
        <v>862.5</v>
      </c>
      <c r="L191" s="319">
        <v>37</v>
      </c>
      <c r="M191" s="317" t="s">
        <v>269</v>
      </c>
      <c r="N191" s="320" t="s">
        <v>271</v>
      </c>
      <c r="O191" s="312">
        <v>50753.95</v>
      </c>
      <c r="P191" s="312">
        <v>35.659347994098219</v>
      </c>
      <c r="Q191" s="167">
        <v>3629.4649617087048</v>
      </c>
      <c r="R191" s="321"/>
      <c r="S191" s="322"/>
    </row>
    <row r="192" spans="1:23" customFormat="1" ht="35.25" x14ac:dyDescent="0.5">
      <c r="B192" s="304" t="s">
        <v>865</v>
      </c>
      <c r="C192" s="311"/>
      <c r="D192" s="305" t="s">
        <v>764</v>
      </c>
      <c r="E192" s="305" t="s">
        <v>764</v>
      </c>
      <c r="F192" s="306" t="s">
        <v>764</v>
      </c>
      <c r="G192" s="305" t="s">
        <v>764</v>
      </c>
      <c r="H192" s="305" t="s">
        <v>764</v>
      </c>
      <c r="I192" s="307">
        <v>12931.86</v>
      </c>
      <c r="J192" s="307">
        <v>8229.4599999999991</v>
      </c>
      <c r="K192" s="307">
        <v>6014.5399999999991</v>
      </c>
      <c r="L192" s="308">
        <v>621</v>
      </c>
      <c r="M192" s="305" t="s">
        <v>903</v>
      </c>
      <c r="N192" s="309" t="s">
        <v>903</v>
      </c>
      <c r="O192" s="307">
        <v>274179.65000000002</v>
      </c>
      <c r="P192" s="307">
        <f>O192/I192</f>
        <v>21.201872739111003</v>
      </c>
      <c r="Q192" s="398">
        <f>MAX(Q193:Q195)</f>
        <v>5646.6699319290174</v>
      </c>
      <c r="R192" s="313"/>
      <c r="S192" s="110"/>
    </row>
    <row r="193" spans="1:19" customFormat="1" ht="35.25" x14ac:dyDescent="0.5">
      <c r="A193">
        <v>1</v>
      </c>
      <c r="B193" s="310">
        <v>107</v>
      </c>
      <c r="C193" s="311" t="s">
        <v>1503</v>
      </c>
      <c r="D193" s="305">
        <v>1984</v>
      </c>
      <c r="E193" s="305"/>
      <c r="F193" s="306" t="s">
        <v>315</v>
      </c>
      <c r="G193" s="305">
        <v>5</v>
      </c>
      <c r="H193" s="305">
        <v>6</v>
      </c>
      <c r="I193" s="307">
        <v>6737.77</v>
      </c>
      <c r="J193" s="307">
        <v>4669.7</v>
      </c>
      <c r="K193" s="307">
        <v>4492.3999999999996</v>
      </c>
      <c r="L193" s="308">
        <v>246</v>
      </c>
      <c r="M193" s="305" t="s">
        <v>272</v>
      </c>
      <c r="N193" s="309" t="s">
        <v>1372</v>
      </c>
      <c r="O193" s="307">
        <v>82303.180000000008</v>
      </c>
      <c r="P193" s="307">
        <v>12.215195828887007</v>
      </c>
      <c r="Q193" s="167">
        <v>1153.1914140732022</v>
      </c>
      <c r="R193" s="313"/>
      <c r="S193" s="110"/>
    </row>
    <row r="194" spans="1:19" customFormat="1" ht="35.25" x14ac:dyDescent="0.5">
      <c r="A194">
        <v>1</v>
      </c>
      <c r="B194" s="310">
        <v>108</v>
      </c>
      <c r="C194" s="311" t="s">
        <v>1504</v>
      </c>
      <c r="D194" s="305">
        <v>1976</v>
      </c>
      <c r="E194" s="305"/>
      <c r="F194" s="306" t="s">
        <v>270</v>
      </c>
      <c r="G194" s="305">
        <v>2</v>
      </c>
      <c r="H194" s="305">
        <v>2</v>
      </c>
      <c r="I194" s="307">
        <v>590.55999999999995</v>
      </c>
      <c r="J194" s="307">
        <v>553.66</v>
      </c>
      <c r="K194" s="307">
        <v>414.9</v>
      </c>
      <c r="L194" s="308">
        <v>34</v>
      </c>
      <c r="M194" s="305" t="s">
        <v>272</v>
      </c>
      <c r="N194" s="309" t="s">
        <v>297</v>
      </c>
      <c r="O194" s="307">
        <v>13519.03</v>
      </c>
      <c r="P194" s="307">
        <v>22.891882281224603</v>
      </c>
      <c r="Q194" s="167">
        <v>5646.6699319290174</v>
      </c>
      <c r="R194" s="313"/>
      <c r="S194" s="110"/>
    </row>
    <row r="195" spans="1:19" customFormat="1" ht="35.25" x14ac:dyDescent="0.5">
      <c r="A195">
        <v>1</v>
      </c>
      <c r="B195" s="310">
        <v>109</v>
      </c>
      <c r="C195" s="311" t="s">
        <v>1505</v>
      </c>
      <c r="D195" s="305">
        <v>1975</v>
      </c>
      <c r="E195" s="305">
        <v>2010</v>
      </c>
      <c r="F195" s="306" t="s">
        <v>270</v>
      </c>
      <c r="G195" s="305">
        <v>5</v>
      </c>
      <c r="H195" s="305">
        <v>1</v>
      </c>
      <c r="I195" s="307">
        <v>5603.53</v>
      </c>
      <c r="J195" s="307">
        <v>3006.1</v>
      </c>
      <c r="K195" s="307">
        <v>1107.24</v>
      </c>
      <c r="L195" s="308">
        <v>341</v>
      </c>
      <c r="M195" s="305" t="s">
        <v>269</v>
      </c>
      <c r="N195" s="309" t="s">
        <v>271</v>
      </c>
      <c r="O195" s="307">
        <v>178357.44</v>
      </c>
      <c r="P195" s="307">
        <v>31.829478917753633</v>
      </c>
      <c r="Q195" s="167">
        <v>3259.66</v>
      </c>
      <c r="R195" s="313"/>
      <c r="S195" s="110"/>
    </row>
    <row r="196" spans="1:19" customFormat="1" ht="35.25" x14ac:dyDescent="0.5">
      <c r="B196" s="304" t="s">
        <v>1306</v>
      </c>
      <c r="C196" s="311"/>
      <c r="D196" s="305" t="s">
        <v>764</v>
      </c>
      <c r="E196" s="305" t="s">
        <v>764</v>
      </c>
      <c r="F196" s="306" t="s">
        <v>764</v>
      </c>
      <c r="G196" s="305" t="s">
        <v>764</v>
      </c>
      <c r="H196" s="305" t="s">
        <v>764</v>
      </c>
      <c r="I196" s="307">
        <v>418.1</v>
      </c>
      <c r="J196" s="307">
        <v>377.6</v>
      </c>
      <c r="K196" s="307">
        <v>284.3</v>
      </c>
      <c r="L196" s="308">
        <v>12</v>
      </c>
      <c r="M196" s="305" t="s">
        <v>903</v>
      </c>
      <c r="N196" s="309" t="s">
        <v>903</v>
      </c>
      <c r="O196" s="307">
        <v>222759.59</v>
      </c>
      <c r="P196" s="307">
        <f t="shared" ref="P196:P202" si="27">O196/I196</f>
        <v>532.79021765127959</v>
      </c>
      <c r="Q196" s="398">
        <f>Q197</f>
        <v>8684.7622602248266</v>
      </c>
      <c r="R196" s="313"/>
      <c r="S196" s="110"/>
    </row>
    <row r="197" spans="1:19" customFormat="1" ht="35.25" x14ac:dyDescent="0.5">
      <c r="A197">
        <v>1</v>
      </c>
      <c r="B197" s="310">
        <v>110</v>
      </c>
      <c r="C197" s="311" t="s">
        <v>1506</v>
      </c>
      <c r="D197" s="305">
        <v>1987</v>
      </c>
      <c r="E197" s="305"/>
      <c r="F197" s="306" t="s">
        <v>270</v>
      </c>
      <c r="G197" s="305">
        <v>2</v>
      </c>
      <c r="H197" s="305">
        <v>2</v>
      </c>
      <c r="I197" s="307">
        <v>418.1</v>
      </c>
      <c r="J197" s="307">
        <v>377.6</v>
      </c>
      <c r="K197" s="307">
        <v>284.3</v>
      </c>
      <c r="L197" s="308">
        <v>12</v>
      </c>
      <c r="M197" s="305" t="s">
        <v>269</v>
      </c>
      <c r="N197" s="309" t="s">
        <v>271</v>
      </c>
      <c r="O197" s="312">
        <v>222759.59</v>
      </c>
      <c r="P197" s="307">
        <f t="shared" si="27"/>
        <v>532.79021765127959</v>
      </c>
      <c r="Q197" s="167">
        <v>8684.7622602248266</v>
      </c>
      <c r="R197" s="313"/>
      <c r="S197" s="110"/>
    </row>
    <row r="198" spans="1:19" customFormat="1" ht="35.25" x14ac:dyDescent="0.5">
      <c r="B198" s="304" t="s">
        <v>861</v>
      </c>
      <c r="C198" s="311"/>
      <c r="D198" s="305" t="s">
        <v>764</v>
      </c>
      <c r="E198" s="305" t="s">
        <v>764</v>
      </c>
      <c r="F198" s="306" t="s">
        <v>764</v>
      </c>
      <c r="G198" s="305" t="s">
        <v>764</v>
      </c>
      <c r="H198" s="305" t="s">
        <v>764</v>
      </c>
      <c r="I198" s="307">
        <v>344.6</v>
      </c>
      <c r="J198" s="307">
        <v>312.2</v>
      </c>
      <c r="K198" s="307">
        <v>312.2</v>
      </c>
      <c r="L198" s="308">
        <v>15</v>
      </c>
      <c r="M198" s="305" t="s">
        <v>903</v>
      </c>
      <c r="N198" s="309" t="s">
        <v>903</v>
      </c>
      <c r="O198" s="307">
        <v>137654.99000000002</v>
      </c>
      <c r="P198" s="307">
        <f t="shared" si="27"/>
        <v>399.46311665699363</v>
      </c>
      <c r="Q198" s="398">
        <f>Q199</f>
        <v>8006.4231224608247</v>
      </c>
      <c r="R198" s="313"/>
      <c r="S198" s="110"/>
    </row>
    <row r="199" spans="1:19" customFormat="1" ht="35.25" x14ac:dyDescent="0.5">
      <c r="A199">
        <v>1</v>
      </c>
      <c r="B199" s="310">
        <v>111</v>
      </c>
      <c r="C199" s="311" t="s">
        <v>1507</v>
      </c>
      <c r="D199" s="305">
        <v>1975</v>
      </c>
      <c r="E199" s="305"/>
      <c r="F199" s="306" t="s">
        <v>270</v>
      </c>
      <c r="G199" s="305">
        <v>2</v>
      </c>
      <c r="H199" s="305">
        <v>1</v>
      </c>
      <c r="I199" s="307">
        <v>344.6</v>
      </c>
      <c r="J199" s="307">
        <v>312.2</v>
      </c>
      <c r="K199" s="307">
        <v>312.2</v>
      </c>
      <c r="L199" s="308">
        <v>15</v>
      </c>
      <c r="M199" s="305" t="s">
        <v>269</v>
      </c>
      <c r="N199" s="309" t="s">
        <v>271</v>
      </c>
      <c r="O199" s="312">
        <v>137654.99000000002</v>
      </c>
      <c r="P199" s="307">
        <f t="shared" si="27"/>
        <v>399.46311665699363</v>
      </c>
      <c r="Q199" s="167">
        <v>8006.4231224608247</v>
      </c>
      <c r="R199" s="313"/>
      <c r="S199" s="110"/>
    </row>
    <row r="200" spans="1:19" customFormat="1" ht="35.25" x14ac:dyDescent="0.5">
      <c r="B200" s="304" t="s">
        <v>849</v>
      </c>
      <c r="C200" s="311"/>
      <c r="D200" s="305" t="s">
        <v>764</v>
      </c>
      <c r="E200" s="305" t="s">
        <v>764</v>
      </c>
      <c r="F200" s="306" t="s">
        <v>764</v>
      </c>
      <c r="G200" s="305" t="s">
        <v>764</v>
      </c>
      <c r="H200" s="305" t="s">
        <v>764</v>
      </c>
      <c r="I200" s="307">
        <v>3508.9</v>
      </c>
      <c r="J200" s="307">
        <v>3167.7</v>
      </c>
      <c r="K200" s="307">
        <v>2665.2</v>
      </c>
      <c r="L200" s="308">
        <v>145</v>
      </c>
      <c r="M200" s="305" t="s">
        <v>903</v>
      </c>
      <c r="N200" s="309" t="s">
        <v>903</v>
      </c>
      <c r="O200" s="307">
        <v>894902.36</v>
      </c>
      <c r="P200" s="307">
        <f t="shared" si="27"/>
        <v>255.03786371797429</v>
      </c>
      <c r="Q200" s="398">
        <f>Q201</f>
        <v>711.20978084299918</v>
      </c>
      <c r="R200" s="313"/>
      <c r="S200" s="110"/>
    </row>
    <row r="201" spans="1:19" customFormat="1" ht="35.25" x14ac:dyDescent="0.5">
      <c r="A201">
        <v>1</v>
      </c>
      <c r="B201" s="310">
        <v>112</v>
      </c>
      <c r="C201" s="311" t="s">
        <v>1508</v>
      </c>
      <c r="D201" s="305">
        <v>1987</v>
      </c>
      <c r="E201" s="305"/>
      <c r="F201" s="306" t="s">
        <v>315</v>
      </c>
      <c r="G201" s="305">
        <v>5</v>
      </c>
      <c r="H201" s="305">
        <v>4</v>
      </c>
      <c r="I201" s="307">
        <v>3508.9</v>
      </c>
      <c r="J201" s="307">
        <v>3167.7</v>
      </c>
      <c r="K201" s="307">
        <v>2665.2</v>
      </c>
      <c r="L201" s="308">
        <v>145</v>
      </c>
      <c r="M201" s="305" t="s">
        <v>269</v>
      </c>
      <c r="N201" s="309" t="s">
        <v>271</v>
      </c>
      <c r="O201" s="312">
        <v>894902.36</v>
      </c>
      <c r="P201" s="307">
        <f t="shared" si="27"/>
        <v>255.03786371797429</v>
      </c>
      <c r="Q201" s="167">
        <v>711.20978084299918</v>
      </c>
      <c r="R201" s="313"/>
      <c r="S201" s="110"/>
    </row>
    <row r="202" spans="1:19" customFormat="1" ht="35.25" x14ac:dyDescent="0.5">
      <c r="B202" s="304" t="s">
        <v>854</v>
      </c>
      <c r="C202" s="311"/>
      <c r="D202" s="305" t="s">
        <v>764</v>
      </c>
      <c r="E202" s="305" t="s">
        <v>764</v>
      </c>
      <c r="F202" s="306" t="s">
        <v>764</v>
      </c>
      <c r="G202" s="305" t="s">
        <v>764</v>
      </c>
      <c r="H202" s="305" t="s">
        <v>764</v>
      </c>
      <c r="I202" s="307">
        <v>719.4</v>
      </c>
      <c r="J202" s="307">
        <v>531.6</v>
      </c>
      <c r="K202" s="307">
        <v>471.6</v>
      </c>
      <c r="L202" s="308">
        <v>30</v>
      </c>
      <c r="M202" s="305" t="s">
        <v>903</v>
      </c>
      <c r="N202" s="309" t="s">
        <v>903</v>
      </c>
      <c r="O202" s="307">
        <v>40586.949999999997</v>
      </c>
      <c r="P202" s="307">
        <f t="shared" si="27"/>
        <v>56.41777870447595</v>
      </c>
      <c r="Q202" s="398">
        <f>Q203</f>
        <v>5645.7192243536274</v>
      </c>
      <c r="R202" s="313"/>
      <c r="S202" s="110"/>
    </row>
    <row r="203" spans="1:19" customFormat="1" ht="35.25" x14ac:dyDescent="0.5">
      <c r="A203">
        <v>1</v>
      </c>
      <c r="B203" s="310">
        <v>113</v>
      </c>
      <c r="C203" s="311" t="s">
        <v>1509</v>
      </c>
      <c r="D203" s="305">
        <v>1975</v>
      </c>
      <c r="E203" s="305"/>
      <c r="F203" s="306" t="s">
        <v>270</v>
      </c>
      <c r="G203" s="305">
        <v>2</v>
      </c>
      <c r="H203" s="305">
        <v>2</v>
      </c>
      <c r="I203" s="307">
        <v>719.4</v>
      </c>
      <c r="J203" s="307">
        <v>531.6</v>
      </c>
      <c r="K203" s="307">
        <v>471.6</v>
      </c>
      <c r="L203" s="308">
        <v>30</v>
      </c>
      <c r="M203" s="305" t="s">
        <v>269</v>
      </c>
      <c r="N203" s="309" t="s">
        <v>271</v>
      </c>
      <c r="O203" s="307">
        <v>40586.949999999997</v>
      </c>
      <c r="P203" s="307">
        <v>56.41777870447595</v>
      </c>
      <c r="Q203" s="167">
        <v>5645.7192243536274</v>
      </c>
      <c r="R203" s="313"/>
      <c r="S203" s="110"/>
    </row>
    <row r="204" spans="1:19" customFormat="1" ht="35.25" x14ac:dyDescent="0.5">
      <c r="B204" s="304" t="s">
        <v>869</v>
      </c>
      <c r="C204" s="311"/>
      <c r="D204" s="305" t="s">
        <v>764</v>
      </c>
      <c r="E204" s="305" t="s">
        <v>764</v>
      </c>
      <c r="F204" s="306" t="s">
        <v>764</v>
      </c>
      <c r="G204" s="305" t="s">
        <v>764</v>
      </c>
      <c r="H204" s="305" t="s">
        <v>764</v>
      </c>
      <c r="I204" s="307">
        <v>930</v>
      </c>
      <c r="J204" s="307">
        <v>857.4</v>
      </c>
      <c r="K204" s="307">
        <v>561.4</v>
      </c>
      <c r="L204" s="308">
        <v>45</v>
      </c>
      <c r="M204" s="305" t="s">
        <v>903</v>
      </c>
      <c r="N204" s="309" t="s">
        <v>903</v>
      </c>
      <c r="O204" s="307">
        <v>39622.869999999995</v>
      </c>
      <c r="P204" s="307">
        <f>O204/I204</f>
        <v>42.605236559139783</v>
      </c>
      <c r="Q204" s="398">
        <f>Q205</f>
        <v>5111.8810967741938</v>
      </c>
      <c r="R204" s="313"/>
      <c r="S204" s="110"/>
    </row>
    <row r="205" spans="1:19" customFormat="1" ht="35.25" x14ac:dyDescent="0.5">
      <c r="A205">
        <v>1</v>
      </c>
      <c r="B205" s="310">
        <v>114</v>
      </c>
      <c r="C205" s="311" t="s">
        <v>1510</v>
      </c>
      <c r="D205" s="305">
        <v>1973</v>
      </c>
      <c r="E205" s="305"/>
      <c r="F205" s="306" t="s">
        <v>270</v>
      </c>
      <c r="G205" s="305">
        <v>2</v>
      </c>
      <c r="H205" s="305">
        <v>3</v>
      </c>
      <c r="I205" s="307">
        <v>930</v>
      </c>
      <c r="J205" s="307">
        <v>857.4</v>
      </c>
      <c r="K205" s="307">
        <v>561.4</v>
      </c>
      <c r="L205" s="308">
        <v>45</v>
      </c>
      <c r="M205" s="305" t="s">
        <v>272</v>
      </c>
      <c r="N205" s="309" t="s">
        <v>283</v>
      </c>
      <c r="O205" s="307">
        <v>39622.869999999995</v>
      </c>
      <c r="P205" s="307">
        <v>42.605236559139783</v>
      </c>
      <c r="Q205" s="167">
        <v>5111.8810967741938</v>
      </c>
      <c r="R205" s="313"/>
      <c r="S205" s="110"/>
    </row>
    <row r="206" spans="1:19" customFormat="1" ht="35.25" x14ac:dyDescent="0.5">
      <c r="B206" s="304" t="s">
        <v>847</v>
      </c>
      <c r="C206" s="311"/>
      <c r="D206" s="305" t="s">
        <v>764</v>
      </c>
      <c r="E206" s="305" t="s">
        <v>764</v>
      </c>
      <c r="F206" s="306" t="s">
        <v>764</v>
      </c>
      <c r="G206" s="305" t="s">
        <v>764</v>
      </c>
      <c r="H206" s="305" t="s">
        <v>764</v>
      </c>
      <c r="I206" s="307">
        <v>3791.9</v>
      </c>
      <c r="J206" s="307">
        <v>3527</v>
      </c>
      <c r="K206" s="307">
        <v>3291.3</v>
      </c>
      <c r="L206" s="308">
        <v>155</v>
      </c>
      <c r="M206" s="305" t="s">
        <v>903</v>
      </c>
      <c r="N206" s="309" t="s">
        <v>903</v>
      </c>
      <c r="O206" s="307">
        <v>8149.86</v>
      </c>
      <c r="P206" s="307">
        <f>O206/I206</f>
        <v>2.1492813629051399</v>
      </c>
      <c r="Q206" s="398">
        <f>Q207</f>
        <v>1615.0515720351275</v>
      </c>
      <c r="R206" s="313"/>
      <c r="S206" s="110"/>
    </row>
    <row r="207" spans="1:19" customFormat="1" ht="35.25" x14ac:dyDescent="0.5">
      <c r="A207">
        <v>1</v>
      </c>
      <c r="B207" s="310">
        <v>115</v>
      </c>
      <c r="C207" s="311" t="s">
        <v>1518</v>
      </c>
      <c r="D207" s="305">
        <v>1973</v>
      </c>
      <c r="E207" s="305" t="s">
        <v>1550</v>
      </c>
      <c r="F207" s="306" t="s">
        <v>315</v>
      </c>
      <c r="G207" s="305">
        <v>5</v>
      </c>
      <c r="H207" s="305">
        <v>4</v>
      </c>
      <c r="I207" s="307">
        <v>3791.9</v>
      </c>
      <c r="J207" s="307">
        <v>3527</v>
      </c>
      <c r="K207" s="307">
        <v>3291.3</v>
      </c>
      <c r="L207" s="308">
        <v>155</v>
      </c>
      <c r="M207" s="305" t="s">
        <v>272</v>
      </c>
      <c r="N207" s="309" t="s">
        <v>823</v>
      </c>
      <c r="O207" s="312">
        <v>8149.86</v>
      </c>
      <c r="P207" s="307">
        <f>O207/I207</f>
        <v>2.1492813629051399</v>
      </c>
      <c r="Q207" s="167">
        <v>1615.0515720351275</v>
      </c>
      <c r="R207" s="313"/>
      <c r="S207" s="110"/>
    </row>
    <row r="208" spans="1:19" customFormat="1" ht="35.25" x14ac:dyDescent="0.5">
      <c r="B208" s="304" t="s">
        <v>852</v>
      </c>
      <c r="C208" s="311"/>
      <c r="D208" s="305" t="s">
        <v>764</v>
      </c>
      <c r="E208" s="305" t="s">
        <v>764</v>
      </c>
      <c r="F208" s="306" t="s">
        <v>764</v>
      </c>
      <c r="G208" s="305" t="s">
        <v>764</v>
      </c>
      <c r="H208" s="305" t="s">
        <v>764</v>
      </c>
      <c r="I208" s="307">
        <v>1000</v>
      </c>
      <c r="J208" s="307">
        <v>897</v>
      </c>
      <c r="K208" s="307">
        <v>578</v>
      </c>
      <c r="L208" s="308">
        <v>54</v>
      </c>
      <c r="M208" s="305" t="s">
        <v>903</v>
      </c>
      <c r="N208" s="309" t="s">
        <v>903</v>
      </c>
      <c r="O208" s="307">
        <v>180508.62</v>
      </c>
      <c r="P208" s="307">
        <f>O208/I208</f>
        <v>180.50862000000001</v>
      </c>
      <c r="Q208" s="398">
        <f>MAX(Q209:Q210)</f>
        <v>5950.9603076923077</v>
      </c>
      <c r="R208" s="313"/>
      <c r="S208" s="110"/>
    </row>
    <row r="209" spans="1:19" customFormat="1" ht="35.25" x14ac:dyDescent="0.5">
      <c r="A209">
        <v>1</v>
      </c>
      <c r="B209" s="310">
        <v>116</v>
      </c>
      <c r="C209" s="311" t="s">
        <v>1519</v>
      </c>
      <c r="D209" s="305">
        <v>1967</v>
      </c>
      <c r="E209" s="305"/>
      <c r="F209" s="306" t="s">
        <v>270</v>
      </c>
      <c r="G209" s="305">
        <v>2</v>
      </c>
      <c r="H209" s="305">
        <v>2</v>
      </c>
      <c r="I209" s="307">
        <v>610</v>
      </c>
      <c r="J209" s="307">
        <v>558</v>
      </c>
      <c r="K209" s="307">
        <v>380.7</v>
      </c>
      <c r="L209" s="308">
        <v>33</v>
      </c>
      <c r="M209" s="305" t="s">
        <v>269</v>
      </c>
      <c r="N209" s="309" t="s">
        <v>271</v>
      </c>
      <c r="O209" s="307">
        <v>103408.2</v>
      </c>
      <c r="P209" s="307">
        <v>169.5216393442623</v>
      </c>
      <c r="Q209" s="167">
        <v>5901.3951967213115</v>
      </c>
      <c r="R209" s="313"/>
      <c r="S209" s="110"/>
    </row>
    <row r="210" spans="1:19" customFormat="1" ht="35.25" x14ac:dyDescent="0.5">
      <c r="A210">
        <v>1</v>
      </c>
      <c r="B210" s="310">
        <v>117</v>
      </c>
      <c r="C210" s="311" t="s">
        <v>1520</v>
      </c>
      <c r="D210" s="305">
        <v>1965</v>
      </c>
      <c r="E210" s="305"/>
      <c r="F210" s="306" t="s">
        <v>270</v>
      </c>
      <c r="G210" s="305">
        <v>2</v>
      </c>
      <c r="H210" s="305">
        <v>2</v>
      </c>
      <c r="I210" s="307">
        <v>390</v>
      </c>
      <c r="J210" s="307">
        <v>339</v>
      </c>
      <c r="K210" s="307">
        <v>197.3</v>
      </c>
      <c r="L210" s="308">
        <v>21</v>
      </c>
      <c r="M210" s="305" t="s">
        <v>269</v>
      </c>
      <c r="N210" s="309" t="s">
        <v>271</v>
      </c>
      <c r="O210" s="307">
        <v>77100.42</v>
      </c>
      <c r="P210" s="307">
        <v>197.69338461538462</v>
      </c>
      <c r="Q210" s="167">
        <v>5950.9603076923077</v>
      </c>
      <c r="R210" s="313"/>
      <c r="S210" s="110"/>
    </row>
    <row r="211" spans="1:19" customFormat="1" ht="35.25" x14ac:dyDescent="0.5">
      <c r="B211" s="304" t="s">
        <v>1061</v>
      </c>
      <c r="C211" s="311"/>
      <c r="D211" s="305" t="s">
        <v>764</v>
      </c>
      <c r="E211" s="305" t="s">
        <v>764</v>
      </c>
      <c r="F211" s="306" t="s">
        <v>764</v>
      </c>
      <c r="G211" s="305" t="s">
        <v>764</v>
      </c>
      <c r="H211" s="305" t="s">
        <v>764</v>
      </c>
      <c r="I211" s="307">
        <v>1707.6</v>
      </c>
      <c r="J211" s="307">
        <v>1346.4</v>
      </c>
      <c r="K211" s="307">
        <v>1242.0999999999999</v>
      </c>
      <c r="L211" s="308">
        <v>83</v>
      </c>
      <c r="M211" s="305" t="s">
        <v>903</v>
      </c>
      <c r="N211" s="309" t="s">
        <v>903</v>
      </c>
      <c r="O211" s="307">
        <v>5309.7</v>
      </c>
      <c r="P211" s="307">
        <f>O211/I211</f>
        <v>3.1094518622628251</v>
      </c>
      <c r="Q211" s="398">
        <f>Q212</f>
        <v>1569.5922557976107</v>
      </c>
      <c r="R211" s="313"/>
      <c r="S211" s="110"/>
    </row>
    <row r="212" spans="1:19" customFormat="1" ht="35.25" x14ac:dyDescent="0.5">
      <c r="A212">
        <v>1</v>
      </c>
      <c r="B212" s="310">
        <v>118</v>
      </c>
      <c r="C212" s="311" t="s">
        <v>1616</v>
      </c>
      <c r="D212" s="305">
        <v>1985</v>
      </c>
      <c r="E212" s="305"/>
      <c r="F212" s="306" t="s">
        <v>270</v>
      </c>
      <c r="G212" s="305">
        <v>5</v>
      </c>
      <c r="H212" s="305">
        <v>1</v>
      </c>
      <c r="I212" s="307">
        <v>1707.6</v>
      </c>
      <c r="J212" s="307">
        <v>1346.4</v>
      </c>
      <c r="K212" s="307">
        <v>1242.0999999999999</v>
      </c>
      <c r="L212" s="308">
        <v>83</v>
      </c>
      <c r="M212" s="305" t="s">
        <v>272</v>
      </c>
      <c r="N212" s="309" t="s">
        <v>1621</v>
      </c>
      <c r="O212" s="312">
        <v>5309.7</v>
      </c>
      <c r="P212" s="307">
        <f>O212/I212</f>
        <v>3.1094518622628251</v>
      </c>
      <c r="Q212" s="167">
        <v>1569.5922557976107</v>
      </c>
      <c r="R212" s="313"/>
      <c r="S212" s="110"/>
    </row>
    <row r="213" spans="1:19" customFormat="1" ht="35.25" x14ac:dyDescent="0.5">
      <c r="B213" s="304" t="s">
        <v>895</v>
      </c>
      <c r="C213" s="311"/>
      <c r="D213" s="305" t="s">
        <v>764</v>
      </c>
      <c r="E213" s="305" t="s">
        <v>764</v>
      </c>
      <c r="F213" s="306" t="s">
        <v>764</v>
      </c>
      <c r="G213" s="305" t="s">
        <v>764</v>
      </c>
      <c r="H213" s="305" t="s">
        <v>764</v>
      </c>
      <c r="I213" s="307">
        <v>773.3</v>
      </c>
      <c r="J213" s="307">
        <v>709.7</v>
      </c>
      <c r="K213" s="307">
        <v>676.4</v>
      </c>
      <c r="L213" s="308">
        <v>25</v>
      </c>
      <c r="M213" s="305" t="s">
        <v>903</v>
      </c>
      <c r="N213" s="309" t="s">
        <v>903</v>
      </c>
      <c r="O213" s="307">
        <v>207516.75</v>
      </c>
      <c r="P213" s="307">
        <f>O213/I213</f>
        <v>268.35219190482348</v>
      </c>
      <c r="Q213" s="398">
        <f>Q214</f>
        <v>1501.8402903142378</v>
      </c>
      <c r="R213" s="313"/>
      <c r="S213" s="110"/>
    </row>
    <row r="214" spans="1:19" s="293" customFormat="1" ht="35.25" x14ac:dyDescent="0.5">
      <c r="B214" s="326">
        <v>119</v>
      </c>
      <c r="C214" s="316" t="s">
        <v>1706</v>
      </c>
      <c r="D214" s="317">
        <v>1982</v>
      </c>
      <c r="E214" s="317"/>
      <c r="F214" s="318" t="s">
        <v>1336</v>
      </c>
      <c r="G214" s="317">
        <v>5</v>
      </c>
      <c r="H214" s="317">
        <v>1</v>
      </c>
      <c r="I214" s="312">
        <v>773.3</v>
      </c>
      <c r="J214" s="312">
        <v>709.7</v>
      </c>
      <c r="K214" s="312">
        <v>676.4</v>
      </c>
      <c r="L214" s="319">
        <v>25</v>
      </c>
      <c r="M214" s="317" t="s">
        <v>269</v>
      </c>
      <c r="N214" s="320" t="s">
        <v>271</v>
      </c>
      <c r="O214" s="312">
        <v>207516.75</v>
      </c>
      <c r="P214" s="312">
        <v>268.35219190482348</v>
      </c>
      <c r="Q214" s="167">
        <v>1501.8402903142378</v>
      </c>
      <c r="R214" s="321"/>
      <c r="S214" s="322"/>
    </row>
    <row r="215" spans="1:19" customFormat="1" ht="35.25" x14ac:dyDescent="0.5">
      <c r="B215" s="304" t="s">
        <v>866</v>
      </c>
      <c r="C215" s="311"/>
      <c r="D215" s="305" t="s">
        <v>764</v>
      </c>
      <c r="E215" s="305" t="s">
        <v>764</v>
      </c>
      <c r="F215" s="306" t="s">
        <v>764</v>
      </c>
      <c r="G215" s="305" t="s">
        <v>764</v>
      </c>
      <c r="H215" s="305" t="s">
        <v>764</v>
      </c>
      <c r="I215" s="307">
        <v>3094.98</v>
      </c>
      <c r="J215" s="307">
        <v>2793.4</v>
      </c>
      <c r="K215" s="307">
        <v>2250.5</v>
      </c>
      <c r="L215" s="308">
        <v>157</v>
      </c>
      <c r="M215" s="305" t="s">
        <v>903</v>
      </c>
      <c r="N215" s="309" t="s">
        <v>903</v>
      </c>
      <c r="O215" s="307">
        <v>29122.38</v>
      </c>
      <c r="P215" s="307">
        <f>O215/I215</f>
        <v>9.4095535350793877</v>
      </c>
      <c r="Q215" s="398">
        <f>Q216</f>
        <v>3259.66</v>
      </c>
      <c r="R215" s="313"/>
      <c r="S215" s="110"/>
    </row>
    <row r="216" spans="1:19" s="293" customFormat="1" ht="35.25" x14ac:dyDescent="0.5">
      <c r="B216" s="326">
        <v>120</v>
      </c>
      <c r="C216" s="316" t="s">
        <v>1926</v>
      </c>
      <c r="D216" s="317" t="s">
        <v>379</v>
      </c>
      <c r="E216" s="317"/>
      <c r="F216" s="318" t="s">
        <v>270</v>
      </c>
      <c r="G216" s="317">
        <v>5</v>
      </c>
      <c r="H216" s="317">
        <v>4</v>
      </c>
      <c r="I216" s="312">
        <v>3094.98</v>
      </c>
      <c r="J216" s="312">
        <v>2793.4</v>
      </c>
      <c r="K216" s="312">
        <v>2250.5</v>
      </c>
      <c r="L216" s="319">
        <v>157</v>
      </c>
      <c r="M216" s="317" t="s">
        <v>272</v>
      </c>
      <c r="N216" s="320" t="s">
        <v>1934</v>
      </c>
      <c r="O216" s="312">
        <v>29122.38</v>
      </c>
      <c r="P216" s="312">
        <v>9.4095535350793877</v>
      </c>
      <c r="Q216" s="167">
        <v>3259.66</v>
      </c>
      <c r="R216" s="321"/>
      <c r="S216" s="322"/>
    </row>
  </sheetData>
  <autoFilter ref="A10:Q216"/>
  <mergeCells count="23">
    <mergeCell ref="O4:O6"/>
    <mergeCell ref="P4:P6"/>
    <mergeCell ref="Q4:Q6"/>
    <mergeCell ref="D5:D7"/>
    <mergeCell ref="E5:E7"/>
    <mergeCell ref="J5:J6"/>
    <mergeCell ref="K5:K6"/>
    <mergeCell ref="B65:Q65"/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  <mergeCell ref="B9:Q9"/>
    <mergeCell ref="J4:K4"/>
    <mergeCell ref="L4:L6"/>
    <mergeCell ref="M4:M7"/>
    <mergeCell ref="N4:N7"/>
  </mergeCells>
  <pageMargins left="0" right="0" top="0" bottom="0" header="0" footer="0"/>
  <pageSetup paperSize="9" scale="1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28" zoomScale="60" zoomScaleNormal="60" workbookViewId="0">
      <selection activeCell="F30" sqref="F30:F60"/>
    </sheetView>
  </sheetViews>
  <sheetFormatPr defaultRowHeight="15" x14ac:dyDescent="0.2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 x14ac:dyDescent="0.35">
      <c r="C1" s="46"/>
      <c r="D1" s="538" t="s">
        <v>1076</v>
      </c>
      <c r="E1" s="538"/>
      <c r="F1" s="538"/>
    </row>
    <row r="2" spans="1:6" ht="53.25" customHeight="1" x14ac:dyDescent="0.25">
      <c r="C2" s="540" t="s">
        <v>1066</v>
      </c>
      <c r="D2" s="540"/>
      <c r="E2" s="540"/>
      <c r="F2" s="540"/>
    </row>
    <row r="3" spans="1:6" ht="104.25" customHeight="1" x14ac:dyDescent="0.25">
      <c r="A3" s="541" t="s">
        <v>1077</v>
      </c>
      <c r="B3" s="541"/>
      <c r="C3" s="541"/>
      <c r="D3" s="541"/>
      <c r="E3" s="541"/>
      <c r="F3" s="541"/>
    </row>
    <row r="4" spans="1:6" x14ac:dyDescent="0.25">
      <c r="A4" s="542" t="s">
        <v>6</v>
      </c>
      <c r="B4" s="542" t="s">
        <v>756</v>
      </c>
      <c r="C4" s="539" t="s">
        <v>757</v>
      </c>
      <c r="D4" s="539" t="s">
        <v>1078</v>
      </c>
      <c r="E4" s="539" t="s">
        <v>759</v>
      </c>
      <c r="F4" s="539" t="s">
        <v>760</v>
      </c>
    </row>
    <row r="5" spans="1:6" ht="156.75" customHeight="1" x14ac:dyDescent="0.25">
      <c r="A5" s="543"/>
      <c r="B5" s="543"/>
      <c r="C5" s="544"/>
      <c r="D5" s="539"/>
      <c r="E5" s="539"/>
      <c r="F5" s="539"/>
    </row>
    <row r="6" spans="1:6" ht="23.25" x14ac:dyDescent="0.25">
      <c r="A6" s="543"/>
      <c r="B6" s="543"/>
      <c r="C6" s="47" t="s">
        <v>761</v>
      </c>
      <c r="D6" s="47" t="s">
        <v>266</v>
      </c>
      <c r="E6" s="47" t="s">
        <v>37</v>
      </c>
      <c r="F6" s="47" t="s">
        <v>36</v>
      </c>
    </row>
    <row r="7" spans="1:6" ht="23.25" x14ac:dyDescent="0.35">
      <c r="A7" s="48">
        <v>1</v>
      </c>
      <c r="B7" s="48">
        <v>2</v>
      </c>
      <c r="C7" s="48">
        <v>3</v>
      </c>
      <c r="D7" s="48">
        <v>4</v>
      </c>
      <c r="E7" s="49">
        <v>5</v>
      </c>
      <c r="F7" s="49">
        <v>6</v>
      </c>
    </row>
    <row r="8" spans="1:6" ht="74.25" customHeight="1" x14ac:dyDescent="0.25">
      <c r="A8" s="535" t="s">
        <v>1030</v>
      </c>
      <c r="B8" s="536"/>
      <c r="C8" s="536"/>
      <c r="D8" s="536"/>
      <c r="E8" s="536"/>
      <c r="F8" s="537"/>
    </row>
    <row r="9" spans="1:6" ht="23.25" x14ac:dyDescent="0.35">
      <c r="A9" s="48"/>
      <c r="B9" s="50" t="s">
        <v>1079</v>
      </c>
      <c r="C9" s="51">
        <f>SUM(C10:C28)</f>
        <v>34576.28</v>
      </c>
      <c r="D9" s="86">
        <f>SUM(D10:D28)</f>
        <v>1419</v>
      </c>
      <c r="E9" s="52">
        <f>SUM(E10:E28)</f>
        <v>35</v>
      </c>
      <c r="F9" s="51">
        <v>84849769.13000001</v>
      </c>
    </row>
    <row r="10" spans="1:6" ht="23.25" x14ac:dyDescent="0.35">
      <c r="A10" s="48">
        <v>1</v>
      </c>
      <c r="B10" s="53" t="s">
        <v>909</v>
      </c>
      <c r="C10" s="54">
        <v>792.7</v>
      </c>
      <c r="D10" s="52">
        <v>42</v>
      </c>
      <c r="E10" s="52">
        <v>1</v>
      </c>
      <c r="F10" s="55">
        <v>2320165.87</v>
      </c>
    </row>
    <row r="11" spans="1:6" ht="23.25" x14ac:dyDescent="0.35">
      <c r="A11" s="48">
        <v>2</v>
      </c>
      <c r="B11" s="53" t="s">
        <v>1376</v>
      </c>
      <c r="C11" s="54">
        <v>13095.9</v>
      </c>
      <c r="D11" s="52">
        <v>458</v>
      </c>
      <c r="E11" s="52">
        <v>9</v>
      </c>
      <c r="F11" s="55">
        <v>20850310.030000001</v>
      </c>
    </row>
    <row r="12" spans="1:6" ht="23.25" x14ac:dyDescent="0.35">
      <c r="A12" s="48">
        <v>3</v>
      </c>
      <c r="B12" s="53" t="s">
        <v>913</v>
      </c>
      <c r="C12" s="54">
        <v>882.3</v>
      </c>
      <c r="D12" s="52">
        <v>29</v>
      </c>
      <c r="E12" s="52">
        <v>1</v>
      </c>
      <c r="F12" s="55">
        <v>2196540.5</v>
      </c>
    </row>
    <row r="13" spans="1:6" ht="23.25" x14ac:dyDescent="0.35">
      <c r="A13" s="48">
        <v>4</v>
      </c>
      <c r="B13" s="53" t="s">
        <v>918</v>
      </c>
      <c r="C13" s="54">
        <v>1813.2</v>
      </c>
      <c r="D13" s="52">
        <v>156</v>
      </c>
      <c r="E13" s="52">
        <v>1</v>
      </c>
      <c r="F13" s="55">
        <v>6235729.1299999999</v>
      </c>
    </row>
    <row r="14" spans="1:6" ht="23.25" x14ac:dyDescent="0.35">
      <c r="A14" s="48">
        <v>5</v>
      </c>
      <c r="B14" s="53" t="s">
        <v>919</v>
      </c>
      <c r="C14" s="54">
        <v>366.5</v>
      </c>
      <c r="D14" s="52">
        <v>13</v>
      </c>
      <c r="E14" s="52">
        <v>1</v>
      </c>
      <c r="F14" s="55">
        <v>1370556.38</v>
      </c>
    </row>
    <row r="15" spans="1:6" ht="23.25" x14ac:dyDescent="0.35">
      <c r="A15" s="48">
        <v>6</v>
      </c>
      <c r="B15" s="53" t="s">
        <v>1377</v>
      </c>
      <c r="C15" s="54">
        <v>874.3</v>
      </c>
      <c r="D15" s="52">
        <v>38</v>
      </c>
      <c r="E15" s="52">
        <v>2</v>
      </c>
      <c r="F15" s="55">
        <v>3267157.84</v>
      </c>
    </row>
    <row r="16" spans="1:6" ht="23.25" x14ac:dyDescent="0.35">
      <c r="A16" s="48">
        <v>7</v>
      </c>
      <c r="B16" s="53" t="s">
        <v>928</v>
      </c>
      <c r="C16" s="54">
        <v>845.48</v>
      </c>
      <c r="D16" s="52">
        <v>48</v>
      </c>
      <c r="E16" s="52">
        <v>2</v>
      </c>
      <c r="F16" s="55">
        <v>4001546.48</v>
      </c>
    </row>
    <row r="17" spans="1:6" ht="23.25" x14ac:dyDescent="0.35">
      <c r="A17" s="48">
        <v>8</v>
      </c>
      <c r="B17" s="53" t="s">
        <v>961</v>
      </c>
      <c r="C17" s="54">
        <v>2093.1</v>
      </c>
      <c r="D17" s="52">
        <v>110</v>
      </c>
      <c r="E17" s="52">
        <v>3</v>
      </c>
      <c r="F17" s="55">
        <v>5860829.3999999994</v>
      </c>
    </row>
    <row r="18" spans="1:6" ht="23.25" x14ac:dyDescent="0.35">
      <c r="A18" s="48">
        <v>9</v>
      </c>
      <c r="B18" s="53" t="s">
        <v>933</v>
      </c>
      <c r="C18" s="54">
        <v>755.8</v>
      </c>
      <c r="D18" s="52">
        <v>20</v>
      </c>
      <c r="E18" s="52">
        <v>1</v>
      </c>
      <c r="F18" s="55">
        <v>2144299</v>
      </c>
    </row>
    <row r="19" spans="1:6" ht="23.25" x14ac:dyDescent="0.35">
      <c r="A19" s="48">
        <v>10</v>
      </c>
      <c r="B19" s="53" t="s">
        <v>936</v>
      </c>
      <c r="C19" s="54">
        <v>1840.2</v>
      </c>
      <c r="D19" s="52">
        <v>77</v>
      </c>
      <c r="E19" s="52">
        <v>1</v>
      </c>
      <c r="F19" s="55">
        <v>5635847.5700000003</v>
      </c>
    </row>
    <row r="20" spans="1:6" ht="23.25" x14ac:dyDescent="0.35">
      <c r="A20" s="48">
        <v>11</v>
      </c>
      <c r="B20" s="53" t="s">
        <v>1731</v>
      </c>
      <c r="C20" s="54">
        <v>1257.7</v>
      </c>
      <c r="D20" s="52">
        <v>36</v>
      </c>
      <c r="E20" s="52">
        <v>1</v>
      </c>
      <c r="F20" s="55">
        <v>3672464.4</v>
      </c>
    </row>
    <row r="21" spans="1:6" ht="23.25" x14ac:dyDescent="0.35">
      <c r="A21" s="48">
        <v>12</v>
      </c>
      <c r="B21" s="53" t="s">
        <v>1378</v>
      </c>
      <c r="C21" s="54">
        <v>1542</v>
      </c>
      <c r="D21" s="52">
        <v>58</v>
      </c>
      <c r="E21" s="52">
        <v>3</v>
      </c>
      <c r="F21" s="55">
        <v>7637123.5900000008</v>
      </c>
    </row>
    <row r="22" spans="1:6" ht="23.25" x14ac:dyDescent="0.35">
      <c r="A22" s="48">
        <v>13</v>
      </c>
      <c r="B22" s="53" t="s">
        <v>1379</v>
      </c>
      <c r="C22" s="54">
        <v>970.5</v>
      </c>
      <c r="D22" s="52">
        <v>38</v>
      </c>
      <c r="E22" s="52">
        <v>1</v>
      </c>
      <c r="F22" s="55">
        <v>2437244.0600000005</v>
      </c>
    </row>
    <row r="23" spans="1:6" ht="23.25" x14ac:dyDescent="0.35">
      <c r="A23" s="48">
        <v>14</v>
      </c>
      <c r="B23" s="53" t="s">
        <v>949</v>
      </c>
      <c r="C23" s="54">
        <v>465</v>
      </c>
      <c r="D23" s="52">
        <v>26</v>
      </c>
      <c r="E23" s="52">
        <v>1</v>
      </c>
      <c r="F23" s="55">
        <v>1691459.11</v>
      </c>
    </row>
    <row r="24" spans="1:6" ht="23.25" x14ac:dyDescent="0.35">
      <c r="A24" s="48">
        <v>15</v>
      </c>
      <c r="B24" s="53" t="s">
        <v>976</v>
      </c>
      <c r="C24" s="54">
        <v>943.2</v>
      </c>
      <c r="D24" s="52">
        <v>31</v>
      </c>
      <c r="E24" s="52">
        <v>1</v>
      </c>
      <c r="F24" s="55">
        <v>3168456.39</v>
      </c>
    </row>
    <row r="25" spans="1:6" ht="23.25" x14ac:dyDescent="0.35">
      <c r="A25" s="48">
        <v>16</v>
      </c>
      <c r="B25" s="53" t="s">
        <v>956</v>
      </c>
      <c r="C25" s="54">
        <v>2249.1999999999998</v>
      </c>
      <c r="D25" s="52">
        <v>104</v>
      </c>
      <c r="E25" s="52">
        <v>3</v>
      </c>
      <c r="F25" s="55">
        <v>5843453.6200000001</v>
      </c>
    </row>
    <row r="26" spans="1:6" ht="23.25" x14ac:dyDescent="0.35">
      <c r="A26" s="48">
        <v>17</v>
      </c>
      <c r="B26" s="53" t="s">
        <v>955</v>
      </c>
      <c r="C26" s="54">
        <v>940.4</v>
      </c>
      <c r="D26" s="52">
        <v>26</v>
      </c>
      <c r="E26" s="52">
        <v>1</v>
      </c>
      <c r="F26" s="55">
        <v>2164797.61</v>
      </c>
    </row>
    <row r="27" spans="1:6" ht="23.25" x14ac:dyDescent="0.35">
      <c r="A27" s="48">
        <v>18</v>
      </c>
      <c r="B27" s="53" t="s">
        <v>930</v>
      </c>
      <c r="C27" s="54">
        <v>1743.7</v>
      </c>
      <c r="D27" s="52">
        <v>65</v>
      </c>
      <c r="E27" s="52">
        <v>1</v>
      </c>
      <c r="F27" s="55">
        <v>3748526.4</v>
      </c>
    </row>
    <row r="28" spans="1:6" ht="23.25" x14ac:dyDescent="0.35">
      <c r="A28" s="48">
        <v>19</v>
      </c>
      <c r="B28" s="53" t="s">
        <v>925</v>
      </c>
      <c r="C28" s="54">
        <v>1105.0999999999999</v>
      </c>
      <c r="D28" s="52">
        <v>44</v>
      </c>
      <c r="E28" s="52">
        <v>1</v>
      </c>
      <c r="F28" s="55">
        <v>603261.75</v>
      </c>
    </row>
    <row r="29" spans="1:6" ht="72" customHeight="1" x14ac:dyDescent="0.25">
      <c r="A29" s="535" t="s">
        <v>1421</v>
      </c>
      <c r="B29" s="536"/>
      <c r="C29" s="536"/>
      <c r="D29" s="536"/>
      <c r="E29" s="536"/>
      <c r="F29" s="537"/>
    </row>
    <row r="30" spans="1:6" ht="23.25" x14ac:dyDescent="0.35">
      <c r="A30" s="48"/>
      <c r="B30" s="50" t="s">
        <v>1079</v>
      </c>
      <c r="C30" s="51">
        <f>SUM(C31:C60)</f>
        <v>292182.99</v>
      </c>
      <c r="D30" s="86">
        <f>SUM(D31:D60)</f>
        <v>12322</v>
      </c>
      <c r="E30" s="99">
        <f>SUM(E31:E60)</f>
        <v>120</v>
      </c>
      <c r="F30" s="51">
        <v>38779424.080000013</v>
      </c>
    </row>
    <row r="31" spans="1:6" ht="23.25" x14ac:dyDescent="0.35">
      <c r="A31" s="48">
        <v>1</v>
      </c>
      <c r="B31" s="53" t="s">
        <v>909</v>
      </c>
      <c r="C31" s="54">
        <v>13682.619999999999</v>
      </c>
      <c r="D31" s="86">
        <v>744</v>
      </c>
      <c r="E31" s="99">
        <v>6</v>
      </c>
      <c r="F31" s="55">
        <v>3521522.9999999995</v>
      </c>
    </row>
    <row r="32" spans="1:6" ht="23.25" x14ac:dyDescent="0.35">
      <c r="A32" s="48">
        <v>2</v>
      </c>
      <c r="B32" s="53" t="s">
        <v>913</v>
      </c>
      <c r="C32" s="54">
        <v>2327.5</v>
      </c>
      <c r="D32" s="86">
        <v>106</v>
      </c>
      <c r="E32" s="99">
        <v>3</v>
      </c>
      <c r="F32" s="55">
        <v>40366.19</v>
      </c>
    </row>
    <row r="33" spans="1:6" ht="23.25" x14ac:dyDescent="0.35">
      <c r="A33" s="48">
        <v>3</v>
      </c>
      <c r="B33" s="53" t="s">
        <v>1376</v>
      </c>
      <c r="C33" s="54">
        <v>28928.739999999998</v>
      </c>
      <c r="D33" s="86">
        <v>1177</v>
      </c>
      <c r="E33" s="99">
        <v>16</v>
      </c>
      <c r="F33" s="55">
        <v>1918350.52</v>
      </c>
    </row>
    <row r="34" spans="1:6" ht="23.25" x14ac:dyDescent="0.35">
      <c r="A34" s="48">
        <v>4</v>
      </c>
      <c r="B34" s="53" t="s">
        <v>918</v>
      </c>
      <c r="C34" s="54">
        <v>14909.5</v>
      </c>
      <c r="D34" s="86">
        <v>477</v>
      </c>
      <c r="E34" s="99">
        <v>7</v>
      </c>
      <c r="F34" s="55">
        <v>2685320.57</v>
      </c>
    </row>
    <row r="35" spans="1:6" ht="23.25" x14ac:dyDescent="0.35">
      <c r="A35" s="48">
        <v>5</v>
      </c>
      <c r="B35" s="53" t="s">
        <v>917</v>
      </c>
      <c r="C35" s="54">
        <v>3874.7000000000003</v>
      </c>
      <c r="D35" s="86">
        <v>141</v>
      </c>
      <c r="E35" s="99">
        <v>4</v>
      </c>
      <c r="F35" s="55">
        <v>3093758.95</v>
      </c>
    </row>
    <row r="36" spans="1:6" ht="23.25" x14ac:dyDescent="0.35">
      <c r="A36" s="48">
        <v>6</v>
      </c>
      <c r="B36" s="53" t="s">
        <v>961</v>
      </c>
      <c r="C36" s="54">
        <v>63103.719999999994</v>
      </c>
      <c r="D36" s="86">
        <v>2118</v>
      </c>
      <c r="E36" s="99">
        <v>30</v>
      </c>
      <c r="F36" s="55">
        <v>9399611.4600000028</v>
      </c>
    </row>
    <row r="37" spans="1:6" ht="23.25" x14ac:dyDescent="0.35">
      <c r="A37" s="48">
        <v>7</v>
      </c>
      <c r="B37" s="53" t="s">
        <v>1589</v>
      </c>
      <c r="C37" s="54">
        <v>47621.47</v>
      </c>
      <c r="D37" s="86">
        <v>2263</v>
      </c>
      <c r="E37" s="99">
        <v>15</v>
      </c>
      <c r="F37" s="55">
        <v>5709398.21</v>
      </c>
    </row>
    <row r="38" spans="1:6" ht="23.25" x14ac:dyDescent="0.35">
      <c r="A38" s="48">
        <v>8</v>
      </c>
      <c r="B38" s="53" t="s">
        <v>1590</v>
      </c>
      <c r="C38" s="54">
        <v>39280</v>
      </c>
      <c r="D38" s="86">
        <v>1995</v>
      </c>
      <c r="E38" s="99">
        <v>5</v>
      </c>
      <c r="F38" s="55">
        <v>1542530.93</v>
      </c>
    </row>
    <row r="39" spans="1:6" ht="23.25" x14ac:dyDescent="0.35">
      <c r="A39" s="48">
        <v>9</v>
      </c>
      <c r="B39" s="53" t="s">
        <v>916</v>
      </c>
      <c r="C39" s="54">
        <v>6959.2</v>
      </c>
      <c r="D39" s="86">
        <v>259</v>
      </c>
      <c r="E39" s="99">
        <v>2</v>
      </c>
      <c r="F39" s="55">
        <v>3231773.15</v>
      </c>
    </row>
    <row r="40" spans="1:6" ht="23.25" x14ac:dyDescent="0.35">
      <c r="A40" s="48">
        <v>10</v>
      </c>
      <c r="B40" s="53" t="s">
        <v>1591</v>
      </c>
      <c r="C40" s="54">
        <v>1317.6</v>
      </c>
      <c r="D40" s="86">
        <v>50</v>
      </c>
      <c r="E40" s="99">
        <v>2</v>
      </c>
      <c r="F40" s="55">
        <v>35379.79</v>
      </c>
    </row>
    <row r="41" spans="1:6" ht="23.25" x14ac:dyDescent="0.35">
      <c r="A41" s="48">
        <v>11</v>
      </c>
      <c r="B41" s="53" t="s">
        <v>977</v>
      </c>
      <c r="C41" s="54">
        <v>3121</v>
      </c>
      <c r="D41" s="86">
        <v>171</v>
      </c>
      <c r="E41" s="99">
        <v>1</v>
      </c>
      <c r="F41" s="55">
        <v>778244.79</v>
      </c>
    </row>
    <row r="42" spans="1:6" ht="23.25" x14ac:dyDescent="0.35">
      <c r="A42" s="48">
        <v>12</v>
      </c>
      <c r="B42" s="53" t="s">
        <v>944</v>
      </c>
      <c r="C42" s="54">
        <v>6289.82</v>
      </c>
      <c r="D42" s="86">
        <v>266</v>
      </c>
      <c r="E42" s="99">
        <v>4</v>
      </c>
      <c r="F42" s="55">
        <v>969598.97000000009</v>
      </c>
    </row>
    <row r="43" spans="1:6" ht="23.25" x14ac:dyDescent="0.35">
      <c r="A43" s="48">
        <v>13</v>
      </c>
      <c r="B43" s="53" t="s">
        <v>925</v>
      </c>
      <c r="C43" s="54">
        <v>5085.1000000000004</v>
      </c>
      <c r="D43" s="86">
        <v>199</v>
      </c>
      <c r="E43" s="99">
        <v>1</v>
      </c>
      <c r="F43" s="55">
        <v>425208.96</v>
      </c>
    </row>
    <row r="44" spans="1:6" ht="23.25" x14ac:dyDescent="0.35">
      <c r="A44" s="48">
        <v>14</v>
      </c>
      <c r="B44" s="53" t="s">
        <v>928</v>
      </c>
      <c r="C44" s="54">
        <v>4174.76</v>
      </c>
      <c r="D44" s="86">
        <v>92</v>
      </c>
      <c r="E44" s="99">
        <v>2</v>
      </c>
      <c r="F44" s="55">
        <v>379095.19</v>
      </c>
    </row>
    <row r="45" spans="1:6" ht="23.25" x14ac:dyDescent="0.35">
      <c r="A45" s="48">
        <v>15</v>
      </c>
      <c r="B45" s="53" t="s">
        <v>940</v>
      </c>
      <c r="C45" s="54">
        <v>15972.619999999999</v>
      </c>
      <c r="D45" s="86">
        <v>615</v>
      </c>
      <c r="E45" s="99">
        <v>2</v>
      </c>
      <c r="F45" s="55">
        <v>1988549.43</v>
      </c>
    </row>
    <row r="46" spans="1:6" ht="23.25" x14ac:dyDescent="0.35">
      <c r="A46" s="48">
        <v>16</v>
      </c>
      <c r="B46" s="53" t="s">
        <v>943</v>
      </c>
      <c r="C46" s="54">
        <v>3408</v>
      </c>
      <c r="D46" s="86">
        <v>189</v>
      </c>
      <c r="E46" s="99">
        <v>3</v>
      </c>
      <c r="F46" s="55">
        <v>654592.74</v>
      </c>
    </row>
    <row r="47" spans="1:6" ht="23.25" x14ac:dyDescent="0.35">
      <c r="A47" s="48">
        <v>17</v>
      </c>
      <c r="B47" s="53" t="s">
        <v>976</v>
      </c>
      <c r="C47" s="54">
        <v>677.1</v>
      </c>
      <c r="D47" s="86">
        <v>37</v>
      </c>
      <c r="E47" s="99">
        <v>1</v>
      </c>
      <c r="F47" s="55">
        <v>39585</v>
      </c>
    </row>
    <row r="48" spans="1:6" ht="23.25" x14ac:dyDescent="0.35">
      <c r="A48" s="48">
        <v>18</v>
      </c>
      <c r="B48" s="53" t="s">
        <v>920</v>
      </c>
      <c r="C48" s="54">
        <v>805.6</v>
      </c>
      <c r="D48" s="86">
        <v>44</v>
      </c>
      <c r="E48" s="99">
        <v>1</v>
      </c>
      <c r="F48" s="55">
        <v>275468.56</v>
      </c>
    </row>
    <row r="49" spans="1:6" ht="23.25" x14ac:dyDescent="0.35">
      <c r="A49" s="48">
        <v>19</v>
      </c>
      <c r="B49" s="53" t="s">
        <v>963</v>
      </c>
      <c r="C49" s="54">
        <v>1423.3</v>
      </c>
      <c r="D49" s="86">
        <v>37</v>
      </c>
      <c r="E49" s="99">
        <v>1</v>
      </c>
      <c r="F49" s="55">
        <v>50753.95</v>
      </c>
    </row>
    <row r="50" spans="1:6" ht="23.25" x14ac:dyDescent="0.35">
      <c r="A50" s="48">
        <v>20</v>
      </c>
      <c r="B50" s="53" t="s">
        <v>974</v>
      </c>
      <c r="C50" s="54">
        <v>12931.86</v>
      </c>
      <c r="D50" s="86">
        <v>621</v>
      </c>
      <c r="E50" s="99">
        <v>3</v>
      </c>
      <c r="F50" s="55">
        <v>274179.65000000002</v>
      </c>
    </row>
    <row r="51" spans="1:6" ht="23.25" x14ac:dyDescent="0.35">
      <c r="A51" s="48">
        <v>21</v>
      </c>
      <c r="B51" s="53" t="s">
        <v>1381</v>
      </c>
      <c r="C51" s="54">
        <v>418.1</v>
      </c>
      <c r="D51" s="86">
        <v>12</v>
      </c>
      <c r="E51" s="99">
        <v>1</v>
      </c>
      <c r="F51" s="55">
        <v>222759.59</v>
      </c>
    </row>
    <row r="52" spans="1:6" ht="23.25" x14ac:dyDescent="0.35">
      <c r="A52" s="48">
        <v>22</v>
      </c>
      <c r="B52" s="53" t="s">
        <v>983</v>
      </c>
      <c r="C52" s="54">
        <v>344.6</v>
      </c>
      <c r="D52" s="86">
        <v>15</v>
      </c>
      <c r="E52" s="99">
        <v>1</v>
      </c>
      <c r="F52" s="55">
        <v>137654.99000000002</v>
      </c>
    </row>
    <row r="53" spans="1:6" ht="23.25" x14ac:dyDescent="0.35">
      <c r="A53" s="48">
        <v>23</v>
      </c>
      <c r="B53" s="53" t="s">
        <v>932</v>
      </c>
      <c r="C53" s="54">
        <v>3508.9</v>
      </c>
      <c r="D53" s="86">
        <v>145</v>
      </c>
      <c r="E53" s="99">
        <v>1</v>
      </c>
      <c r="F53" s="55">
        <v>894902.36</v>
      </c>
    </row>
    <row r="54" spans="1:6" ht="23.25" x14ac:dyDescent="0.35">
      <c r="A54" s="48">
        <v>24</v>
      </c>
      <c r="B54" s="53" t="s">
        <v>939</v>
      </c>
      <c r="C54" s="54">
        <v>719.4</v>
      </c>
      <c r="D54" s="86">
        <v>30</v>
      </c>
      <c r="E54" s="99">
        <v>1</v>
      </c>
      <c r="F54" s="55">
        <v>40586.949999999997</v>
      </c>
    </row>
    <row r="55" spans="1:6" ht="23.25" x14ac:dyDescent="0.35">
      <c r="A55" s="48">
        <v>25</v>
      </c>
      <c r="B55" s="53" t="s">
        <v>954</v>
      </c>
      <c r="C55" s="54">
        <v>930</v>
      </c>
      <c r="D55" s="86">
        <v>45</v>
      </c>
      <c r="E55" s="99">
        <v>1</v>
      </c>
      <c r="F55" s="55">
        <v>39622.869999999995</v>
      </c>
    </row>
    <row r="56" spans="1:6" ht="23.25" x14ac:dyDescent="0.35">
      <c r="A56" s="48">
        <v>26</v>
      </c>
      <c r="B56" s="53" t="s">
        <v>930</v>
      </c>
      <c r="C56" s="54">
        <v>3791.9</v>
      </c>
      <c r="D56" s="86">
        <v>155</v>
      </c>
      <c r="E56" s="99">
        <v>1</v>
      </c>
      <c r="F56" s="55">
        <v>8149.86</v>
      </c>
    </row>
    <row r="57" spans="1:6" ht="23.25" x14ac:dyDescent="0.35">
      <c r="A57" s="48">
        <v>27</v>
      </c>
      <c r="B57" s="53" t="s">
        <v>934</v>
      </c>
      <c r="C57" s="54">
        <v>1000</v>
      </c>
      <c r="D57" s="86">
        <v>54</v>
      </c>
      <c r="E57" s="99">
        <v>2</v>
      </c>
      <c r="F57" s="55">
        <v>180508.62</v>
      </c>
    </row>
    <row r="58" spans="1:6" ht="23.25" x14ac:dyDescent="0.35">
      <c r="A58" s="48">
        <v>28</v>
      </c>
      <c r="B58" s="53" t="s">
        <v>1377</v>
      </c>
      <c r="C58" s="54">
        <v>1707.6</v>
      </c>
      <c r="D58" s="86">
        <v>83</v>
      </c>
      <c r="E58" s="99">
        <v>1</v>
      </c>
      <c r="F58" s="55">
        <v>5309.7</v>
      </c>
    </row>
    <row r="59" spans="1:6" ht="23.25" x14ac:dyDescent="0.35">
      <c r="A59" s="48">
        <v>28</v>
      </c>
      <c r="B59" s="53" t="s">
        <v>947</v>
      </c>
      <c r="C59" s="54">
        <v>773.3</v>
      </c>
      <c r="D59" s="86">
        <v>25</v>
      </c>
      <c r="E59" s="99">
        <v>1</v>
      </c>
      <c r="F59" s="55">
        <v>207516.75</v>
      </c>
    </row>
    <row r="60" spans="1:6" ht="23.25" x14ac:dyDescent="0.35">
      <c r="A60" s="48">
        <v>28</v>
      </c>
      <c r="B60" s="53" t="s">
        <v>950</v>
      </c>
      <c r="C60" s="54">
        <v>3094.98</v>
      </c>
      <c r="D60" s="86">
        <v>157</v>
      </c>
      <c r="E60" s="99">
        <v>1</v>
      </c>
      <c r="F60" s="55">
        <v>29122.38</v>
      </c>
    </row>
  </sheetData>
  <mergeCells count="11">
    <mergeCell ref="A29:F29"/>
    <mergeCell ref="D1:F1"/>
    <mergeCell ref="F4:F5"/>
    <mergeCell ref="A8:F8"/>
    <mergeCell ref="C2:F2"/>
    <mergeCell ref="A3:F3"/>
    <mergeCell ref="A4:A6"/>
    <mergeCell ref="B4:B6"/>
    <mergeCell ref="C4:C5"/>
    <mergeCell ref="D4:D5"/>
    <mergeCell ref="E4:E5"/>
  </mergeCells>
  <pageMargins left="0.39" right="0.32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Реестр</vt:lpstr>
      <vt:lpstr>Перечень</vt:lpstr>
      <vt:lpstr>Рес обесп</vt:lpstr>
      <vt:lpstr>Плановые показатели</vt:lpstr>
      <vt:lpstr>Спец.счета КП 2020-2022</vt:lpstr>
      <vt:lpstr>Зачет</vt:lpstr>
      <vt:lpstr>Реестр_бонусы</vt:lpstr>
      <vt:lpstr>Перечень_бонусы</vt:lpstr>
      <vt:lpstr>Планируемые показат_бонусы</vt:lpstr>
      <vt:lpstr>Зачет!Область_печати</vt:lpstr>
      <vt:lpstr>Перечень!Область_печати</vt:lpstr>
      <vt:lpstr>Реестр!Область_печати</vt:lpstr>
      <vt:lpstr>'Рес обесп'!Область_печати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RePack by Diakov</cp:lastModifiedBy>
  <cp:lastPrinted>2020-10-13T09:25:09Z</cp:lastPrinted>
  <dcterms:created xsi:type="dcterms:W3CDTF">2019-03-21T15:19:46Z</dcterms:created>
  <dcterms:modified xsi:type="dcterms:W3CDTF">2020-10-29T19:51:04Z</dcterms:modified>
</cp:coreProperties>
</file>